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6"/>
  <workbookPr/>
  <mc:AlternateContent xmlns:mc="http://schemas.openxmlformats.org/markup-compatibility/2006">
    <mc:Choice Requires="x15">
      <x15ac:absPath xmlns:x15ac="http://schemas.microsoft.com/office/spreadsheetml/2010/11/ac" url="/Users/dmitryegorov/Downloads/"/>
    </mc:Choice>
  </mc:AlternateContent>
  <xr:revisionPtr revIDLastSave="0" documentId="8_{C0C2AFB6-A91F-4D76-8970-6AB31D6497CE}" xr6:coauthVersionLast="47" xr6:coauthVersionMax="47" xr10:uidLastSave="{00000000-0000-0000-0000-000000000000}"/>
  <bookViews>
    <workbookView xWindow="0" yWindow="680" windowWidth="34200" windowHeight="20140" firstSheet="1" activeTab="5" xr2:uid="{00000000-000D-0000-FFFF-FFFF00000000}"/>
  </bookViews>
  <sheets>
    <sheet name="Rentroll" sheetId="1" r:id="rId1"/>
    <sheet name="Stavba pro najemce" sheetId="2" state="hidden" r:id="rId2"/>
    <sheet name="Businessplan_prodej" sheetId="6" r:id="rId3"/>
    <sheet name="Pozemek" sheetId="14" r:id="rId4"/>
    <sheet name="ZDR" sheetId="13" state="hidden" r:id="rId5"/>
    <sheet name="Cash-flow" sheetId="7" r:id="rId6"/>
    <sheet name="Interest Calc EQ" sheetId="8" state="hidden" r:id="rId7"/>
    <sheet name="EQ CF" sheetId="9" state="hidden" r:id="rId8"/>
    <sheet name="Params" sheetId="10" state="hidden" r:id="rId9"/>
    <sheet name="Analýzy" sheetId="11" state="hidden" r:id="rId10"/>
    <sheet name="Businessplan_pravo_stavby" sheetId="12" state="hidden" r:id="rId11"/>
  </sheets>
  <definedNames>
    <definedName name="_xlnm._FilterDatabase" localSheetId="1" hidden="1">'Stavba pro najemce'!$A$1:$E$73</definedName>
    <definedName name="dokonceni">Rentroll!$W$1:$W$3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93" i="7" l="1"/>
  <c r="T50" i="7"/>
  <c r="T35" i="7"/>
  <c r="U25" i="7"/>
  <c r="V25" i="7"/>
  <c r="T42" i="7"/>
  <c r="T41" i="7"/>
  <c r="S50" i="7"/>
  <c r="S41" i="7"/>
  <c r="R50" i="7"/>
  <c r="R42" i="7"/>
  <c r="R41" i="7"/>
  <c r="Q50" i="7"/>
  <c r="Q14" i="7"/>
  <c r="Q58" i="7"/>
  <c r="Q90" i="7"/>
  <c r="Q54" i="7"/>
  <c r="Q89" i="7"/>
  <c r="Q55" i="7"/>
  <c r="Q16" i="7"/>
  <c r="P54" i="7"/>
  <c r="O54" i="7"/>
  <c r="O52" i="7" s="1"/>
  <c r="Q42" i="7"/>
  <c r="Q19" i="7"/>
  <c r="Q41" i="7"/>
  <c r="P50" i="7"/>
  <c r="P14" i="7"/>
  <c r="P41" i="7"/>
  <c r="O50" i="7"/>
  <c r="O46" i="7" s="1"/>
  <c r="O41" i="7"/>
  <c r="O42" i="7"/>
  <c r="U38" i="7"/>
  <c r="T38" i="7"/>
  <c r="S38" i="7"/>
  <c r="R38" i="7"/>
  <c r="Q38" i="7"/>
  <c r="P38" i="7"/>
  <c r="O38" i="7"/>
  <c r="U43" i="7"/>
  <c r="J37" i="6"/>
  <c r="D2" i="14"/>
  <c r="C3" i="14" s="1"/>
  <c r="B4" i="14"/>
  <c r="AC25" i="7"/>
  <c r="Z25" i="7"/>
  <c r="W25" i="7"/>
  <c r="N19" i="7"/>
  <c r="O89" i="7"/>
  <c r="AB59" i="7"/>
  <c r="AB10" i="7" s="1"/>
  <c r="F81" i="6"/>
  <c r="F80" i="6"/>
  <c r="AN39" i="7"/>
  <c r="U39" i="7"/>
  <c r="V39" i="7"/>
  <c r="W39" i="7"/>
  <c r="X39" i="7"/>
  <c r="Y39" i="7"/>
  <c r="Z39" i="7"/>
  <c r="AA39" i="7"/>
  <c r="AB39" i="7"/>
  <c r="AC39" i="7"/>
  <c r="AD39" i="7"/>
  <c r="AE39" i="7"/>
  <c r="AF39" i="7"/>
  <c r="AG39" i="7"/>
  <c r="AH39" i="7"/>
  <c r="AI39" i="7"/>
  <c r="AJ39" i="7"/>
  <c r="AK39" i="7"/>
  <c r="AL39" i="7"/>
  <c r="AM39" i="7"/>
  <c r="C38" i="7"/>
  <c r="CB40" i="7"/>
  <c r="CB82" i="7" s="1"/>
  <c r="W34" i="7"/>
  <c r="X34" i="7"/>
  <c r="Y34" i="7"/>
  <c r="Y30" i="7" s="1"/>
  <c r="Z34" i="7"/>
  <c r="AA34" i="7"/>
  <c r="AA30" i="7" s="1"/>
  <c r="AB34" i="7"/>
  <c r="AC34" i="7"/>
  <c r="AD34" i="7"/>
  <c r="AE34" i="7"/>
  <c r="AF34" i="7"/>
  <c r="AG34" i="7"/>
  <c r="AH34" i="7"/>
  <c r="AI34" i="7"/>
  <c r="AJ34" i="7"/>
  <c r="V34" i="7"/>
  <c r="C33" i="7"/>
  <c r="F72" i="6"/>
  <c r="J3" i="1"/>
  <c r="E86" i="2" a="1"/>
  <c r="E86" i="2" s="1"/>
  <c r="C86" i="2" a="1"/>
  <c r="C86" i="2" s="1"/>
  <c r="E85" i="2" a="1"/>
  <c r="E85" i="2" s="1"/>
  <c r="C85" i="2" a="1"/>
  <c r="C85" i="2" s="1"/>
  <c r="F73" i="6"/>
  <c r="F10" i="6"/>
  <c r="N19" i="12"/>
  <c r="D142" i="7"/>
  <c r="D125" i="7"/>
  <c r="E118" i="7"/>
  <c r="F118" i="7"/>
  <c r="G118" i="7"/>
  <c r="H118" i="7"/>
  <c r="I118" i="7"/>
  <c r="J118" i="7"/>
  <c r="K118" i="7"/>
  <c r="L118" i="7"/>
  <c r="M118" i="7"/>
  <c r="N118" i="7"/>
  <c r="O118" i="7"/>
  <c r="P118" i="7"/>
  <c r="Q118" i="7"/>
  <c r="Q121" i="7" s="1"/>
  <c r="R118" i="7"/>
  <c r="S118" i="7"/>
  <c r="T118" i="7"/>
  <c r="U118" i="7"/>
  <c r="V118" i="7"/>
  <c r="W118" i="7"/>
  <c r="X118" i="7"/>
  <c r="Y118" i="7"/>
  <c r="Z118" i="7"/>
  <c r="AA118" i="7"/>
  <c r="AB118" i="7"/>
  <c r="AC118" i="7"/>
  <c r="AD118" i="7"/>
  <c r="AE118" i="7"/>
  <c r="AF118" i="7"/>
  <c r="AG118" i="7"/>
  <c r="AH118" i="7"/>
  <c r="AI118" i="7"/>
  <c r="AJ118" i="7"/>
  <c r="AK118" i="7"/>
  <c r="AL118" i="7"/>
  <c r="AM118" i="7"/>
  <c r="AN118" i="7"/>
  <c r="AO118" i="7"/>
  <c r="AP118" i="7"/>
  <c r="AQ118" i="7"/>
  <c r="AR118" i="7"/>
  <c r="AS118" i="7"/>
  <c r="AT118" i="7"/>
  <c r="AU118" i="7"/>
  <c r="AV118" i="7"/>
  <c r="AW118" i="7"/>
  <c r="AX118" i="7"/>
  <c r="AY118" i="7"/>
  <c r="AZ118" i="7"/>
  <c r="BA118" i="7"/>
  <c r="BB118" i="7"/>
  <c r="BC118" i="7"/>
  <c r="BD118" i="7"/>
  <c r="BE118" i="7"/>
  <c r="BF118" i="7"/>
  <c r="BG118" i="7"/>
  <c r="BH118" i="7"/>
  <c r="BI118" i="7"/>
  <c r="BJ118" i="7"/>
  <c r="BK118" i="7"/>
  <c r="BL118" i="7"/>
  <c r="BM118" i="7"/>
  <c r="BN118" i="7"/>
  <c r="BO118" i="7"/>
  <c r="BP118" i="7"/>
  <c r="BQ118" i="7"/>
  <c r="BR118" i="7"/>
  <c r="BS118" i="7"/>
  <c r="BT118" i="7"/>
  <c r="BU118" i="7"/>
  <c r="BV118" i="7"/>
  <c r="BW118" i="7"/>
  <c r="BX118" i="7"/>
  <c r="E102" i="7"/>
  <c r="F102" i="7"/>
  <c r="G102" i="7"/>
  <c r="H102" i="7"/>
  <c r="I102" i="7"/>
  <c r="J102" i="7"/>
  <c r="K102" i="7"/>
  <c r="L102" i="7"/>
  <c r="M102" i="7"/>
  <c r="N102" i="7"/>
  <c r="O102" i="7"/>
  <c r="P102" i="7"/>
  <c r="Q102" i="7"/>
  <c r="R102" i="7"/>
  <c r="S102" i="7"/>
  <c r="T102" i="7"/>
  <c r="U102" i="7"/>
  <c r="V102" i="7"/>
  <c r="W102" i="7"/>
  <c r="X102" i="7"/>
  <c r="Y102" i="7"/>
  <c r="Z102" i="7"/>
  <c r="AA102" i="7"/>
  <c r="AB102" i="7"/>
  <c r="AC102" i="7"/>
  <c r="AD102" i="7"/>
  <c r="AE102" i="7"/>
  <c r="AF102" i="7"/>
  <c r="AG102" i="7"/>
  <c r="AH102" i="7"/>
  <c r="AI102" i="7"/>
  <c r="AJ102" i="7"/>
  <c r="AK102" i="7"/>
  <c r="AL102" i="7"/>
  <c r="AM102" i="7"/>
  <c r="AO102" i="7"/>
  <c r="AP102" i="7"/>
  <c r="AQ102" i="7"/>
  <c r="AR102" i="7"/>
  <c r="AS102" i="7"/>
  <c r="AT102" i="7"/>
  <c r="AU102" i="7"/>
  <c r="AV102" i="7"/>
  <c r="AW102" i="7"/>
  <c r="AX102" i="7"/>
  <c r="AY102" i="7"/>
  <c r="AZ102" i="7"/>
  <c r="BA102" i="7"/>
  <c r="BB102" i="7"/>
  <c r="BC102" i="7"/>
  <c r="BD102" i="7"/>
  <c r="BE102" i="7"/>
  <c r="BF102" i="7"/>
  <c r="BG102" i="7"/>
  <c r="BH102" i="7"/>
  <c r="BI102" i="7"/>
  <c r="BJ102" i="7"/>
  <c r="BK102" i="7"/>
  <c r="BL102" i="7"/>
  <c r="BM102" i="7"/>
  <c r="BN102" i="7"/>
  <c r="BO102" i="7"/>
  <c r="BP102" i="7"/>
  <c r="BQ102" i="7"/>
  <c r="BR102" i="7"/>
  <c r="BS102" i="7"/>
  <c r="BT102" i="7"/>
  <c r="BU102" i="7"/>
  <c r="BV102" i="7"/>
  <c r="BW102" i="7"/>
  <c r="BX102" i="7"/>
  <c r="E135" i="7"/>
  <c r="F135" i="7"/>
  <c r="G135" i="7"/>
  <c r="H135" i="7"/>
  <c r="I135" i="7"/>
  <c r="J135" i="7"/>
  <c r="K135" i="7"/>
  <c r="L135" i="7"/>
  <c r="M135" i="7"/>
  <c r="N135" i="7"/>
  <c r="O135" i="7"/>
  <c r="P135" i="7"/>
  <c r="Q135" i="7"/>
  <c r="R135" i="7"/>
  <c r="S135" i="7"/>
  <c r="T135" i="7"/>
  <c r="U135" i="7"/>
  <c r="V135" i="7"/>
  <c r="W135" i="7"/>
  <c r="X135" i="7"/>
  <c r="Y135" i="7"/>
  <c r="Z135" i="7"/>
  <c r="AA135" i="7"/>
  <c r="AB135" i="7"/>
  <c r="AC135" i="7"/>
  <c r="AD135" i="7"/>
  <c r="AE135" i="7"/>
  <c r="AF135" i="7"/>
  <c r="AG135" i="7"/>
  <c r="AH135" i="7"/>
  <c r="AI135" i="7"/>
  <c r="AJ135" i="7"/>
  <c r="AK135" i="7"/>
  <c r="AL135" i="7"/>
  <c r="AM135" i="7"/>
  <c r="AN135" i="7"/>
  <c r="AO135" i="7"/>
  <c r="AP135" i="7"/>
  <c r="AQ135" i="7"/>
  <c r="AR135" i="7"/>
  <c r="AS135" i="7"/>
  <c r="AT135" i="7"/>
  <c r="AU135" i="7"/>
  <c r="AV135" i="7"/>
  <c r="AW135" i="7"/>
  <c r="AX135" i="7"/>
  <c r="AY135" i="7"/>
  <c r="AZ135" i="7"/>
  <c r="BA135" i="7"/>
  <c r="BB135" i="7"/>
  <c r="BC135" i="7"/>
  <c r="BD135" i="7"/>
  <c r="BE135" i="7"/>
  <c r="BF135" i="7"/>
  <c r="BG135" i="7"/>
  <c r="BH135" i="7"/>
  <c r="BI135" i="7"/>
  <c r="BJ135" i="7"/>
  <c r="BK135" i="7"/>
  <c r="BL135" i="7"/>
  <c r="BM135" i="7"/>
  <c r="BN135" i="7"/>
  <c r="BO135" i="7"/>
  <c r="BP135" i="7"/>
  <c r="BQ135" i="7"/>
  <c r="BR135" i="7"/>
  <c r="BS135" i="7"/>
  <c r="BT135" i="7"/>
  <c r="BU135" i="7"/>
  <c r="BV135" i="7"/>
  <c r="BW135" i="7"/>
  <c r="BX135" i="7"/>
  <c r="E133" i="7"/>
  <c r="F133" i="7"/>
  <c r="G133" i="7"/>
  <c r="H133" i="7"/>
  <c r="I133" i="7"/>
  <c r="J133" i="7"/>
  <c r="K133" i="7"/>
  <c r="L133" i="7"/>
  <c r="M133" i="7"/>
  <c r="N133" i="7"/>
  <c r="O133" i="7"/>
  <c r="P133" i="7"/>
  <c r="Q133" i="7"/>
  <c r="R133" i="7"/>
  <c r="S133" i="7"/>
  <c r="T133" i="7"/>
  <c r="U133" i="7"/>
  <c r="V133" i="7"/>
  <c r="W133" i="7"/>
  <c r="X133" i="7"/>
  <c r="Y133" i="7"/>
  <c r="Z133" i="7"/>
  <c r="AA133" i="7"/>
  <c r="AB133" i="7"/>
  <c r="AC133" i="7"/>
  <c r="AD133" i="7"/>
  <c r="AE133" i="7"/>
  <c r="AF133" i="7"/>
  <c r="AG133" i="7"/>
  <c r="AH133" i="7"/>
  <c r="AI133" i="7"/>
  <c r="AJ133" i="7"/>
  <c r="AK133" i="7"/>
  <c r="AL133" i="7"/>
  <c r="AM133" i="7"/>
  <c r="AN133" i="7"/>
  <c r="AO133" i="7"/>
  <c r="AP133" i="7"/>
  <c r="AQ133" i="7"/>
  <c r="AR133" i="7"/>
  <c r="AS133" i="7"/>
  <c r="AT133" i="7"/>
  <c r="AU133" i="7"/>
  <c r="AV133" i="7"/>
  <c r="AW133" i="7"/>
  <c r="AX133" i="7"/>
  <c r="AY133" i="7"/>
  <c r="AZ133" i="7"/>
  <c r="BA133" i="7"/>
  <c r="BB133" i="7"/>
  <c r="BC133" i="7"/>
  <c r="BD133" i="7"/>
  <c r="BE133" i="7"/>
  <c r="BF133" i="7"/>
  <c r="BG133" i="7"/>
  <c r="BH133" i="7"/>
  <c r="BI133" i="7"/>
  <c r="BJ133" i="7"/>
  <c r="BK133" i="7"/>
  <c r="BL133" i="7"/>
  <c r="BM133" i="7"/>
  <c r="BN133" i="7"/>
  <c r="BO133" i="7"/>
  <c r="BP133" i="7"/>
  <c r="BQ133" i="7"/>
  <c r="BR133" i="7"/>
  <c r="BS133" i="7"/>
  <c r="BT133" i="7"/>
  <c r="BU133" i="7"/>
  <c r="BV133" i="7"/>
  <c r="BW133" i="7"/>
  <c r="BX133" i="7"/>
  <c r="E116" i="7"/>
  <c r="F116" i="7"/>
  <c r="G116" i="7"/>
  <c r="H116" i="7"/>
  <c r="I116" i="7"/>
  <c r="J116" i="7"/>
  <c r="K116" i="7"/>
  <c r="L116" i="7"/>
  <c r="M116" i="7"/>
  <c r="N116" i="7"/>
  <c r="O116" i="7"/>
  <c r="P116" i="7"/>
  <c r="Q116" i="7"/>
  <c r="R116" i="7"/>
  <c r="S116" i="7"/>
  <c r="T116" i="7"/>
  <c r="U116" i="7"/>
  <c r="V116" i="7"/>
  <c r="W116" i="7"/>
  <c r="X116" i="7"/>
  <c r="Y116" i="7"/>
  <c r="Z116" i="7"/>
  <c r="AA116" i="7"/>
  <c r="AB116" i="7"/>
  <c r="AC116" i="7"/>
  <c r="AD116" i="7"/>
  <c r="AE116" i="7"/>
  <c r="AF116" i="7"/>
  <c r="AG116" i="7"/>
  <c r="AH116" i="7"/>
  <c r="AI116" i="7"/>
  <c r="AJ116" i="7"/>
  <c r="AK116" i="7"/>
  <c r="AL116" i="7"/>
  <c r="AM116" i="7"/>
  <c r="AN116" i="7"/>
  <c r="AO116" i="7"/>
  <c r="AP116" i="7"/>
  <c r="AQ116" i="7"/>
  <c r="AR116" i="7"/>
  <c r="AS116" i="7"/>
  <c r="AT116" i="7"/>
  <c r="AU116" i="7"/>
  <c r="AV116" i="7"/>
  <c r="AW116" i="7"/>
  <c r="AX116" i="7"/>
  <c r="AY116" i="7"/>
  <c r="AZ116" i="7"/>
  <c r="BA116" i="7"/>
  <c r="BB116" i="7"/>
  <c r="BC116" i="7"/>
  <c r="BD116" i="7"/>
  <c r="BE116" i="7"/>
  <c r="BF116" i="7"/>
  <c r="BG116" i="7"/>
  <c r="BH116" i="7"/>
  <c r="BI116" i="7"/>
  <c r="BJ116" i="7"/>
  <c r="BK116" i="7"/>
  <c r="BL116" i="7"/>
  <c r="BM116" i="7"/>
  <c r="BN116" i="7"/>
  <c r="BO116" i="7"/>
  <c r="BP116" i="7"/>
  <c r="BQ116" i="7"/>
  <c r="BR116" i="7"/>
  <c r="BS116" i="7"/>
  <c r="BT116" i="7"/>
  <c r="BU116" i="7"/>
  <c r="BV116" i="7"/>
  <c r="BW116" i="7"/>
  <c r="BX116" i="7"/>
  <c r="E100" i="7"/>
  <c r="F100" i="7"/>
  <c r="G100" i="7"/>
  <c r="H100" i="7"/>
  <c r="I100" i="7"/>
  <c r="J100" i="7"/>
  <c r="K100" i="7"/>
  <c r="L100" i="7"/>
  <c r="M100" i="7"/>
  <c r="N100" i="7"/>
  <c r="O100" i="7"/>
  <c r="P100" i="7"/>
  <c r="Q100" i="7"/>
  <c r="R100" i="7"/>
  <c r="S100" i="7"/>
  <c r="T100" i="7"/>
  <c r="U100" i="7"/>
  <c r="V100" i="7"/>
  <c r="W100" i="7"/>
  <c r="X100" i="7"/>
  <c r="Y100" i="7"/>
  <c r="Z100" i="7"/>
  <c r="AA100" i="7"/>
  <c r="AB100" i="7"/>
  <c r="AC100" i="7"/>
  <c r="AD100" i="7"/>
  <c r="AE100" i="7"/>
  <c r="AF100" i="7"/>
  <c r="AG100" i="7"/>
  <c r="AH100" i="7"/>
  <c r="AI100" i="7"/>
  <c r="AJ100" i="7"/>
  <c r="AK100" i="7"/>
  <c r="AL100" i="7"/>
  <c r="AM100" i="7"/>
  <c r="AO100" i="7"/>
  <c r="AP100" i="7"/>
  <c r="AQ100" i="7"/>
  <c r="AR100" i="7"/>
  <c r="AS100" i="7"/>
  <c r="AT100" i="7"/>
  <c r="AU100" i="7"/>
  <c r="AV100" i="7"/>
  <c r="AW100" i="7"/>
  <c r="AX100" i="7"/>
  <c r="AY100" i="7"/>
  <c r="AZ100" i="7"/>
  <c r="BA100" i="7"/>
  <c r="BB100" i="7"/>
  <c r="BC100" i="7"/>
  <c r="BD100" i="7"/>
  <c r="BE100" i="7"/>
  <c r="BF100" i="7"/>
  <c r="BG100" i="7"/>
  <c r="BH100" i="7"/>
  <c r="BI100" i="7"/>
  <c r="BJ100" i="7"/>
  <c r="BK100" i="7"/>
  <c r="BL100" i="7"/>
  <c r="BM100" i="7"/>
  <c r="BN100" i="7"/>
  <c r="BO100" i="7"/>
  <c r="BP100" i="7"/>
  <c r="BQ100" i="7"/>
  <c r="BR100" i="7"/>
  <c r="BS100" i="7"/>
  <c r="BT100" i="7"/>
  <c r="BU100" i="7"/>
  <c r="BV100" i="7"/>
  <c r="BW100" i="7"/>
  <c r="BX100" i="7"/>
  <c r="B15" i="6"/>
  <c r="N20" i="6"/>
  <c r="E42" i="12"/>
  <c r="E41" i="12"/>
  <c r="E43" i="12" s="1"/>
  <c r="R39" i="12"/>
  <c r="R40" i="12" s="1"/>
  <c r="R41" i="12" s="1"/>
  <c r="R42" i="12" s="1"/>
  <c r="E38" i="12"/>
  <c r="E37" i="12"/>
  <c r="E34" i="12"/>
  <c r="E33" i="12"/>
  <c r="Q30" i="12"/>
  <c r="E30" i="12"/>
  <c r="Q28" i="12"/>
  <c r="F21" i="12"/>
  <c r="F20" i="12"/>
  <c r="F19" i="12"/>
  <c r="F18" i="12"/>
  <c r="R17" i="12"/>
  <c r="F17" i="12"/>
  <c r="M16" i="12"/>
  <c r="K16" i="12"/>
  <c r="J16" i="12"/>
  <c r="I16" i="12"/>
  <c r="M15" i="12"/>
  <c r="K15" i="12"/>
  <c r="J15" i="12"/>
  <c r="I15" i="12"/>
  <c r="M14" i="12"/>
  <c r="K14" i="12"/>
  <c r="J14" i="12"/>
  <c r="I14" i="12"/>
  <c r="M13" i="12"/>
  <c r="K13" i="12"/>
  <c r="J13" i="12"/>
  <c r="I13" i="12"/>
  <c r="M12" i="12"/>
  <c r="K12" i="12"/>
  <c r="J12" i="12"/>
  <c r="I12" i="12"/>
  <c r="M11" i="12"/>
  <c r="K11" i="12"/>
  <c r="J11" i="12"/>
  <c r="I11" i="12"/>
  <c r="M10" i="12"/>
  <c r="K10" i="12"/>
  <c r="J10" i="12"/>
  <c r="I10" i="12"/>
  <c r="K9" i="12"/>
  <c r="J9" i="12"/>
  <c r="I9" i="12"/>
  <c r="E9" i="12"/>
  <c r="K8" i="12"/>
  <c r="F16" i="12" s="1"/>
  <c r="J8" i="12"/>
  <c r="I8" i="12"/>
  <c r="F8" i="12"/>
  <c r="I32" i="10"/>
  <c r="H32" i="10"/>
  <c r="G32" i="10"/>
  <c r="F32" i="10"/>
  <c r="E32" i="10"/>
  <c r="D32" i="10"/>
  <c r="C32" i="10"/>
  <c r="J32" i="10" s="1"/>
  <c r="H11" i="10"/>
  <c r="BY30" i="9"/>
  <c r="BY29" i="9"/>
  <c r="BY28" i="9"/>
  <c r="BY27" i="9"/>
  <c r="BX26" i="9"/>
  <c r="BW26" i="9"/>
  <c r="BV26" i="9"/>
  <c r="BU26" i="9"/>
  <c r="BT26" i="9"/>
  <c r="BS26" i="9"/>
  <c r="BR26" i="9"/>
  <c r="BQ26" i="9"/>
  <c r="BP26" i="9"/>
  <c r="BO26" i="9"/>
  <c r="BN26" i="9"/>
  <c r="BM26" i="9"/>
  <c r="BL26" i="9"/>
  <c r="BK26" i="9"/>
  <c r="BJ26" i="9"/>
  <c r="BI26" i="9"/>
  <c r="BH26" i="9"/>
  <c r="BG26" i="9"/>
  <c r="BF26" i="9"/>
  <c r="BE26" i="9"/>
  <c r="BD26" i="9"/>
  <c r="BC26" i="9"/>
  <c r="BB26" i="9"/>
  <c r="BA26" i="9"/>
  <c r="AZ26" i="9"/>
  <c r="AY26" i="9"/>
  <c r="AX26" i="9"/>
  <c r="AW26" i="9"/>
  <c r="AV26" i="9"/>
  <c r="AU26" i="9"/>
  <c r="AT26" i="9"/>
  <c r="AS26" i="9"/>
  <c r="AR26" i="9"/>
  <c r="AQ26" i="9"/>
  <c r="AP26" i="9"/>
  <c r="AO26" i="9"/>
  <c r="AN26" i="9"/>
  <c r="AM26" i="9"/>
  <c r="AL26" i="9"/>
  <c r="AK26" i="9"/>
  <c r="AJ26" i="9"/>
  <c r="AI26" i="9"/>
  <c r="AH26" i="9"/>
  <c r="AG26" i="9"/>
  <c r="AF26" i="9"/>
  <c r="AE26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BY26" i="9" s="1"/>
  <c r="BX25" i="9"/>
  <c r="BW25" i="9"/>
  <c r="BV25" i="9"/>
  <c r="BU25" i="9"/>
  <c r="BT25" i="9"/>
  <c r="BS25" i="9"/>
  <c r="BR25" i="9"/>
  <c r="BQ25" i="9"/>
  <c r="BP25" i="9"/>
  <c r="BO25" i="9"/>
  <c r="BN25" i="9"/>
  <c r="BM25" i="9"/>
  <c r="BL25" i="9"/>
  <c r="BK25" i="9"/>
  <c r="BJ25" i="9"/>
  <c r="BI25" i="9"/>
  <c r="BH25" i="9"/>
  <c r="BG25" i="9"/>
  <c r="BF25" i="9"/>
  <c r="BE25" i="9"/>
  <c r="BD25" i="9"/>
  <c r="BC25" i="9"/>
  <c r="BB25" i="9"/>
  <c r="BA25" i="9"/>
  <c r="AZ25" i="9"/>
  <c r="AY25" i="9"/>
  <c r="AX25" i="9"/>
  <c r="AW25" i="9"/>
  <c r="AV25" i="9"/>
  <c r="AU25" i="9"/>
  <c r="AT25" i="9"/>
  <c r="AS25" i="9"/>
  <c r="AR25" i="9"/>
  <c r="AQ25" i="9"/>
  <c r="AP25" i="9"/>
  <c r="AO25" i="9"/>
  <c r="AN25" i="9"/>
  <c r="AM25" i="9"/>
  <c r="AL25" i="9"/>
  <c r="AK25" i="9"/>
  <c r="AJ25" i="9"/>
  <c r="AI25" i="9"/>
  <c r="AH25" i="9"/>
  <c r="AG25" i="9"/>
  <c r="AF25" i="9"/>
  <c r="AE25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BY25" i="9" s="1"/>
  <c r="BX24" i="9"/>
  <c r="BW24" i="9"/>
  <c r="BV24" i="9"/>
  <c r="BU24" i="9"/>
  <c r="BT24" i="9"/>
  <c r="BS24" i="9"/>
  <c r="BR24" i="9"/>
  <c r="BQ24" i="9"/>
  <c r="BP24" i="9"/>
  <c r="BO24" i="9"/>
  <c r="BN24" i="9"/>
  <c r="BM24" i="9"/>
  <c r="BL24" i="9"/>
  <c r="BK24" i="9"/>
  <c r="BJ24" i="9"/>
  <c r="BI24" i="9"/>
  <c r="BH24" i="9"/>
  <c r="BG24" i="9"/>
  <c r="BF24" i="9"/>
  <c r="BE24" i="9"/>
  <c r="BD24" i="9"/>
  <c r="BC24" i="9"/>
  <c r="BB24" i="9"/>
  <c r="BA24" i="9"/>
  <c r="AZ24" i="9"/>
  <c r="AY24" i="9"/>
  <c r="AX24" i="9"/>
  <c r="AW24" i="9"/>
  <c r="AV24" i="9"/>
  <c r="AU24" i="9"/>
  <c r="AT24" i="9"/>
  <c r="AS24" i="9"/>
  <c r="AR24" i="9"/>
  <c r="AQ24" i="9"/>
  <c r="AP24" i="9"/>
  <c r="AO24" i="9"/>
  <c r="AN24" i="9"/>
  <c r="AM24" i="9"/>
  <c r="AL24" i="9"/>
  <c r="AK24" i="9"/>
  <c r="AJ24" i="9"/>
  <c r="AI24" i="9"/>
  <c r="AH24" i="9"/>
  <c r="AG24" i="9"/>
  <c r="AF24" i="9"/>
  <c r="AE24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BY24" i="9" s="1"/>
  <c r="BX23" i="9"/>
  <c r="BW23" i="9"/>
  <c r="BV23" i="9"/>
  <c r="BU23" i="9"/>
  <c r="BT23" i="9"/>
  <c r="BS23" i="9"/>
  <c r="BR23" i="9"/>
  <c r="BQ23" i="9"/>
  <c r="BP23" i="9"/>
  <c r="BO23" i="9"/>
  <c r="BN23" i="9"/>
  <c r="BM23" i="9"/>
  <c r="BL23" i="9"/>
  <c r="BK23" i="9"/>
  <c r="BJ23" i="9"/>
  <c r="BI23" i="9"/>
  <c r="BH23" i="9"/>
  <c r="BG23" i="9"/>
  <c r="BF23" i="9"/>
  <c r="BE23" i="9"/>
  <c r="BD23" i="9"/>
  <c r="BC23" i="9"/>
  <c r="BB23" i="9"/>
  <c r="BA23" i="9"/>
  <c r="AZ23" i="9"/>
  <c r="AY23" i="9"/>
  <c r="AX23" i="9"/>
  <c r="AW23" i="9"/>
  <c r="AV23" i="9"/>
  <c r="AU23" i="9"/>
  <c r="AT23" i="9"/>
  <c r="AS23" i="9"/>
  <c r="AR23" i="9"/>
  <c r="AQ23" i="9"/>
  <c r="AP23" i="9"/>
  <c r="AO23" i="9"/>
  <c r="AM23" i="9"/>
  <c r="AL23" i="9"/>
  <c r="AK23" i="9"/>
  <c r="AJ23" i="9"/>
  <c r="AI23" i="9"/>
  <c r="AH23" i="9"/>
  <c r="AG23" i="9"/>
  <c r="AF23" i="9"/>
  <c r="AE23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BY20" i="9"/>
  <c r="BY19" i="9"/>
  <c r="BY18" i="9"/>
  <c r="BY17" i="9"/>
  <c r="BY16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BY10" i="9"/>
  <c r="BZ10" i="9" s="1"/>
  <c r="BY9" i="9"/>
  <c r="BZ9" i="9" s="1"/>
  <c r="BY8" i="9"/>
  <c r="BZ8" i="9" s="1"/>
  <c r="BY7" i="9"/>
  <c r="BZ7" i="9" s="1"/>
  <c r="BX6" i="9"/>
  <c r="BW6" i="9"/>
  <c r="BV6" i="9"/>
  <c r="BU6" i="9"/>
  <c r="BT6" i="9"/>
  <c r="BS6" i="9"/>
  <c r="BR6" i="9"/>
  <c r="BQ6" i="9"/>
  <c r="BP6" i="9"/>
  <c r="BO6" i="9"/>
  <c r="BN6" i="9"/>
  <c r="BM6" i="9"/>
  <c r="BL6" i="9"/>
  <c r="BK6" i="9"/>
  <c r="BJ6" i="9"/>
  <c r="BI6" i="9"/>
  <c r="BH6" i="9"/>
  <c r="BG6" i="9"/>
  <c r="BF6" i="9"/>
  <c r="BE6" i="9"/>
  <c r="BD6" i="9"/>
  <c r="BC6" i="9"/>
  <c r="BB6" i="9"/>
  <c r="BA6" i="9"/>
  <c r="AZ6" i="9"/>
  <c r="AY6" i="9"/>
  <c r="AX6" i="9"/>
  <c r="AW6" i="9"/>
  <c r="AV6" i="9"/>
  <c r="AU6" i="9"/>
  <c r="AT6" i="9"/>
  <c r="AS6" i="9"/>
  <c r="AR6" i="9"/>
  <c r="AQ6" i="9"/>
  <c r="AP6" i="9"/>
  <c r="AO6" i="9"/>
  <c r="AN6" i="9"/>
  <c r="AM6" i="9"/>
  <c r="AL6" i="9"/>
  <c r="AK6" i="9"/>
  <c r="AJ6" i="9"/>
  <c r="AI6" i="9"/>
  <c r="AH6" i="9"/>
  <c r="AG6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BY6" i="9" s="1"/>
  <c r="C6" i="9"/>
  <c r="BX5" i="9"/>
  <c r="BW5" i="9"/>
  <c r="BV5" i="9"/>
  <c r="BU5" i="9"/>
  <c r="BT5" i="9"/>
  <c r="BS5" i="9"/>
  <c r="BR5" i="9"/>
  <c r="BQ5" i="9"/>
  <c r="BP5" i="9"/>
  <c r="BO5" i="9"/>
  <c r="BN5" i="9"/>
  <c r="BM5" i="9"/>
  <c r="BL5" i="9"/>
  <c r="BK5" i="9"/>
  <c r="BJ5" i="9"/>
  <c r="BI5" i="9"/>
  <c r="BH5" i="9"/>
  <c r="BG5" i="9"/>
  <c r="BF5" i="9"/>
  <c r="BE5" i="9"/>
  <c r="BD5" i="9"/>
  <c r="BC5" i="9"/>
  <c r="BB5" i="9"/>
  <c r="BA5" i="9"/>
  <c r="AZ5" i="9"/>
  <c r="AY5" i="9"/>
  <c r="AX5" i="9"/>
  <c r="AW5" i="9"/>
  <c r="AV5" i="9"/>
  <c r="AU5" i="9"/>
  <c r="AT5" i="9"/>
  <c r="AS5" i="9"/>
  <c r="AR5" i="9"/>
  <c r="AQ5" i="9"/>
  <c r="AP5" i="9"/>
  <c r="AO5" i="9"/>
  <c r="AN5" i="9"/>
  <c r="AM5" i="9"/>
  <c r="AL5" i="9"/>
  <c r="AK5" i="9"/>
  <c r="AJ5" i="9"/>
  <c r="AI5" i="9"/>
  <c r="AH5" i="9"/>
  <c r="AG5" i="9"/>
  <c r="AF5" i="9"/>
  <c r="AE5" i="9"/>
  <c r="AD5" i="9"/>
  <c r="AC5" i="9"/>
  <c r="BY5" i="9" s="1"/>
  <c r="AB5" i="9"/>
  <c r="AA5" i="9"/>
  <c r="Z5" i="9"/>
  <c r="Y5" i="9"/>
  <c r="X5" i="9"/>
  <c r="W5" i="9"/>
  <c r="V5" i="9"/>
  <c r="U5" i="9"/>
  <c r="T5" i="9"/>
  <c r="S5" i="9"/>
  <c r="R5" i="9"/>
  <c r="Q5" i="9"/>
  <c r="P5" i="9"/>
  <c r="O5" i="9"/>
  <c r="N5" i="9"/>
  <c r="M5" i="9"/>
  <c r="L5" i="9"/>
  <c r="K5" i="9"/>
  <c r="J5" i="9"/>
  <c r="I5" i="9"/>
  <c r="H5" i="9"/>
  <c r="G5" i="9"/>
  <c r="F5" i="9"/>
  <c r="E5" i="9"/>
  <c r="C5" i="9"/>
  <c r="BX4" i="9"/>
  <c r="BW4" i="9"/>
  <c r="BV4" i="9"/>
  <c r="BU4" i="9"/>
  <c r="BT4" i="9"/>
  <c r="BS4" i="9"/>
  <c r="BR4" i="9"/>
  <c r="BQ4" i="9"/>
  <c r="BP4" i="9"/>
  <c r="BO4" i="9"/>
  <c r="BN4" i="9"/>
  <c r="BM4" i="9"/>
  <c r="BL4" i="9"/>
  <c r="BK4" i="9"/>
  <c r="BJ4" i="9"/>
  <c r="BI4" i="9"/>
  <c r="BH4" i="9"/>
  <c r="BG4" i="9"/>
  <c r="BF4" i="9"/>
  <c r="BE4" i="9"/>
  <c r="BD4" i="9"/>
  <c r="BC4" i="9"/>
  <c r="BB4" i="9"/>
  <c r="BA4" i="9"/>
  <c r="AZ4" i="9"/>
  <c r="AY4" i="9"/>
  <c r="AX4" i="9"/>
  <c r="AW4" i="9"/>
  <c r="AV4" i="9"/>
  <c r="AU4" i="9"/>
  <c r="AT4" i="9"/>
  <c r="AS4" i="9"/>
  <c r="AR4" i="9"/>
  <c r="AQ4" i="9"/>
  <c r="AP4" i="9"/>
  <c r="AO4" i="9"/>
  <c r="AN4" i="9"/>
  <c r="AM4" i="9"/>
  <c r="AL4" i="9"/>
  <c r="AK4" i="9"/>
  <c r="AJ4" i="9"/>
  <c r="AI4" i="9"/>
  <c r="AH4" i="9"/>
  <c r="AG4" i="9"/>
  <c r="AF4" i="9"/>
  <c r="AE4" i="9"/>
  <c r="AD4" i="9"/>
  <c r="AC4" i="9"/>
  <c r="BY4" i="9" s="1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C4" i="9"/>
  <c r="BX3" i="9"/>
  <c r="BX33" i="9" s="1"/>
  <c r="BW3" i="9"/>
  <c r="BW33" i="9" s="1"/>
  <c r="BV3" i="9"/>
  <c r="BV33" i="9" s="1"/>
  <c r="BU3" i="9"/>
  <c r="BU33" i="9" s="1"/>
  <c r="BT3" i="9"/>
  <c r="BT33" i="9" s="1"/>
  <c r="BS3" i="9"/>
  <c r="BS33" i="9" s="1"/>
  <c r="BR3" i="9"/>
  <c r="BR33" i="9" s="1"/>
  <c r="BQ3" i="9"/>
  <c r="BQ33" i="9" s="1"/>
  <c r="BP3" i="9"/>
  <c r="BP33" i="9" s="1"/>
  <c r="BO3" i="9"/>
  <c r="BO33" i="9" s="1"/>
  <c r="BN3" i="9"/>
  <c r="BN33" i="9" s="1"/>
  <c r="BM3" i="9"/>
  <c r="BM33" i="9" s="1"/>
  <c r="BL3" i="9"/>
  <c r="BL33" i="9" s="1"/>
  <c r="BK3" i="9"/>
  <c r="BK33" i="9" s="1"/>
  <c r="BJ3" i="9"/>
  <c r="BJ33" i="9" s="1"/>
  <c r="BI3" i="9"/>
  <c r="BI33" i="9" s="1"/>
  <c r="BH3" i="9"/>
  <c r="BH33" i="9" s="1"/>
  <c r="BG3" i="9"/>
  <c r="BG33" i="9" s="1"/>
  <c r="BF3" i="9"/>
  <c r="BF33" i="9" s="1"/>
  <c r="BE3" i="9"/>
  <c r="BE33" i="9" s="1"/>
  <c r="BD3" i="9"/>
  <c r="BD33" i="9" s="1"/>
  <c r="BC3" i="9"/>
  <c r="BC33" i="9" s="1"/>
  <c r="BB3" i="9"/>
  <c r="BB33" i="9" s="1"/>
  <c r="BA3" i="9"/>
  <c r="BA33" i="9" s="1"/>
  <c r="AZ3" i="9"/>
  <c r="AZ33" i="9" s="1"/>
  <c r="AY3" i="9"/>
  <c r="AY33" i="9" s="1"/>
  <c r="AX3" i="9"/>
  <c r="AX33" i="9" s="1"/>
  <c r="AW3" i="9"/>
  <c r="AW33" i="9" s="1"/>
  <c r="AV3" i="9"/>
  <c r="AV33" i="9" s="1"/>
  <c r="AU3" i="9"/>
  <c r="AU33" i="9" s="1"/>
  <c r="AT3" i="9"/>
  <c r="AT33" i="9" s="1"/>
  <c r="AS3" i="9"/>
  <c r="AS33" i="9" s="1"/>
  <c r="AR3" i="9"/>
  <c r="AR33" i="9" s="1"/>
  <c r="AQ3" i="9"/>
  <c r="AQ33" i="9" s="1"/>
  <c r="AP3" i="9"/>
  <c r="AP33" i="9" s="1"/>
  <c r="AO3" i="9"/>
  <c r="AO33" i="9" s="1"/>
  <c r="AN3" i="9"/>
  <c r="AM3" i="9"/>
  <c r="AM33" i="9" s="1"/>
  <c r="AL3" i="9"/>
  <c r="AL33" i="9" s="1"/>
  <c r="AK3" i="9"/>
  <c r="AK33" i="9" s="1"/>
  <c r="AJ3" i="9"/>
  <c r="AJ33" i="9" s="1"/>
  <c r="AI3" i="9"/>
  <c r="AI33" i="9" s="1"/>
  <c r="AH3" i="9"/>
  <c r="AH33" i="9" s="1"/>
  <c r="AG3" i="9"/>
  <c r="AG33" i="9" s="1"/>
  <c r="AF3" i="9"/>
  <c r="AF33" i="9" s="1"/>
  <c r="AE3" i="9"/>
  <c r="AE33" i="9" s="1"/>
  <c r="AD3" i="9"/>
  <c r="AD33" i="9" s="1"/>
  <c r="AC3" i="9"/>
  <c r="AC33" i="9" s="1"/>
  <c r="AB3" i="9"/>
  <c r="AB33" i="9" s="1"/>
  <c r="AA3" i="9"/>
  <c r="AA33" i="9" s="1"/>
  <c r="Z3" i="9"/>
  <c r="Z33" i="9" s="1"/>
  <c r="Y3" i="9"/>
  <c r="Y33" i="9" s="1"/>
  <c r="X3" i="9"/>
  <c r="X33" i="9" s="1"/>
  <c r="W3" i="9"/>
  <c r="W33" i="9" s="1"/>
  <c r="V3" i="9"/>
  <c r="V33" i="9" s="1"/>
  <c r="U3" i="9"/>
  <c r="U33" i="9" s="1"/>
  <c r="T3" i="9"/>
  <c r="T33" i="9" s="1"/>
  <c r="S3" i="9"/>
  <c r="S33" i="9" s="1"/>
  <c r="R3" i="9"/>
  <c r="R33" i="9" s="1"/>
  <c r="Q3" i="9"/>
  <c r="Q33" i="9" s="1"/>
  <c r="P3" i="9"/>
  <c r="P33" i="9" s="1"/>
  <c r="O3" i="9"/>
  <c r="O33" i="9" s="1"/>
  <c r="N3" i="9"/>
  <c r="N33" i="9" s="1"/>
  <c r="M3" i="9"/>
  <c r="M33" i="9" s="1"/>
  <c r="L3" i="9"/>
  <c r="L33" i="9" s="1"/>
  <c r="K3" i="9"/>
  <c r="K33" i="9" s="1"/>
  <c r="J3" i="9"/>
  <c r="J33" i="9" s="1"/>
  <c r="I3" i="9"/>
  <c r="I33" i="9" s="1"/>
  <c r="H3" i="9"/>
  <c r="H33" i="9" s="1"/>
  <c r="G3" i="9"/>
  <c r="G33" i="9" s="1"/>
  <c r="F3" i="9"/>
  <c r="F33" i="9" s="1"/>
  <c r="E3" i="9"/>
  <c r="C3" i="9"/>
  <c r="Q1" i="9"/>
  <c r="AC1" i="9" s="1"/>
  <c r="AO1" i="9" s="1"/>
  <c r="BA1" i="9" s="1"/>
  <c r="BM1" i="9" s="1"/>
  <c r="BW138" i="7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AI138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J138" i="7"/>
  <c r="I138" i="7"/>
  <c r="H138" i="7"/>
  <c r="G138" i="7"/>
  <c r="F138" i="7"/>
  <c r="E138" i="7"/>
  <c r="BW121" i="7"/>
  <c r="BV121" i="7"/>
  <c r="BU121" i="7"/>
  <c r="BT121" i="7"/>
  <c r="BS121" i="7"/>
  <c r="BR121" i="7"/>
  <c r="BQ121" i="7"/>
  <c r="BP121" i="7"/>
  <c r="BO121" i="7"/>
  <c r="BN121" i="7"/>
  <c r="BM121" i="7"/>
  <c r="BL121" i="7"/>
  <c r="BK121" i="7"/>
  <c r="BJ121" i="7"/>
  <c r="BI121" i="7"/>
  <c r="BH121" i="7"/>
  <c r="BG121" i="7"/>
  <c r="BF121" i="7"/>
  <c r="BE121" i="7"/>
  <c r="BD121" i="7"/>
  <c r="BC121" i="7"/>
  <c r="BB121" i="7"/>
  <c r="BA121" i="7"/>
  <c r="AZ121" i="7"/>
  <c r="AY121" i="7"/>
  <c r="AX121" i="7"/>
  <c r="AW121" i="7"/>
  <c r="AV121" i="7"/>
  <c r="AU121" i="7"/>
  <c r="AT121" i="7"/>
  <c r="AS121" i="7"/>
  <c r="AR121" i="7"/>
  <c r="AQ121" i="7"/>
  <c r="AP121" i="7"/>
  <c r="AO121" i="7"/>
  <c r="AN121" i="7"/>
  <c r="AM121" i="7"/>
  <c r="AL121" i="7"/>
  <c r="AK121" i="7"/>
  <c r="AJ121" i="7"/>
  <c r="AI121" i="7"/>
  <c r="AH121" i="7"/>
  <c r="AG121" i="7"/>
  <c r="AF121" i="7"/>
  <c r="AE121" i="7"/>
  <c r="AD121" i="7"/>
  <c r="AC121" i="7"/>
  <c r="AB121" i="7"/>
  <c r="AA121" i="7"/>
  <c r="Z121" i="7"/>
  <c r="Y121" i="7"/>
  <c r="X121" i="7"/>
  <c r="W121" i="7"/>
  <c r="V121" i="7"/>
  <c r="U121" i="7"/>
  <c r="T121" i="7"/>
  <c r="S121" i="7"/>
  <c r="R121" i="7"/>
  <c r="P121" i="7"/>
  <c r="O121" i="7"/>
  <c r="N121" i="7"/>
  <c r="M121" i="7"/>
  <c r="L121" i="7"/>
  <c r="K121" i="7"/>
  <c r="J121" i="7"/>
  <c r="I121" i="7"/>
  <c r="H121" i="7"/>
  <c r="G121" i="7"/>
  <c r="F121" i="7"/>
  <c r="E121" i="7"/>
  <c r="BW106" i="7"/>
  <c r="BV106" i="7"/>
  <c r="BU106" i="7"/>
  <c r="BT106" i="7"/>
  <c r="BS106" i="7"/>
  <c r="BR106" i="7"/>
  <c r="BQ106" i="7"/>
  <c r="BP106" i="7"/>
  <c r="BO106" i="7"/>
  <c r="BN106" i="7"/>
  <c r="BM106" i="7"/>
  <c r="BL106" i="7"/>
  <c r="BK106" i="7"/>
  <c r="BJ106" i="7"/>
  <c r="BI106" i="7"/>
  <c r="BH106" i="7"/>
  <c r="BG106" i="7"/>
  <c r="BF106" i="7"/>
  <c r="BE106" i="7"/>
  <c r="BD106" i="7"/>
  <c r="BC106" i="7"/>
  <c r="BB106" i="7"/>
  <c r="BA106" i="7"/>
  <c r="AZ106" i="7"/>
  <c r="AY106" i="7"/>
  <c r="AX106" i="7"/>
  <c r="AW106" i="7"/>
  <c r="AV106" i="7"/>
  <c r="AU106" i="7"/>
  <c r="AT106" i="7"/>
  <c r="AS106" i="7"/>
  <c r="AR106" i="7"/>
  <c r="AQ106" i="7"/>
  <c r="AP106" i="7"/>
  <c r="AO106" i="7"/>
  <c r="AM106" i="7"/>
  <c r="AL106" i="7"/>
  <c r="AK106" i="7"/>
  <c r="AJ106" i="7"/>
  <c r="AI106" i="7"/>
  <c r="AH106" i="7"/>
  <c r="AG106" i="7"/>
  <c r="AF106" i="7"/>
  <c r="AE106" i="7"/>
  <c r="AD106" i="7"/>
  <c r="AC106" i="7"/>
  <c r="AB106" i="7"/>
  <c r="AA106" i="7"/>
  <c r="Z106" i="7"/>
  <c r="Y106" i="7"/>
  <c r="X106" i="7"/>
  <c r="W106" i="7"/>
  <c r="V106" i="7"/>
  <c r="U106" i="7"/>
  <c r="T106" i="7"/>
  <c r="S106" i="7"/>
  <c r="R106" i="7"/>
  <c r="Q106" i="7"/>
  <c r="P106" i="7"/>
  <c r="O106" i="7"/>
  <c r="N106" i="7"/>
  <c r="M106" i="7"/>
  <c r="L106" i="7"/>
  <c r="K106" i="7"/>
  <c r="J106" i="7"/>
  <c r="I106" i="7"/>
  <c r="H106" i="7"/>
  <c r="G106" i="7"/>
  <c r="F106" i="7"/>
  <c r="E106" i="7"/>
  <c r="BY93" i="7"/>
  <c r="BY92" i="7"/>
  <c r="BY91" i="7"/>
  <c r="BY90" i="7"/>
  <c r="BY89" i="7"/>
  <c r="BX87" i="7"/>
  <c r="BW87" i="7"/>
  <c r="BV87" i="7"/>
  <c r="BU87" i="7"/>
  <c r="BT87" i="7"/>
  <c r="BS87" i="7"/>
  <c r="BR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C87" i="7"/>
  <c r="BB87" i="7"/>
  <c r="BA87" i="7"/>
  <c r="AZ87" i="7"/>
  <c r="AY87" i="7"/>
  <c r="AX87" i="7"/>
  <c r="AW87" i="7"/>
  <c r="AV87" i="7"/>
  <c r="AU87" i="7"/>
  <c r="AT87" i="7"/>
  <c r="AS87" i="7"/>
  <c r="AR87" i="7"/>
  <c r="AQ87" i="7"/>
  <c r="AP87" i="7"/>
  <c r="AO87" i="7"/>
  <c r="AM87" i="7"/>
  <c r="AL87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S87" i="7"/>
  <c r="R87" i="7"/>
  <c r="Q87" i="7"/>
  <c r="P87" i="7"/>
  <c r="O87" i="7"/>
  <c r="N87" i="7"/>
  <c r="M87" i="7"/>
  <c r="L87" i="7"/>
  <c r="K87" i="7"/>
  <c r="J87" i="7"/>
  <c r="I87" i="7"/>
  <c r="H87" i="7"/>
  <c r="G87" i="7"/>
  <c r="F87" i="7"/>
  <c r="E87" i="7"/>
  <c r="BY86" i="7"/>
  <c r="BY85" i="7"/>
  <c r="BX84" i="7"/>
  <c r="BW84" i="7"/>
  <c r="BV84" i="7"/>
  <c r="BU84" i="7"/>
  <c r="BT84" i="7"/>
  <c r="BS84" i="7"/>
  <c r="BR84" i="7"/>
  <c r="BQ84" i="7"/>
  <c r="BP84" i="7"/>
  <c r="BO84" i="7"/>
  <c r="BN84" i="7"/>
  <c r="BM84" i="7"/>
  <c r="BL84" i="7"/>
  <c r="BK84" i="7"/>
  <c r="BJ84" i="7"/>
  <c r="BI84" i="7"/>
  <c r="BH84" i="7"/>
  <c r="BG84" i="7"/>
  <c r="BF84" i="7"/>
  <c r="BE84" i="7"/>
  <c r="BD84" i="7"/>
  <c r="BC84" i="7"/>
  <c r="BB84" i="7"/>
  <c r="BA84" i="7"/>
  <c r="AZ84" i="7"/>
  <c r="AY84" i="7"/>
  <c r="AX84" i="7"/>
  <c r="AW84" i="7"/>
  <c r="AV84" i="7"/>
  <c r="AU84" i="7"/>
  <c r="AT84" i="7"/>
  <c r="AS84" i="7"/>
  <c r="AR84" i="7"/>
  <c r="AQ84" i="7"/>
  <c r="AP84" i="7"/>
  <c r="AO84" i="7"/>
  <c r="AN84" i="7"/>
  <c r="AM84" i="7"/>
  <c r="AL84" i="7"/>
  <c r="AK84" i="7"/>
  <c r="AJ84" i="7"/>
  <c r="AI84" i="7"/>
  <c r="AH84" i="7"/>
  <c r="AG84" i="7"/>
  <c r="AF84" i="7"/>
  <c r="AE84" i="7"/>
  <c r="AD84" i="7"/>
  <c r="AC84" i="7"/>
  <c r="AB84" i="7"/>
  <c r="AA84" i="7"/>
  <c r="Z84" i="7"/>
  <c r="Y84" i="7"/>
  <c r="X84" i="7"/>
  <c r="W84" i="7"/>
  <c r="V84" i="7"/>
  <c r="U84" i="7"/>
  <c r="T84" i="7"/>
  <c r="S84" i="7"/>
  <c r="R84" i="7"/>
  <c r="Q84" i="7"/>
  <c r="P84" i="7"/>
  <c r="O84" i="7"/>
  <c r="N84" i="7"/>
  <c r="M84" i="7"/>
  <c r="L84" i="7"/>
  <c r="K84" i="7"/>
  <c r="J84" i="7"/>
  <c r="I84" i="7"/>
  <c r="H84" i="7"/>
  <c r="G84" i="7"/>
  <c r="F84" i="7"/>
  <c r="E84" i="7"/>
  <c r="BY83" i="7"/>
  <c r="BY82" i="7"/>
  <c r="BY81" i="7"/>
  <c r="BY80" i="7"/>
  <c r="CB78" i="7"/>
  <c r="BY78" i="7"/>
  <c r="CB77" i="7"/>
  <c r="BY77" i="7"/>
  <c r="CB76" i="7" a="1"/>
  <c r="CB76" i="7" s="1"/>
  <c r="BY76" i="7"/>
  <c r="BY75" i="7"/>
  <c r="CB74" i="7" a="1"/>
  <c r="CB74" i="7" s="1"/>
  <c r="BY74" i="7"/>
  <c r="BY73" i="7"/>
  <c r="CB72" i="7" a="1"/>
  <c r="CB72" i="7" s="1"/>
  <c r="BY72" i="7"/>
  <c r="BY71" i="7"/>
  <c r="BY70" i="7"/>
  <c r="CB69" i="7" a="1"/>
  <c r="CB69" i="7" s="1"/>
  <c r="BY69" i="7"/>
  <c r="BY68" i="7"/>
  <c r="BY67" i="7"/>
  <c r="BY66" i="7"/>
  <c r="BY65" i="7"/>
  <c r="BY64" i="7"/>
  <c r="BY63" i="7"/>
  <c r="BY62" i="7"/>
  <c r="BY61" i="7"/>
  <c r="BX60" i="7"/>
  <c r="BW60" i="7"/>
  <c r="BV60" i="7"/>
  <c r="BU60" i="7"/>
  <c r="BT60" i="7"/>
  <c r="BS60" i="7"/>
  <c r="BR60" i="7"/>
  <c r="BQ60" i="7"/>
  <c r="BP60" i="7"/>
  <c r="BO60" i="7"/>
  <c r="BN60" i="7"/>
  <c r="BM60" i="7"/>
  <c r="BL60" i="7"/>
  <c r="BK60" i="7"/>
  <c r="BJ60" i="7"/>
  <c r="BI60" i="7"/>
  <c r="BH60" i="7"/>
  <c r="BG60" i="7"/>
  <c r="BF60" i="7"/>
  <c r="BE60" i="7"/>
  <c r="BD60" i="7"/>
  <c r="BC60" i="7"/>
  <c r="BB60" i="7"/>
  <c r="BA60" i="7"/>
  <c r="AZ60" i="7"/>
  <c r="AY60" i="7"/>
  <c r="AX60" i="7"/>
  <c r="AW60" i="7"/>
  <c r="AV60" i="7"/>
  <c r="AU60" i="7"/>
  <c r="AT60" i="7"/>
  <c r="AS60" i="7"/>
  <c r="AR60" i="7"/>
  <c r="AQ60" i="7"/>
  <c r="AP60" i="7"/>
  <c r="AO60" i="7"/>
  <c r="AK60" i="7"/>
  <c r="AJ60" i="7"/>
  <c r="AI60" i="7"/>
  <c r="AH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BY58" i="7"/>
  <c r="D58" i="7"/>
  <c r="BY57" i="7"/>
  <c r="BY56" i="7"/>
  <c r="BY55" i="7"/>
  <c r="BY54" i="7"/>
  <c r="BX52" i="7"/>
  <c r="BW52" i="7"/>
  <c r="BV52" i="7"/>
  <c r="BU52" i="7"/>
  <c r="BT52" i="7"/>
  <c r="BS52" i="7"/>
  <c r="BR52" i="7"/>
  <c r="BQ52" i="7"/>
  <c r="BP52" i="7"/>
  <c r="BO52" i="7"/>
  <c r="BN52" i="7"/>
  <c r="BM52" i="7"/>
  <c r="BL52" i="7"/>
  <c r="BK52" i="7"/>
  <c r="BJ52" i="7"/>
  <c r="BI52" i="7"/>
  <c r="BH52" i="7"/>
  <c r="BG52" i="7"/>
  <c r="BF52" i="7"/>
  <c r="BE52" i="7"/>
  <c r="BD52" i="7"/>
  <c r="BC52" i="7"/>
  <c r="BB52" i="7"/>
  <c r="BA52" i="7"/>
  <c r="AZ52" i="7"/>
  <c r="AY52" i="7"/>
  <c r="AX52" i="7"/>
  <c r="AW52" i="7"/>
  <c r="AV52" i="7"/>
  <c r="AU52" i="7"/>
  <c r="AT52" i="7"/>
  <c r="AS52" i="7"/>
  <c r="AR52" i="7"/>
  <c r="AQ52" i="7"/>
  <c r="AP52" i="7"/>
  <c r="AO52" i="7"/>
  <c r="AA52" i="7"/>
  <c r="Z52" i="7"/>
  <c r="Y52" i="7"/>
  <c r="X52" i="7"/>
  <c r="W52" i="7"/>
  <c r="V52" i="7"/>
  <c r="U52" i="7"/>
  <c r="T52" i="7"/>
  <c r="S52" i="7"/>
  <c r="R52" i="7"/>
  <c r="Q52" i="7"/>
  <c r="P52" i="7"/>
  <c r="N52" i="7"/>
  <c r="M52" i="7"/>
  <c r="L52" i="7"/>
  <c r="K52" i="7"/>
  <c r="J52" i="7"/>
  <c r="I52" i="7"/>
  <c r="H52" i="7"/>
  <c r="G52" i="7"/>
  <c r="F52" i="7"/>
  <c r="E52" i="7"/>
  <c r="BY51" i="7"/>
  <c r="BY49" i="7"/>
  <c r="BY48" i="7"/>
  <c r="BX46" i="7"/>
  <c r="BW46" i="7"/>
  <c r="BV46" i="7"/>
  <c r="BU46" i="7"/>
  <c r="BT46" i="7"/>
  <c r="BS46" i="7"/>
  <c r="BR46" i="7"/>
  <c r="BQ46" i="7"/>
  <c r="BP46" i="7"/>
  <c r="BO46" i="7"/>
  <c r="BN46" i="7"/>
  <c r="BM46" i="7"/>
  <c r="BL46" i="7"/>
  <c r="BK46" i="7"/>
  <c r="BJ46" i="7"/>
  <c r="BI46" i="7"/>
  <c r="BH46" i="7"/>
  <c r="BG46" i="7"/>
  <c r="BF46" i="7"/>
  <c r="BE46" i="7"/>
  <c r="BD46" i="7"/>
  <c r="BC46" i="7"/>
  <c r="BB46" i="7"/>
  <c r="BA46" i="7"/>
  <c r="AZ46" i="7"/>
  <c r="AY46" i="7"/>
  <c r="AX46" i="7"/>
  <c r="AW46" i="7"/>
  <c r="AV46" i="7"/>
  <c r="AU46" i="7"/>
  <c r="AT46" i="7"/>
  <c r="AS46" i="7"/>
  <c r="AR46" i="7"/>
  <c r="AQ46" i="7"/>
  <c r="AP46" i="7"/>
  <c r="AO46" i="7"/>
  <c r="AM46" i="7"/>
  <c r="AL46" i="7"/>
  <c r="AK46" i="7"/>
  <c r="AJ46" i="7"/>
  <c r="AI46" i="7"/>
  <c r="AH46" i="7"/>
  <c r="AG46" i="7"/>
  <c r="AF46" i="7"/>
  <c r="AE46" i="7"/>
  <c r="AD46" i="7"/>
  <c r="AC46" i="7"/>
  <c r="AA46" i="7"/>
  <c r="Z46" i="7"/>
  <c r="Y46" i="7"/>
  <c r="X46" i="7"/>
  <c r="W46" i="7"/>
  <c r="V46" i="7"/>
  <c r="U46" i="7"/>
  <c r="T46" i="7"/>
  <c r="S46" i="7"/>
  <c r="R46" i="7"/>
  <c r="Q46" i="7"/>
  <c r="P46" i="7"/>
  <c r="N46" i="7"/>
  <c r="M46" i="7"/>
  <c r="L46" i="7"/>
  <c r="K46" i="7"/>
  <c r="J46" i="7"/>
  <c r="I46" i="7"/>
  <c r="H46" i="7"/>
  <c r="G46" i="7"/>
  <c r="F46" i="7"/>
  <c r="E46" i="7"/>
  <c r="CB42" i="7"/>
  <c r="CB41" i="7"/>
  <c r="CB83" i="7" s="1" a="1"/>
  <c r="CB83" i="7" s="1"/>
  <c r="CB39" i="7"/>
  <c r="CB81" i="7" s="1"/>
  <c r="CB38" i="7"/>
  <c r="CB80" i="7" s="1"/>
  <c r="BX37" i="7"/>
  <c r="BW37" i="7"/>
  <c r="BV37" i="7"/>
  <c r="BU37" i="7"/>
  <c r="BT37" i="7"/>
  <c r="BS37" i="7"/>
  <c r="BR37" i="7"/>
  <c r="BQ37" i="7"/>
  <c r="BP37" i="7"/>
  <c r="BO37" i="7"/>
  <c r="BN37" i="7"/>
  <c r="BM37" i="7"/>
  <c r="BL37" i="7"/>
  <c r="BK37" i="7"/>
  <c r="BJ37" i="7"/>
  <c r="BI37" i="7"/>
  <c r="BH37" i="7"/>
  <c r="BG37" i="7"/>
  <c r="BF37" i="7"/>
  <c r="BE37" i="7"/>
  <c r="BD37" i="7"/>
  <c r="BC37" i="7"/>
  <c r="BB37" i="7"/>
  <c r="BA37" i="7"/>
  <c r="AZ37" i="7"/>
  <c r="AY37" i="7"/>
  <c r="AX37" i="7"/>
  <c r="AW37" i="7"/>
  <c r="AV37" i="7"/>
  <c r="AU37" i="7"/>
  <c r="AT37" i="7"/>
  <c r="AS37" i="7"/>
  <c r="AR37" i="7"/>
  <c r="AQ37" i="7"/>
  <c r="AP37" i="7"/>
  <c r="AO37" i="7"/>
  <c r="N37" i="7"/>
  <c r="M37" i="7"/>
  <c r="L37" i="7"/>
  <c r="K37" i="7"/>
  <c r="J37" i="7"/>
  <c r="I37" i="7"/>
  <c r="H37" i="7"/>
  <c r="G37" i="7"/>
  <c r="F37" i="7"/>
  <c r="E37" i="7"/>
  <c r="CB36" i="7"/>
  <c r="CB75" i="7" s="1" a="1"/>
  <c r="CB75" i="7" s="1"/>
  <c r="CB35" i="7"/>
  <c r="CB73" i="7" s="1" a="1"/>
  <c r="CB73" i="7" s="1"/>
  <c r="BY35" i="7"/>
  <c r="CB34" i="7"/>
  <c r="CB71" i="7" s="1" a="1"/>
  <c r="CB71" i="7" s="1"/>
  <c r="C34" i="7"/>
  <c r="CB33" i="7"/>
  <c r="CB70" i="7" s="1" a="1"/>
  <c r="CB70" i="7" s="1"/>
  <c r="C32" i="7"/>
  <c r="C31" i="7"/>
  <c r="BX30" i="7"/>
  <c r="BW30" i="7"/>
  <c r="BV30" i="7"/>
  <c r="BU30" i="7"/>
  <c r="BT30" i="7"/>
  <c r="BS30" i="7"/>
  <c r="BR30" i="7"/>
  <c r="BQ30" i="7"/>
  <c r="BP30" i="7"/>
  <c r="BO30" i="7"/>
  <c r="BN30" i="7"/>
  <c r="BM30" i="7"/>
  <c r="BL30" i="7"/>
  <c r="BK30" i="7"/>
  <c r="BJ30" i="7"/>
  <c r="BI30" i="7"/>
  <c r="BH30" i="7"/>
  <c r="BG30" i="7"/>
  <c r="BF30" i="7"/>
  <c r="BE30" i="7"/>
  <c r="BD30" i="7"/>
  <c r="BC30" i="7"/>
  <c r="BB30" i="7"/>
  <c r="BA30" i="7"/>
  <c r="AZ30" i="7"/>
  <c r="AY30" i="7"/>
  <c r="AX30" i="7"/>
  <c r="AW30" i="7"/>
  <c r="AV30" i="7"/>
  <c r="AU30" i="7"/>
  <c r="AT30" i="7"/>
  <c r="AS30" i="7"/>
  <c r="AR30" i="7"/>
  <c r="AQ30" i="7"/>
  <c r="AP30" i="7"/>
  <c r="AO30" i="7"/>
  <c r="AN30" i="7"/>
  <c r="AM30" i="7"/>
  <c r="AL30" i="7"/>
  <c r="AK30" i="7"/>
  <c r="AB30" i="7"/>
  <c r="Z30" i="7"/>
  <c r="X30" i="7"/>
  <c r="W30" i="7"/>
  <c r="V30" i="7"/>
  <c r="U30" i="7"/>
  <c r="T30" i="7"/>
  <c r="S30" i="7"/>
  <c r="R30" i="7"/>
  <c r="Q30" i="7"/>
  <c r="P30" i="7"/>
  <c r="O30" i="7"/>
  <c r="N30" i="7"/>
  <c r="M30" i="7"/>
  <c r="L30" i="7"/>
  <c r="K30" i="7"/>
  <c r="J30" i="7"/>
  <c r="I30" i="7"/>
  <c r="H30" i="7"/>
  <c r="G30" i="7"/>
  <c r="F30" i="7"/>
  <c r="E30" i="7"/>
  <c r="CB29" i="7" a="1"/>
  <c r="CB29" i="7"/>
  <c r="CB67" i="7" s="1" a="1"/>
  <c r="CB67" i="7" s="1"/>
  <c r="BY29" i="7"/>
  <c r="BY27" i="7"/>
  <c r="BY26" i="7"/>
  <c r="CB25" i="7" a="1"/>
  <c r="CB25" i="7"/>
  <c r="CB66" i="7" s="1"/>
  <c r="BX24" i="7"/>
  <c r="BW24" i="7"/>
  <c r="BV24" i="7"/>
  <c r="BU24" i="7"/>
  <c r="BT24" i="7"/>
  <c r="BS24" i="7"/>
  <c r="BR24" i="7"/>
  <c r="BQ24" i="7"/>
  <c r="BP24" i="7"/>
  <c r="BO24" i="7"/>
  <c r="BN24" i="7"/>
  <c r="BM24" i="7"/>
  <c r="BL24" i="7"/>
  <c r="BK24" i="7"/>
  <c r="BJ24" i="7"/>
  <c r="BI24" i="7"/>
  <c r="BH24" i="7"/>
  <c r="BG24" i="7"/>
  <c r="BF24" i="7"/>
  <c r="BE24" i="7"/>
  <c r="BD24" i="7"/>
  <c r="BC24" i="7"/>
  <c r="BB24" i="7"/>
  <c r="BA24" i="7"/>
  <c r="AZ24" i="7"/>
  <c r="AY24" i="7"/>
  <c r="AX24" i="7"/>
  <c r="AW24" i="7"/>
  <c r="AV24" i="7"/>
  <c r="AU24" i="7"/>
  <c r="AT24" i="7"/>
  <c r="AS24" i="7"/>
  <c r="AR24" i="7"/>
  <c r="AQ24" i="7"/>
  <c r="AP24" i="7"/>
  <c r="AO24" i="7"/>
  <c r="AN24" i="7"/>
  <c r="AM24" i="7"/>
  <c r="AL24" i="7"/>
  <c r="AK24" i="7"/>
  <c r="AJ24" i="7"/>
  <c r="AI24" i="7"/>
  <c r="AH24" i="7"/>
  <c r="AG24" i="7"/>
  <c r="AF24" i="7"/>
  <c r="AA24" i="7"/>
  <c r="Z24" i="7"/>
  <c r="Y24" i="7"/>
  <c r="X24" i="7"/>
  <c r="W24" i="7"/>
  <c r="U24" i="7"/>
  <c r="T24" i="7"/>
  <c r="S24" i="7"/>
  <c r="R24" i="7"/>
  <c r="P24" i="7"/>
  <c r="O24" i="7"/>
  <c r="N24" i="7"/>
  <c r="M24" i="7"/>
  <c r="L24" i="7"/>
  <c r="K24" i="7"/>
  <c r="J24" i="7"/>
  <c r="I24" i="7"/>
  <c r="H24" i="7"/>
  <c r="G24" i="7"/>
  <c r="F24" i="7"/>
  <c r="E24" i="7"/>
  <c r="BY23" i="7"/>
  <c r="BY22" i="7"/>
  <c r="BY21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M18" i="7"/>
  <c r="L18" i="7"/>
  <c r="K18" i="7"/>
  <c r="J18" i="7"/>
  <c r="I18" i="7"/>
  <c r="H18" i="7"/>
  <c r="G18" i="7"/>
  <c r="F18" i="7"/>
  <c r="E18" i="7"/>
  <c r="BY16" i="7"/>
  <c r="CB16" i="7" s="1"/>
  <c r="BX15" i="7"/>
  <c r="BW15" i="7"/>
  <c r="BV15" i="7"/>
  <c r="BU15" i="7"/>
  <c r="BW14" i="7" s="1"/>
  <c r="BW17" i="7" s="1"/>
  <c r="BT15" i="7"/>
  <c r="BV14" i="7" s="1"/>
  <c r="BS15" i="7"/>
  <c r="BU14" i="7" s="1"/>
  <c r="BR15" i="7"/>
  <c r="BT14" i="7" s="1"/>
  <c r="BQ15" i="7"/>
  <c r="BS14" i="7" s="1"/>
  <c r="BS17" i="7" s="1"/>
  <c r="BP15" i="7"/>
  <c r="BR14" i="7" s="1"/>
  <c r="BR17" i="7" s="1"/>
  <c r="BO15" i="7"/>
  <c r="BQ14" i="7" s="1"/>
  <c r="BN15" i="7"/>
  <c r="BP14" i="7" s="1"/>
  <c r="BP17" i="7" s="1"/>
  <c r="BM15" i="7"/>
  <c r="BO14" i="7" s="1"/>
  <c r="BO17" i="7" s="1"/>
  <c r="BL15" i="7"/>
  <c r="BN14" i="7" s="1"/>
  <c r="BK15" i="7"/>
  <c r="BM14" i="7" s="1"/>
  <c r="BJ15" i="7"/>
  <c r="BL14" i="7" s="1"/>
  <c r="BI15" i="7"/>
  <c r="BK14" i="7" s="1"/>
  <c r="BK17" i="7" s="1"/>
  <c r="BH15" i="7"/>
  <c r="BJ14" i="7" s="1"/>
  <c r="BJ17" i="7" s="1"/>
  <c r="BG15" i="7"/>
  <c r="BI14" i="7" s="1"/>
  <c r="BF15" i="7"/>
  <c r="BH14" i="7" s="1"/>
  <c r="BH17" i="7" s="1"/>
  <c r="BE15" i="7"/>
  <c r="BG14" i="7" s="1"/>
  <c r="BG17" i="7" s="1"/>
  <c r="BD15" i="7"/>
  <c r="BF14" i="7" s="1"/>
  <c r="BC15" i="7"/>
  <c r="BE14" i="7" s="1"/>
  <c r="BB15" i="7"/>
  <c r="BD14" i="7" s="1"/>
  <c r="BA15" i="7"/>
  <c r="BC14" i="7" s="1"/>
  <c r="BC17" i="7" s="1"/>
  <c r="AZ15" i="7"/>
  <c r="BB14" i="7" s="1"/>
  <c r="BB17" i="7" s="1"/>
  <c r="AY15" i="7"/>
  <c r="BA14" i="7" s="1"/>
  <c r="AX15" i="7"/>
  <c r="AZ14" i="7" s="1"/>
  <c r="AZ17" i="7" s="1"/>
  <c r="AW15" i="7"/>
  <c r="AY14" i="7" s="1"/>
  <c r="AY17" i="7" s="1"/>
  <c r="AV15" i="7"/>
  <c r="AX14" i="7" s="1"/>
  <c r="AU15" i="7"/>
  <c r="AW14" i="7" s="1"/>
  <c r="AT15" i="7"/>
  <c r="AV14" i="7" s="1"/>
  <c r="AS15" i="7"/>
  <c r="AU14" i="7" s="1"/>
  <c r="AU17" i="7" s="1"/>
  <c r="AR15" i="7"/>
  <c r="AT14" i="7" s="1"/>
  <c r="AT17" i="7" s="1"/>
  <c r="AQ15" i="7"/>
  <c r="AS14" i="7" s="1"/>
  <c r="AP15" i="7"/>
  <c r="AR14" i="7" s="1"/>
  <c r="AR17" i="7" s="1"/>
  <c r="AO15" i="7"/>
  <c r="AQ14" i="7" s="1"/>
  <c r="AQ17" i="7" s="1"/>
  <c r="N15" i="7"/>
  <c r="M15" i="7"/>
  <c r="O14" i="7" s="1"/>
  <c r="L15" i="7"/>
  <c r="N14" i="7" s="1"/>
  <c r="K15" i="7"/>
  <c r="M14" i="7" s="1"/>
  <c r="M17" i="7" s="1"/>
  <c r="J15" i="7"/>
  <c r="L14" i="7" s="1"/>
  <c r="I15" i="7"/>
  <c r="K14" i="7" s="1"/>
  <c r="K17" i="7" s="1"/>
  <c r="H15" i="7"/>
  <c r="J14" i="7" s="1"/>
  <c r="J17" i="7" s="1"/>
  <c r="G15" i="7"/>
  <c r="I14" i="7" s="1"/>
  <c r="F15" i="7"/>
  <c r="E15" i="7"/>
  <c r="G14" i="7" s="1"/>
  <c r="BT17" i="7"/>
  <c r="BL17" i="7"/>
  <c r="BD17" i="7"/>
  <c r="AV17" i="7"/>
  <c r="N17" i="7"/>
  <c r="I17" i="7"/>
  <c r="BY9" i="7"/>
  <c r="BY8" i="7"/>
  <c r="CB8" i="7" s="1"/>
  <c r="CB50" i="7" s="1"/>
  <c r="BY7" i="7"/>
  <c r="CB7" i="7" s="1"/>
  <c r="CB49" i="7" s="1"/>
  <c r="BY6" i="7"/>
  <c r="CB6" i="7" s="1"/>
  <c r="CB48" i="7" s="1"/>
  <c r="BY5" i="7"/>
  <c r="AN88" i="7" s="1"/>
  <c r="C104" i="6"/>
  <c r="F95" i="6"/>
  <c r="B95" i="6"/>
  <c r="B94" i="6"/>
  <c r="B93" i="6"/>
  <c r="B92" i="6"/>
  <c r="B91" i="6"/>
  <c r="B89" i="6"/>
  <c r="B83" i="6"/>
  <c r="B82" i="6"/>
  <c r="B81" i="6"/>
  <c r="B80" i="6"/>
  <c r="B79" i="6"/>
  <c r="B78" i="6"/>
  <c r="B77" i="6"/>
  <c r="B76" i="6"/>
  <c r="B75" i="6"/>
  <c r="B74" i="6"/>
  <c r="B70" i="6"/>
  <c r="B64" i="6"/>
  <c r="B62" i="6"/>
  <c r="F59" i="6"/>
  <c r="C59" i="6"/>
  <c r="B59" i="6"/>
  <c r="E59" i="6" s="1" a="1"/>
  <c r="E59" i="6" s="1"/>
  <c r="F58" i="6"/>
  <c r="C58" i="6"/>
  <c r="B58" i="6"/>
  <c r="E58" i="6" s="1" a="1"/>
  <c r="E58" i="6" s="1"/>
  <c r="F57" i="6"/>
  <c r="C57" i="6"/>
  <c r="B57" i="6"/>
  <c r="E57" i="6" s="1" a="1"/>
  <c r="E57" i="6" s="1"/>
  <c r="F56" i="6"/>
  <c r="C56" i="6"/>
  <c r="B56" i="6"/>
  <c r="E56" i="6" s="1" a="1"/>
  <c r="E56" i="6" s="1"/>
  <c r="C55" i="6"/>
  <c r="B55" i="6"/>
  <c r="E55" i="6" s="1" a="1"/>
  <c r="E55" i="6" s="1"/>
  <c r="C54" i="6"/>
  <c r="B54" i="6"/>
  <c r="E54" i="6" s="1" a="1"/>
  <c r="E54" i="6" s="1"/>
  <c r="F54" i="6" s="1"/>
  <c r="F53" i="6"/>
  <c r="C53" i="6"/>
  <c r="B53" i="6"/>
  <c r="E53" i="6" s="1" a="1"/>
  <c r="E53" i="6" s="1"/>
  <c r="C52" i="6"/>
  <c r="B52" i="6"/>
  <c r="E52" i="6" s="1" a="1"/>
  <c r="E52" i="6" s="1"/>
  <c r="F52" i="6" s="1"/>
  <c r="C51" i="6"/>
  <c r="B51" i="6"/>
  <c r="E51" i="6" s="1" a="1"/>
  <c r="E51" i="6" s="1"/>
  <c r="C49" i="6"/>
  <c r="B49" i="6"/>
  <c r="E49" i="6" s="1" a="1"/>
  <c r="E49" i="6" s="1"/>
  <c r="F49" i="6" s="1"/>
  <c r="C48" i="6"/>
  <c r="B48" i="6"/>
  <c r="E48" i="6" s="1" a="1"/>
  <c r="E48" i="6" s="1"/>
  <c r="C47" i="6"/>
  <c r="B47" i="6"/>
  <c r="E47" i="6" s="1" a="1"/>
  <c r="E47" i="6" s="1"/>
  <c r="C46" i="6"/>
  <c r="B46" i="6"/>
  <c r="E46" i="6" s="1" a="1"/>
  <c r="E46" i="6" s="1"/>
  <c r="C45" i="6"/>
  <c r="B45" i="6"/>
  <c r="E45" i="6" s="1" a="1"/>
  <c r="E45" i="6" s="1"/>
  <c r="F45" i="6" s="1"/>
  <c r="C44" i="6"/>
  <c r="B44" i="6"/>
  <c r="E44" i="6" s="1" a="1"/>
  <c r="E44" i="6" s="1"/>
  <c r="C43" i="6"/>
  <c r="B43" i="6"/>
  <c r="E43" i="6" s="1" a="1"/>
  <c r="E43" i="6" s="1"/>
  <c r="C42" i="6"/>
  <c r="B42" i="6"/>
  <c r="E42" i="6" s="1" a="1"/>
  <c r="E42" i="6" s="1"/>
  <c r="C41" i="6"/>
  <c r="B41" i="6"/>
  <c r="E41" i="6" s="1" a="1"/>
  <c r="E41" i="6" s="1"/>
  <c r="F41" i="6" s="1"/>
  <c r="B38" i="6"/>
  <c r="J27" i="6"/>
  <c r="B32" i="6"/>
  <c r="N21" i="6"/>
  <c r="B29" i="6"/>
  <c r="B28" i="6"/>
  <c r="B27" i="6"/>
  <c r="M16" i="6"/>
  <c r="L16" i="6"/>
  <c r="K16" i="6"/>
  <c r="J16" i="6"/>
  <c r="I16" i="6"/>
  <c r="B25" i="6"/>
  <c r="B27" i="11" s="1"/>
  <c r="M15" i="6"/>
  <c r="L15" i="6"/>
  <c r="K15" i="6"/>
  <c r="J15" i="6"/>
  <c r="I15" i="6"/>
  <c r="R14" i="6"/>
  <c r="M14" i="6"/>
  <c r="L14" i="6"/>
  <c r="K14" i="6"/>
  <c r="J14" i="6"/>
  <c r="I14" i="6"/>
  <c r="M13" i="6"/>
  <c r="L13" i="6"/>
  <c r="K13" i="6"/>
  <c r="J13" i="6"/>
  <c r="I13" i="6"/>
  <c r="M12" i="6"/>
  <c r="L12" i="6"/>
  <c r="K12" i="6"/>
  <c r="J12" i="6"/>
  <c r="I12" i="6"/>
  <c r="M11" i="6"/>
  <c r="L11" i="6"/>
  <c r="K11" i="6"/>
  <c r="J11" i="6"/>
  <c r="I11" i="6"/>
  <c r="M10" i="6"/>
  <c r="L10" i="6"/>
  <c r="K10" i="6"/>
  <c r="J10" i="6"/>
  <c r="I10" i="6"/>
  <c r="B12" i="6"/>
  <c r="L9" i="6"/>
  <c r="K9" i="6"/>
  <c r="J9" i="6"/>
  <c r="I9" i="6"/>
  <c r="B9" i="6"/>
  <c r="L8" i="6"/>
  <c r="K8" i="6"/>
  <c r="J8" i="6"/>
  <c r="I8" i="6"/>
  <c r="B8" i="6"/>
  <c r="B24" i="11" s="1"/>
  <c r="E83" i="2" a="1"/>
  <c r="E83" i="2" s="1"/>
  <c r="C83" i="2" a="1"/>
  <c r="C83" i="2"/>
  <c r="E82" i="2" a="1"/>
  <c r="E82" i="2" s="1"/>
  <c r="C82" i="2" a="1"/>
  <c r="C82" i="2" s="1"/>
  <c r="E81" i="2" a="1"/>
  <c r="E81" i="2" s="1"/>
  <c r="C81" i="2" a="1"/>
  <c r="C81" i="2"/>
  <c r="E80" i="2" a="1"/>
  <c r="E80" i="2" s="1"/>
  <c r="C80" i="2" a="1"/>
  <c r="C80" i="2" s="1"/>
  <c r="E79" i="2" a="1"/>
  <c r="E79" i="2" s="1"/>
  <c r="C79" i="2" a="1"/>
  <c r="C79" i="2" s="1"/>
  <c r="E78" i="2" a="1"/>
  <c r="E78" i="2" s="1"/>
  <c r="C78" i="2" a="1"/>
  <c r="C78" i="2"/>
  <c r="E77" i="2" a="1"/>
  <c r="E77" i="2" s="1"/>
  <c r="C77" i="2" a="1"/>
  <c r="C77" i="2" s="1"/>
  <c r="E76" i="2" a="1"/>
  <c r="E76" i="2" s="1"/>
  <c r="C76" i="2" a="1"/>
  <c r="C76" i="2" s="1"/>
  <c r="E75" i="2" a="1"/>
  <c r="E75" i="2" s="1"/>
  <c r="C75" i="2" a="1"/>
  <c r="C75" i="2" s="1"/>
  <c r="E74" i="2" a="1"/>
  <c r="E74" i="2" s="1"/>
  <c r="C74" i="2" a="1"/>
  <c r="C74" i="2" s="1"/>
  <c r="E73" i="2" a="1"/>
  <c r="E73" i="2" s="1"/>
  <c r="C73" i="2" a="1"/>
  <c r="C73" i="2" s="1"/>
  <c r="E72" i="2" a="1"/>
  <c r="E72" i="2" s="1"/>
  <c r="C72" i="2" a="1"/>
  <c r="C72" i="2" s="1"/>
  <c r="E71" i="2" a="1"/>
  <c r="E71" i="2" s="1"/>
  <c r="C71" i="2" a="1"/>
  <c r="C71" i="2"/>
  <c r="E70" i="2" a="1"/>
  <c r="E70" i="2" s="1"/>
  <c r="C70" i="2" a="1"/>
  <c r="C70" i="2" s="1"/>
  <c r="E69" i="2" a="1"/>
  <c r="E69" i="2" s="1"/>
  <c r="C69" i="2" a="1"/>
  <c r="C69" i="2" s="1"/>
  <c r="E68" i="2" a="1"/>
  <c r="E68" i="2" s="1"/>
  <c r="C68" i="2" a="1"/>
  <c r="C68" i="2"/>
  <c r="E67" i="2" a="1"/>
  <c r="E67" i="2" s="1"/>
  <c r="C67" i="2" a="1"/>
  <c r="C67" i="2" s="1"/>
  <c r="E66" i="2" a="1"/>
  <c r="E66" i="2" s="1"/>
  <c r="C66" i="2" a="1"/>
  <c r="C66" i="2" s="1"/>
  <c r="E65" i="2" a="1"/>
  <c r="E65" i="2" s="1"/>
  <c r="C65" i="2" a="1"/>
  <c r="C65" i="2"/>
  <c r="E64" i="2" a="1"/>
  <c r="E64" i="2" s="1"/>
  <c r="C64" i="2" a="1"/>
  <c r="C64" i="2" s="1"/>
  <c r="E63" i="2" a="1"/>
  <c r="E63" i="2" s="1"/>
  <c r="C63" i="2" a="1"/>
  <c r="C63" i="2" s="1"/>
  <c r="E62" i="2" a="1"/>
  <c r="E62" i="2" s="1"/>
  <c r="C62" i="2" a="1"/>
  <c r="C62" i="2"/>
  <c r="E61" i="2" a="1"/>
  <c r="E61" i="2" s="1"/>
  <c r="C61" i="2" a="1"/>
  <c r="C61" i="2" s="1"/>
  <c r="E60" i="2" a="1"/>
  <c r="E60" i="2" s="1"/>
  <c r="C60" i="2" a="1"/>
  <c r="C60" i="2" s="1"/>
  <c r="E59" i="2" a="1"/>
  <c r="E59" i="2" s="1"/>
  <c r="C59" i="2" a="1"/>
  <c r="C59" i="2"/>
  <c r="E58" i="2" a="1"/>
  <c r="E58" i="2" s="1"/>
  <c r="C58" i="2" a="1"/>
  <c r="C58" i="2" s="1"/>
  <c r="E57" i="2" a="1"/>
  <c r="E57" i="2" s="1"/>
  <c r="C57" i="2" a="1"/>
  <c r="C57" i="2" s="1"/>
  <c r="E56" i="2" a="1"/>
  <c r="E56" i="2" s="1"/>
  <c r="C56" i="2" a="1"/>
  <c r="C56" i="2" s="1"/>
  <c r="E55" i="2" a="1"/>
  <c r="E55" i="2" s="1"/>
  <c r="C55" i="2" a="1"/>
  <c r="C55" i="2" s="1"/>
  <c r="E54" i="2" a="1"/>
  <c r="E54" i="2" s="1"/>
  <c r="C54" i="2" a="1"/>
  <c r="C54" i="2" s="1"/>
  <c r="E53" i="2" a="1"/>
  <c r="E53" i="2" s="1"/>
  <c r="C53" i="2" a="1"/>
  <c r="C53" i="2" s="1"/>
  <c r="E52" i="2" a="1"/>
  <c r="E52" i="2" s="1"/>
  <c r="C52" i="2" a="1"/>
  <c r="C52" i="2" s="1"/>
  <c r="E51" i="2" a="1"/>
  <c r="E51" i="2" s="1"/>
  <c r="C51" i="2" a="1"/>
  <c r="C51" i="2" s="1"/>
  <c r="E50" i="2" a="1"/>
  <c r="E50" i="2" s="1"/>
  <c r="C50" i="2" a="1"/>
  <c r="C50" i="2" s="1"/>
  <c r="E49" i="2" a="1"/>
  <c r="E49" i="2" s="1"/>
  <c r="C49" i="2" a="1"/>
  <c r="C49" i="2" s="1"/>
  <c r="E48" i="2" a="1"/>
  <c r="E48" i="2" s="1"/>
  <c r="C48" i="2" a="1"/>
  <c r="C48" i="2" s="1"/>
  <c r="E47" i="2" a="1"/>
  <c r="E47" i="2" s="1"/>
  <c r="C47" i="2" a="1"/>
  <c r="C47" i="2" s="1"/>
  <c r="E46" i="2" a="1"/>
  <c r="E46" i="2" s="1"/>
  <c r="C46" i="2" a="1"/>
  <c r="C46" i="2" s="1"/>
  <c r="E45" i="2" a="1"/>
  <c r="E45" i="2" s="1"/>
  <c r="C45" i="2" a="1"/>
  <c r="C45" i="2" s="1"/>
  <c r="E44" i="2" a="1"/>
  <c r="E44" i="2" s="1"/>
  <c r="C44" i="2" a="1"/>
  <c r="C44" i="2" s="1"/>
  <c r="E43" i="2" a="1"/>
  <c r="E43" i="2" s="1"/>
  <c r="C43" i="2" a="1"/>
  <c r="C43" i="2"/>
  <c r="E42" i="2" a="1"/>
  <c r="E42" i="2" s="1"/>
  <c r="C42" i="2" a="1"/>
  <c r="C42" i="2" s="1"/>
  <c r="E41" i="2" a="1"/>
  <c r="E41" i="2" s="1"/>
  <c r="C41" i="2" a="1"/>
  <c r="C41" i="2" s="1"/>
  <c r="E40" i="2" a="1"/>
  <c r="E40" i="2" s="1"/>
  <c r="C40" i="2" a="1"/>
  <c r="C40" i="2" s="1"/>
  <c r="E39" i="2" a="1"/>
  <c r="E39" i="2" s="1"/>
  <c r="C39" i="2" a="1"/>
  <c r="C39" i="2"/>
  <c r="E38" i="2" a="1"/>
  <c r="E38" i="2" s="1"/>
  <c r="C38" i="2" a="1"/>
  <c r="C38" i="2"/>
  <c r="E37" i="2" a="1"/>
  <c r="E37" i="2" s="1"/>
  <c r="C37" i="2" a="1"/>
  <c r="C37" i="2" s="1"/>
  <c r="E36" i="2" a="1"/>
  <c r="E36" i="2" s="1"/>
  <c r="C36" i="2" a="1"/>
  <c r="C36" i="2" s="1"/>
  <c r="E35" i="2" a="1"/>
  <c r="E35" i="2" s="1"/>
  <c r="C35" i="2" a="1"/>
  <c r="C35" i="2" s="1"/>
  <c r="E34" i="2" a="1"/>
  <c r="E34" i="2" s="1"/>
  <c r="C34" i="2" a="1"/>
  <c r="C34" i="2"/>
  <c r="E33" i="2" a="1"/>
  <c r="E33" i="2" s="1"/>
  <c r="C33" i="2" a="1"/>
  <c r="C33" i="2" s="1"/>
  <c r="E32" i="2" a="1"/>
  <c r="E32" i="2" s="1"/>
  <c r="C32" i="2" a="1"/>
  <c r="C32" i="2"/>
  <c r="E31" i="2" a="1"/>
  <c r="E31" i="2" s="1"/>
  <c r="C31" i="2" a="1"/>
  <c r="C31" i="2"/>
  <c r="E30" i="2" a="1"/>
  <c r="E30" i="2" s="1"/>
  <c r="C30" i="2" a="1"/>
  <c r="C30" i="2"/>
  <c r="E29" i="2" a="1"/>
  <c r="E29" i="2" s="1"/>
  <c r="C29" i="2" a="1"/>
  <c r="C29" i="2" s="1"/>
  <c r="E28" i="2" a="1"/>
  <c r="E28" i="2" s="1"/>
  <c r="C28" i="2" a="1"/>
  <c r="C28" i="2" s="1"/>
  <c r="E27" i="2" a="1"/>
  <c r="E27" i="2" s="1"/>
  <c r="C27" i="2" a="1"/>
  <c r="C27" i="2" s="1"/>
  <c r="E26" i="2" a="1"/>
  <c r="E26" i="2" s="1"/>
  <c r="C26" i="2" a="1"/>
  <c r="C26" i="2"/>
  <c r="E25" i="2" a="1"/>
  <c r="E25" i="2" s="1"/>
  <c r="C25" i="2" a="1"/>
  <c r="C25" i="2"/>
  <c r="E24" i="2" a="1"/>
  <c r="E24" i="2" s="1"/>
  <c r="C24" i="2" a="1"/>
  <c r="C24" i="2"/>
  <c r="E23" i="2" a="1"/>
  <c r="E23" i="2" s="1"/>
  <c r="C23" i="2" a="1"/>
  <c r="C23" i="2"/>
  <c r="E22" i="2" a="1"/>
  <c r="E22" i="2" s="1"/>
  <c r="C22" i="2" a="1"/>
  <c r="C22" i="2"/>
  <c r="E21" i="2" a="1"/>
  <c r="E21" i="2" s="1"/>
  <c r="C21" i="2" a="1"/>
  <c r="C21" i="2" s="1"/>
  <c r="E20" i="2" a="1"/>
  <c r="E20" i="2" s="1"/>
  <c r="C20" i="2" a="1"/>
  <c r="C20" i="2" s="1"/>
  <c r="E19" i="2" a="1"/>
  <c r="E19" i="2" s="1"/>
  <c r="C19" i="2" a="1"/>
  <c r="C19" i="2"/>
  <c r="E18" i="2" a="1"/>
  <c r="E18" i="2" s="1"/>
  <c r="C18" i="2" a="1"/>
  <c r="C18" i="2"/>
  <c r="E17" i="2" a="1"/>
  <c r="E17" i="2" s="1"/>
  <c r="C17" i="2" a="1"/>
  <c r="C17" i="2"/>
  <c r="E16" i="2" a="1"/>
  <c r="E16" i="2" s="1"/>
  <c r="C16" i="2" a="1"/>
  <c r="C16" i="2"/>
  <c r="E15" i="2" a="1"/>
  <c r="E15" i="2" s="1"/>
  <c r="C15" i="2" a="1"/>
  <c r="C15" i="2"/>
  <c r="E14" i="2" a="1"/>
  <c r="E14" i="2" s="1"/>
  <c r="C14" i="2" a="1"/>
  <c r="C14" i="2"/>
  <c r="E13" i="2" a="1"/>
  <c r="E13" i="2" s="1"/>
  <c r="C13" i="2" a="1"/>
  <c r="C13" i="2" s="1"/>
  <c r="E12" i="2" a="1"/>
  <c r="E12" i="2" s="1"/>
  <c r="C12" i="2" a="1"/>
  <c r="C12" i="2" s="1"/>
  <c r="E11" i="2" a="1"/>
  <c r="E11" i="2" s="1"/>
  <c r="C11" i="2" a="1"/>
  <c r="C11" i="2"/>
  <c r="E10" i="2" a="1"/>
  <c r="E10" i="2" s="1"/>
  <c r="C10" i="2" a="1"/>
  <c r="C10" i="2"/>
  <c r="E9" i="2" a="1"/>
  <c r="E9" i="2" s="1"/>
  <c r="C9" i="2" a="1"/>
  <c r="C9" i="2"/>
  <c r="E8" i="2" a="1"/>
  <c r="E8" i="2" s="1"/>
  <c r="C8" i="2" a="1"/>
  <c r="C8" i="2"/>
  <c r="E7" i="2" a="1"/>
  <c r="E7" i="2" s="1"/>
  <c r="C7" i="2" a="1"/>
  <c r="C7" i="2" s="1"/>
  <c r="E6" i="2" a="1"/>
  <c r="E6" i="2" s="1"/>
  <c r="C6" i="2" a="1"/>
  <c r="C6" i="2"/>
  <c r="E5" i="2" a="1"/>
  <c r="E5" i="2" s="1"/>
  <c r="C5" i="2" a="1"/>
  <c r="C5" i="2" s="1"/>
  <c r="E4" i="2" a="1"/>
  <c r="E4" i="2" s="1"/>
  <c r="C4" i="2" a="1"/>
  <c r="C4" i="2" s="1"/>
  <c r="E3" i="2" a="1"/>
  <c r="E3" i="2" s="1"/>
  <c r="C3" i="2" a="1"/>
  <c r="C3" i="2"/>
  <c r="E2" i="2" a="1"/>
  <c r="E2" i="2" s="1"/>
  <c r="C2" i="2" a="1"/>
  <c r="C2" i="2"/>
  <c r="C12" i="1"/>
  <c r="J10" i="1"/>
  <c r="K10" i="1" s="1"/>
  <c r="F10" i="1"/>
  <c r="J9" i="1"/>
  <c r="K9" i="1" s="1"/>
  <c r="F9" i="1"/>
  <c r="J8" i="1"/>
  <c r="K8" i="1" s="1"/>
  <c r="F8" i="1"/>
  <c r="J7" i="1"/>
  <c r="K7" i="1" s="1"/>
  <c r="F7" i="1"/>
  <c r="J6" i="1"/>
  <c r="K6" i="1" s="1"/>
  <c r="F6" i="1"/>
  <c r="J5" i="1"/>
  <c r="K5" i="1" s="1"/>
  <c r="F5" i="1"/>
  <c r="J4" i="1"/>
  <c r="K4" i="1" s="1"/>
  <c r="F4" i="1"/>
  <c r="F2" i="1"/>
  <c r="BY84" i="7" l="1"/>
  <c r="F55" i="6"/>
  <c r="D8" i="6"/>
  <c r="D9" i="6" s="1"/>
  <c r="F9" i="6" s="1"/>
  <c r="AB20" i="7" s="1"/>
  <c r="BY20" i="7" s="1"/>
  <c r="C4" i="14"/>
  <c r="F8" i="6" s="1"/>
  <c r="F42" i="6"/>
  <c r="G95" i="7"/>
  <c r="N8" i="6"/>
  <c r="BY34" i="7"/>
  <c r="X41" i="7"/>
  <c r="Z41" i="7"/>
  <c r="AA41" i="7"/>
  <c r="AB41" i="7"/>
  <c r="AF41" i="7"/>
  <c r="AH41" i="7"/>
  <c r="AI41" i="7"/>
  <c r="AJ41" i="7"/>
  <c r="AN41" i="7"/>
  <c r="W42" i="7"/>
  <c r="AE42" i="7"/>
  <c r="AM42" i="7"/>
  <c r="N18" i="7"/>
  <c r="N95" i="7" s="1"/>
  <c r="N96" i="7" s="1"/>
  <c r="F43" i="6"/>
  <c r="F47" i="6"/>
  <c r="AL42" i="7"/>
  <c r="AD42" i="7"/>
  <c r="V42" i="7"/>
  <c r="AM41" i="7"/>
  <c r="AM37" i="7" s="1"/>
  <c r="AM15" i="7" s="1"/>
  <c r="AE41" i="7"/>
  <c r="W41" i="7"/>
  <c r="AK42" i="7"/>
  <c r="AC42" i="7"/>
  <c r="U42" i="7"/>
  <c r="AL41" i="7"/>
  <c r="AD41" i="7"/>
  <c r="V41" i="7"/>
  <c r="F44" i="6"/>
  <c r="F48" i="6"/>
  <c r="BY39" i="7"/>
  <c r="AJ42" i="7"/>
  <c r="AB42" i="7"/>
  <c r="AK41" i="7"/>
  <c r="AK37" i="7" s="1"/>
  <c r="AK15" i="7" s="1"/>
  <c r="AM14" i="7" s="1"/>
  <c r="AC41" i="7"/>
  <c r="U41" i="7"/>
  <c r="AI42" i="7"/>
  <c r="AA42" i="7"/>
  <c r="AH42" i="7"/>
  <c r="Z42" i="7"/>
  <c r="J17" i="6"/>
  <c r="AB52" i="7"/>
  <c r="F51" i="6"/>
  <c r="F50" i="6" s="1"/>
  <c r="AG42" i="7"/>
  <c r="Y42" i="7"/>
  <c r="F46" i="6"/>
  <c r="AN42" i="7"/>
  <c r="AF42" i="7"/>
  <c r="X42" i="7"/>
  <c r="AG41" i="7"/>
  <c r="Y41" i="7"/>
  <c r="J95" i="7"/>
  <c r="AX95" i="7"/>
  <c r="BV95" i="7"/>
  <c r="AQ95" i="7"/>
  <c r="AQ96" i="7" s="1"/>
  <c r="L95" i="7"/>
  <c r="AZ95" i="7"/>
  <c r="AZ96" i="7" s="1"/>
  <c r="BP95" i="7"/>
  <c r="BP96" i="7" s="1"/>
  <c r="E95" i="7"/>
  <c r="M95" i="7"/>
  <c r="M96" i="7" s="1"/>
  <c r="AS95" i="7"/>
  <c r="BA95" i="7"/>
  <c r="BI95" i="7"/>
  <c r="BQ95" i="7"/>
  <c r="AP95" i="7"/>
  <c r="BF95" i="7"/>
  <c r="BN95" i="7"/>
  <c r="K95" i="7"/>
  <c r="AY95" i="7"/>
  <c r="BG95" i="7"/>
  <c r="BO95" i="7"/>
  <c r="BO96" i="7" s="1"/>
  <c r="BW95" i="7"/>
  <c r="BW96" i="7" s="1"/>
  <c r="AR95" i="7"/>
  <c r="AR96" i="7" s="1"/>
  <c r="BH95" i="7"/>
  <c r="BH96" i="7" s="1"/>
  <c r="BX95" i="7"/>
  <c r="F95" i="7"/>
  <c r="AT95" i="7"/>
  <c r="AT96" i="7" s="1"/>
  <c r="BB95" i="7"/>
  <c r="BB96" i="7" s="1"/>
  <c r="BJ95" i="7"/>
  <c r="BJ96" i="7" s="1"/>
  <c r="BR95" i="7"/>
  <c r="BR96" i="7" s="1"/>
  <c r="AO17" i="7"/>
  <c r="AW17" i="7"/>
  <c r="BE17" i="7"/>
  <c r="BM17" i="7"/>
  <c r="BU17" i="7"/>
  <c r="BX14" i="7"/>
  <c r="BX17" i="7" s="1"/>
  <c r="BX96" i="7" s="1"/>
  <c r="AP17" i="7"/>
  <c r="AX17" i="7"/>
  <c r="AX96" i="7" s="1"/>
  <c r="BF17" i="7"/>
  <c r="BN17" i="7"/>
  <c r="BV17" i="7"/>
  <c r="AS17" i="7"/>
  <c r="BA17" i="7"/>
  <c r="BI17" i="7"/>
  <c r="BQ17" i="7"/>
  <c r="L17" i="7"/>
  <c r="I95" i="7"/>
  <c r="I96" i="7" s="1"/>
  <c r="AO95" i="7"/>
  <c r="AO96" i="7" s="1"/>
  <c r="AW95" i="7"/>
  <c r="AW96" i="7" s="1"/>
  <c r="BE95" i="7"/>
  <c r="BE96" i="7" s="1"/>
  <c r="BM95" i="7"/>
  <c r="BM96" i="7" s="1"/>
  <c r="BU95" i="7"/>
  <c r="BU96" i="7"/>
  <c r="J96" i="7"/>
  <c r="AP96" i="7"/>
  <c r="AU95" i="7"/>
  <c r="AU96" i="7" s="1"/>
  <c r="BC95" i="7"/>
  <c r="BC96" i="7" s="1"/>
  <c r="BK95" i="7"/>
  <c r="BK96" i="7" s="1"/>
  <c r="BS95" i="7"/>
  <c r="BS96" i="7" s="1"/>
  <c r="K96" i="7"/>
  <c r="AY96" i="7"/>
  <c r="BG96" i="7"/>
  <c r="H95" i="7"/>
  <c r="AV95" i="7"/>
  <c r="AV96" i="7" s="1"/>
  <c r="BD95" i="7"/>
  <c r="BD96" i="7" s="1"/>
  <c r="BL95" i="7"/>
  <c r="BL96" i="7" s="1"/>
  <c r="BT95" i="7"/>
  <c r="BT96" i="7" s="1"/>
  <c r="D108" i="7"/>
  <c r="AN100" i="7"/>
  <c r="AN23" i="9"/>
  <c r="BY88" i="7"/>
  <c r="BY23" i="9"/>
  <c r="BZ23" i="9" s="1"/>
  <c r="F17" i="7"/>
  <c r="H14" i="7"/>
  <c r="H17" i="7" s="1"/>
  <c r="N23" i="6"/>
  <c r="C35" i="11" s="1"/>
  <c r="C36" i="11" s="1"/>
  <c r="C37" i="11" s="1"/>
  <c r="C38" i="11" s="1"/>
  <c r="F14" i="6"/>
  <c r="J28" i="6"/>
  <c r="N25" i="6"/>
  <c r="D109" i="7"/>
  <c r="L8" i="12"/>
  <c r="N8" i="12" s="1"/>
  <c r="G2" i="1"/>
  <c r="M8" i="12"/>
  <c r="M8" i="6"/>
  <c r="J2" i="1"/>
  <c r="L9" i="12"/>
  <c r="G3" i="1"/>
  <c r="M9" i="12"/>
  <c r="M9" i="6"/>
  <c r="K3" i="1"/>
  <c r="L10" i="12"/>
  <c r="G4" i="1"/>
  <c r="L11" i="12"/>
  <c r="N11" i="12" s="1"/>
  <c r="G5" i="1"/>
  <c r="L12" i="12"/>
  <c r="N12" i="12" s="1"/>
  <c r="G6" i="1"/>
  <c r="L13" i="12"/>
  <c r="G7" i="1"/>
  <c r="L14" i="12"/>
  <c r="G8" i="1"/>
  <c r="L15" i="12"/>
  <c r="N15" i="12" s="1"/>
  <c r="G9" i="1"/>
  <c r="L16" i="12"/>
  <c r="N16" i="12" s="1"/>
  <c r="G10" i="1"/>
  <c r="B17" i="1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F15" i="6"/>
  <c r="E15" i="6" s="1"/>
  <c r="F79" i="6"/>
  <c r="N9" i="6"/>
  <c r="N10" i="6"/>
  <c r="N11" i="6"/>
  <c r="N12" i="6"/>
  <c r="N13" i="6"/>
  <c r="N14" i="6"/>
  <c r="F94" i="6"/>
  <c r="AN50" i="7" s="1"/>
  <c r="N15" i="6"/>
  <c r="N16" i="6"/>
  <c r="BZ5" i="7"/>
  <c r="G17" i="7"/>
  <c r="E17" i="7"/>
  <c r="E96" i="7" s="1"/>
  <c r="E97" i="7" s="1"/>
  <c r="E122" i="7"/>
  <c r="F122" i="7" s="1"/>
  <c r="G122" i="7" s="1"/>
  <c r="H122" i="7" s="1"/>
  <c r="I122" i="7" s="1"/>
  <c r="J122" i="7" s="1"/>
  <c r="K122" i="7" s="1"/>
  <c r="L122" i="7" s="1"/>
  <c r="M122" i="7" s="1"/>
  <c r="E139" i="7"/>
  <c r="F139" i="7" s="1"/>
  <c r="G139" i="7" s="1"/>
  <c r="H139" i="7" s="1"/>
  <c r="I139" i="7" s="1"/>
  <c r="J139" i="7" s="1"/>
  <c r="K139" i="7" s="1"/>
  <c r="L139" i="7" s="1"/>
  <c r="M139" i="7" s="1"/>
  <c r="E33" i="9"/>
  <c r="E35" i="9" s="1"/>
  <c r="F35" i="9" s="1"/>
  <c r="G35" i="9" s="1"/>
  <c r="H35" i="9" s="1"/>
  <c r="I35" i="9" s="1"/>
  <c r="J35" i="9" s="1"/>
  <c r="K35" i="9" s="1"/>
  <c r="L35" i="9" s="1"/>
  <c r="M35" i="9" s="1"/>
  <c r="N35" i="9" s="1"/>
  <c r="O35" i="9" s="1"/>
  <c r="P35" i="9" s="1"/>
  <c r="Q35" i="9" s="1"/>
  <c r="R35" i="9" s="1"/>
  <c r="S35" i="9" s="1"/>
  <c r="T35" i="9" s="1"/>
  <c r="U35" i="9" s="1"/>
  <c r="V35" i="9" s="1"/>
  <c r="W35" i="9" s="1"/>
  <c r="X35" i="9" s="1"/>
  <c r="Y35" i="9" s="1"/>
  <c r="Z35" i="9" s="1"/>
  <c r="AA35" i="9" s="1"/>
  <c r="AB35" i="9" s="1"/>
  <c r="AC35" i="9" s="1"/>
  <c r="AD35" i="9" s="1"/>
  <c r="AE35" i="9" s="1"/>
  <c r="AF35" i="9" s="1"/>
  <c r="AG35" i="9" s="1"/>
  <c r="AH35" i="9" s="1"/>
  <c r="AI35" i="9" s="1"/>
  <c r="AJ35" i="9" s="1"/>
  <c r="AK35" i="9" s="1"/>
  <c r="AL35" i="9" s="1"/>
  <c r="AM35" i="9" s="1"/>
  <c r="BY3" i="9"/>
  <c r="BZ3" i="9" s="1"/>
  <c r="F9" i="12"/>
  <c r="C10" i="12" s="1"/>
  <c r="J17" i="12"/>
  <c r="N9" i="12"/>
  <c r="N10" i="12"/>
  <c r="N13" i="12"/>
  <c r="N14" i="12"/>
  <c r="H96" i="7" l="1"/>
  <c r="G96" i="7"/>
  <c r="AB19" i="7"/>
  <c r="E8" i="6"/>
  <c r="F96" i="7"/>
  <c r="F60" i="6"/>
  <c r="F97" i="7"/>
  <c r="BN96" i="7"/>
  <c r="BF96" i="7"/>
  <c r="L96" i="7"/>
  <c r="BV96" i="7"/>
  <c r="BY41" i="7"/>
  <c r="F40" i="6"/>
  <c r="AJ31" i="7"/>
  <c r="AI31" i="7"/>
  <c r="AH31" i="7"/>
  <c r="AG31" i="7"/>
  <c r="AF31" i="7"/>
  <c r="AE31" i="7"/>
  <c r="AD31" i="7"/>
  <c r="AC31" i="7"/>
  <c r="V24" i="7"/>
  <c r="H7" i="11"/>
  <c r="H8" i="11" s="1"/>
  <c r="H9" i="11" s="1"/>
  <c r="H10" i="11" s="1"/>
  <c r="F78" i="6"/>
  <c r="N19" i="6"/>
  <c r="AD32" i="7"/>
  <c r="AE32" i="7"/>
  <c r="AF32" i="7"/>
  <c r="AG32" i="7"/>
  <c r="AH32" i="7"/>
  <c r="AI32" i="7"/>
  <c r="AJ32" i="7"/>
  <c r="AC32" i="7"/>
  <c r="F75" i="6"/>
  <c r="B15" i="1"/>
  <c r="F32" i="6"/>
  <c r="F76" i="6"/>
  <c r="BY50" i="7"/>
  <c r="AN46" i="7"/>
  <c r="F28" i="6"/>
  <c r="F77" i="6"/>
  <c r="BY42" i="7"/>
  <c r="BQ96" i="7"/>
  <c r="BI96" i="7"/>
  <c r="BA96" i="7"/>
  <c r="AS96" i="7"/>
  <c r="BY38" i="7"/>
  <c r="P37" i="7"/>
  <c r="N24" i="6"/>
  <c r="N26" i="6"/>
  <c r="N139" i="7"/>
  <c r="O139" i="7" s="1"/>
  <c r="P139" i="7" s="1"/>
  <c r="Q139" i="7" s="1"/>
  <c r="R139" i="7" s="1"/>
  <c r="S139" i="7" s="1"/>
  <c r="T139" i="7" s="1"/>
  <c r="U139" i="7" s="1"/>
  <c r="V139" i="7" s="1"/>
  <c r="W139" i="7" s="1"/>
  <c r="X139" i="7" s="1"/>
  <c r="Y139" i="7" s="1"/>
  <c r="Z139" i="7" s="1"/>
  <c r="AA139" i="7" s="1"/>
  <c r="AB139" i="7" s="1"/>
  <c r="AC139" i="7" s="1"/>
  <c r="AD139" i="7" s="1"/>
  <c r="AE139" i="7" s="1"/>
  <c r="AF139" i="7" s="1"/>
  <c r="AG139" i="7" s="1"/>
  <c r="AH139" i="7" s="1"/>
  <c r="AI139" i="7" s="1"/>
  <c r="AJ139" i="7" s="1"/>
  <c r="AK139" i="7" s="1"/>
  <c r="AL139" i="7" s="1"/>
  <c r="AM139" i="7" s="1"/>
  <c r="AN139" i="7" s="1"/>
  <c r="AO139" i="7" s="1"/>
  <c r="AP139" i="7" s="1"/>
  <c r="AQ139" i="7" s="1"/>
  <c r="AR139" i="7" s="1"/>
  <c r="AS139" i="7" s="1"/>
  <c r="AT139" i="7" s="1"/>
  <c r="AU139" i="7" s="1"/>
  <c r="AV139" i="7" s="1"/>
  <c r="AW139" i="7" s="1"/>
  <c r="AX139" i="7" s="1"/>
  <c r="AY139" i="7" s="1"/>
  <c r="AZ139" i="7" s="1"/>
  <c r="BA139" i="7" s="1"/>
  <c r="BB139" i="7" s="1"/>
  <c r="BC139" i="7" s="1"/>
  <c r="BD139" i="7" s="1"/>
  <c r="BE139" i="7" s="1"/>
  <c r="BF139" i="7" s="1"/>
  <c r="BG139" i="7" s="1"/>
  <c r="BH139" i="7" s="1"/>
  <c r="BI139" i="7" s="1"/>
  <c r="BJ139" i="7" s="1"/>
  <c r="BK139" i="7" s="1"/>
  <c r="BL139" i="7" s="1"/>
  <c r="BM139" i="7" s="1"/>
  <c r="BN139" i="7" s="1"/>
  <c r="BO139" i="7" s="1"/>
  <c r="BP139" i="7" s="1"/>
  <c r="BQ139" i="7" s="1"/>
  <c r="BR139" i="7" s="1"/>
  <c r="BS139" i="7" s="1"/>
  <c r="BT139" i="7" s="1"/>
  <c r="BU139" i="7" s="1"/>
  <c r="BV139" i="7" s="1"/>
  <c r="BW139" i="7" s="1"/>
  <c r="D141" i="7"/>
  <c r="D143" i="7" s="1"/>
  <c r="N122" i="7"/>
  <c r="O122" i="7" s="1"/>
  <c r="P122" i="7" s="1"/>
  <c r="Q122" i="7" s="1"/>
  <c r="R122" i="7" s="1"/>
  <c r="S122" i="7" s="1"/>
  <c r="T122" i="7" s="1"/>
  <c r="U122" i="7" s="1"/>
  <c r="V122" i="7" s="1"/>
  <c r="W122" i="7" s="1"/>
  <c r="X122" i="7" s="1"/>
  <c r="Y122" i="7" s="1"/>
  <c r="Z122" i="7" s="1"/>
  <c r="AA122" i="7" s="1"/>
  <c r="AB122" i="7" s="1"/>
  <c r="AC122" i="7" s="1"/>
  <c r="AD122" i="7" s="1"/>
  <c r="AE122" i="7" s="1"/>
  <c r="AF122" i="7" s="1"/>
  <c r="AG122" i="7" s="1"/>
  <c r="AH122" i="7" s="1"/>
  <c r="AI122" i="7" s="1"/>
  <c r="AJ122" i="7" s="1"/>
  <c r="AK122" i="7" s="1"/>
  <c r="AL122" i="7" s="1"/>
  <c r="AM122" i="7" s="1"/>
  <c r="AN122" i="7" s="1"/>
  <c r="AO122" i="7" s="1"/>
  <c r="AP122" i="7" s="1"/>
  <c r="AQ122" i="7" s="1"/>
  <c r="AR122" i="7" s="1"/>
  <c r="AS122" i="7" s="1"/>
  <c r="AT122" i="7" s="1"/>
  <c r="AU122" i="7" s="1"/>
  <c r="AV122" i="7" s="1"/>
  <c r="AW122" i="7" s="1"/>
  <c r="AX122" i="7" s="1"/>
  <c r="AY122" i="7" s="1"/>
  <c r="AZ122" i="7" s="1"/>
  <c r="BA122" i="7" s="1"/>
  <c r="BB122" i="7" s="1"/>
  <c r="BC122" i="7" s="1"/>
  <c r="BD122" i="7" s="1"/>
  <c r="BE122" i="7" s="1"/>
  <c r="BF122" i="7" s="1"/>
  <c r="BG122" i="7" s="1"/>
  <c r="BH122" i="7" s="1"/>
  <c r="BI122" i="7" s="1"/>
  <c r="BJ122" i="7" s="1"/>
  <c r="BK122" i="7" s="1"/>
  <c r="BL122" i="7" s="1"/>
  <c r="BM122" i="7" s="1"/>
  <c r="BN122" i="7" s="1"/>
  <c r="BO122" i="7" s="1"/>
  <c r="BP122" i="7" s="1"/>
  <c r="BQ122" i="7" s="1"/>
  <c r="BR122" i="7" s="1"/>
  <c r="BS122" i="7" s="1"/>
  <c r="BT122" i="7" s="1"/>
  <c r="BU122" i="7" s="1"/>
  <c r="BV122" i="7" s="1"/>
  <c r="BW122" i="7" s="1"/>
  <c r="J18" i="12"/>
  <c r="N22" i="12"/>
  <c r="F15" i="12"/>
  <c r="F43" i="12"/>
  <c r="F42" i="12"/>
  <c r="F39" i="12"/>
  <c r="R28" i="12"/>
  <c r="F11" i="12"/>
  <c r="G97" i="7"/>
  <c r="H97" i="7" s="1"/>
  <c r="I97" i="7" s="1"/>
  <c r="J97" i="7" s="1"/>
  <c r="K97" i="7" s="1"/>
  <c r="CB5" i="7"/>
  <c r="J18" i="6"/>
  <c r="N17" i="6"/>
  <c r="CB86" i="7"/>
  <c r="CB85" i="7"/>
  <c r="CB84" i="7" a="1"/>
  <c r="CB84" i="7" s="1"/>
  <c r="CB60" i="7" a="1"/>
  <c r="CB60" i="7" s="1"/>
  <c r="CB52" i="7" a="1"/>
  <c r="CB52" i="7" s="1"/>
  <c r="CB46" i="7" a="1"/>
  <c r="CB46" i="7" s="1"/>
  <c r="CB45" i="7"/>
  <c r="CB44" i="7"/>
  <c r="CB43" i="7"/>
  <c r="CB37" i="7" a="1"/>
  <c r="CB37" i="7" s="1"/>
  <c r="CB79" i="7" s="1" a="1"/>
  <c r="CB79" i="7" s="1"/>
  <c r="CB30" i="7" a="1"/>
  <c r="CB30" i="7" s="1"/>
  <c r="CB68" i="7" s="1" a="1"/>
  <c r="CB68" i="7" s="1"/>
  <c r="CB24" i="7" a="1"/>
  <c r="CB24" i="7" s="1"/>
  <c r="CB65" i="7" s="1"/>
  <c r="CB23" i="7"/>
  <c r="CB64" i="7" s="1"/>
  <c r="CB22" i="7"/>
  <c r="CB63" i="7" s="1"/>
  <c r="CB21" i="7"/>
  <c r="CB62" i="7" s="1"/>
  <c r="CB20" i="7"/>
  <c r="CB61" i="7" s="1"/>
  <c r="CB19" i="7"/>
  <c r="CB18" i="7" a="1"/>
  <c r="CB18" i="7" s="1"/>
  <c r="L10" i="1"/>
  <c r="H10" i="1"/>
  <c r="L9" i="1"/>
  <c r="H9" i="1"/>
  <c r="L8" i="1"/>
  <c r="H8" i="1"/>
  <c r="L7" i="1"/>
  <c r="H7" i="1"/>
  <c r="L6" i="1"/>
  <c r="H6" i="1"/>
  <c r="L5" i="1"/>
  <c r="H5" i="1"/>
  <c r="L4" i="1"/>
  <c r="H4" i="1"/>
  <c r="L3" i="1"/>
  <c r="J11" i="1"/>
  <c r="J12" i="1" s="1"/>
  <c r="K2" i="1"/>
  <c r="K11" i="1" s="1"/>
  <c r="K12" i="1" s="1"/>
  <c r="M17" i="12"/>
  <c r="G11" i="1"/>
  <c r="L2" i="1"/>
  <c r="Y45" i="7" s="1"/>
  <c r="H2" i="1"/>
  <c r="L17" i="12"/>
  <c r="D124" i="7" l="1"/>
  <c r="D126" i="7" s="1"/>
  <c r="AB18" i="7"/>
  <c r="BY19" i="7"/>
  <c r="BY18" i="7" s="1"/>
  <c r="H11" i="1"/>
  <c r="H12" i="1" s="1"/>
  <c r="C33" i="6"/>
  <c r="C27" i="11" s="1"/>
  <c r="L97" i="7"/>
  <c r="M97" i="7" s="1"/>
  <c r="N97" i="7" s="1"/>
  <c r="AI33" i="7"/>
  <c r="AH33" i="7"/>
  <c r="AG33" i="7"/>
  <c r="AF33" i="7"/>
  <c r="AE33" i="7"/>
  <c r="AD33" i="7"/>
  <c r="AC33" i="7"/>
  <c r="AJ33" i="7"/>
  <c r="AN79" i="7"/>
  <c r="AN60" i="7" s="1"/>
  <c r="AM79" i="7"/>
  <c r="AM60" i="7" s="1"/>
  <c r="AL79" i="7"/>
  <c r="BY31" i="7"/>
  <c r="AD28" i="7"/>
  <c r="AD24" i="7" s="1"/>
  <c r="AC28" i="7"/>
  <c r="AC24" i="7" s="1"/>
  <c r="AB28" i="7"/>
  <c r="AE28" i="7"/>
  <c r="AE24" i="7" s="1"/>
  <c r="AB24" i="7"/>
  <c r="F74" i="6"/>
  <c r="Q24" i="7"/>
  <c r="BY25" i="7"/>
  <c r="BY32" i="7"/>
  <c r="F62" i="6"/>
  <c r="P15" i="7"/>
  <c r="P95" i="7"/>
  <c r="J29" i="6"/>
  <c r="J30" i="6" s="1"/>
  <c r="AN13" i="7" s="1"/>
  <c r="BY13" i="7" s="1"/>
  <c r="CB13" i="7" s="1"/>
  <c r="M2" i="1"/>
  <c r="G12" i="1"/>
  <c r="L12" i="1" s="1"/>
  <c r="L11" i="1"/>
  <c r="M6" i="1"/>
  <c r="M7" i="1"/>
  <c r="M8" i="1"/>
  <c r="M9" i="1"/>
  <c r="M10" i="1"/>
  <c r="CB59" i="7"/>
  <c r="CC18" i="7"/>
  <c r="C17" i="11"/>
  <c r="C7" i="11"/>
  <c r="C9" i="11" s="1"/>
  <c r="CB47" i="7"/>
  <c r="CC5" i="7"/>
  <c r="F22" i="12"/>
  <c r="C23" i="12" s="1"/>
  <c r="F31" i="12"/>
  <c r="J26" i="12"/>
  <c r="F34" i="6" l="1"/>
  <c r="BY79" i="7"/>
  <c r="BY60" i="7" s="1"/>
  <c r="AL60" i="7"/>
  <c r="BY28" i="7"/>
  <c r="BY24" i="7" s="1"/>
  <c r="C63" i="6"/>
  <c r="F64" i="6"/>
  <c r="X40" i="7"/>
  <c r="X37" i="7" s="1"/>
  <c r="AF40" i="7"/>
  <c r="AF37" i="7" s="1"/>
  <c r="AF15" i="7" s="1"/>
  <c r="AH14" i="7" s="1"/>
  <c r="Y40" i="7"/>
  <c r="Y37" i="7" s="1"/>
  <c r="AG40" i="7"/>
  <c r="AG37" i="7" s="1"/>
  <c r="AG15" i="7" s="1"/>
  <c r="AI14" i="7" s="1"/>
  <c r="R37" i="7"/>
  <c r="Z40" i="7"/>
  <c r="Z37" i="7" s="1"/>
  <c r="AH40" i="7"/>
  <c r="AH37" i="7" s="1"/>
  <c r="AH15" i="7" s="1"/>
  <c r="AJ14" i="7" s="1"/>
  <c r="S37" i="7"/>
  <c r="AA40" i="7"/>
  <c r="AA37" i="7" s="1"/>
  <c r="AI40" i="7"/>
  <c r="AI37" i="7" s="1"/>
  <c r="AI15" i="7" s="1"/>
  <c r="AK14" i="7" s="1"/>
  <c r="AK17" i="7" s="1"/>
  <c r="T37" i="7"/>
  <c r="AB40" i="7"/>
  <c r="AB37" i="7" s="1"/>
  <c r="AB15" i="7" s="1"/>
  <c r="AD14" i="7" s="1"/>
  <c r="AJ40" i="7"/>
  <c r="AJ37" i="7" s="1"/>
  <c r="AJ15" i="7" s="1"/>
  <c r="AL14" i="7" s="1"/>
  <c r="U40" i="7"/>
  <c r="U37" i="7" s="1"/>
  <c r="AC40" i="7"/>
  <c r="V40" i="7"/>
  <c r="AD40" i="7"/>
  <c r="AD37" i="7" s="1"/>
  <c r="AD15" i="7" s="1"/>
  <c r="AF14" i="7" s="1"/>
  <c r="W40" i="7"/>
  <c r="W37" i="7" s="1"/>
  <c r="AE40" i="7"/>
  <c r="AE37" i="7" s="1"/>
  <c r="AE15" i="7" s="1"/>
  <c r="AG14" i="7" s="1"/>
  <c r="BY33" i="7"/>
  <c r="AN12" i="7"/>
  <c r="AM12" i="7"/>
  <c r="AM17" i="7" s="1"/>
  <c r="AL12" i="7"/>
  <c r="P17" i="7"/>
  <c r="P96" i="7" s="1"/>
  <c r="F32" i="12"/>
  <c r="F36" i="12"/>
  <c r="F35" i="12"/>
  <c r="F29" i="12"/>
  <c r="F28" i="12"/>
  <c r="F24" i="12"/>
  <c r="F30" i="12"/>
  <c r="F33" i="12"/>
  <c r="F34" i="12"/>
  <c r="F37" i="12"/>
  <c r="F38" i="12"/>
  <c r="BX136" i="7"/>
  <c r="BX119" i="7"/>
  <c r="BX104" i="7"/>
  <c r="BX103" i="7"/>
  <c r="C19" i="11"/>
  <c r="F84" i="6"/>
  <c r="AC45" i="7" s="1"/>
  <c r="B16" i="1"/>
  <c r="M11" i="1"/>
  <c r="M12" i="1" s="1"/>
  <c r="W15" i="7" l="1"/>
  <c r="Y14" i="7" s="1"/>
  <c r="W95" i="7"/>
  <c r="T95" i="7"/>
  <c r="T15" i="7"/>
  <c r="V14" i="7" s="1"/>
  <c r="Y15" i="7"/>
  <c r="AA14" i="7" s="1"/>
  <c r="Y95" i="7"/>
  <c r="S95" i="7"/>
  <c r="S15" i="7"/>
  <c r="U14" i="7" s="1"/>
  <c r="X15" i="7"/>
  <c r="Z14" i="7" s="1"/>
  <c r="X95" i="7"/>
  <c r="AE36" i="7"/>
  <c r="AE30" i="7" s="1"/>
  <c r="AE11" i="7" s="1"/>
  <c r="AF36" i="7"/>
  <c r="AF30" i="7" s="1"/>
  <c r="AF11" i="7" s="1"/>
  <c r="AG36" i="7"/>
  <c r="AG30" i="7" s="1"/>
  <c r="AG11" i="7" s="1"/>
  <c r="AH36" i="7"/>
  <c r="AH30" i="7" s="1"/>
  <c r="AH11" i="7" s="1"/>
  <c r="AI36" i="7"/>
  <c r="AI30" i="7" s="1"/>
  <c r="AI11" i="7" s="1"/>
  <c r="AJ36" i="7"/>
  <c r="AJ30" i="7" s="1"/>
  <c r="AJ11" i="7" s="1"/>
  <c r="AC36" i="7"/>
  <c r="AD36" i="7"/>
  <c r="AD30" i="7" s="1"/>
  <c r="AD11" i="7" s="1"/>
  <c r="U15" i="7"/>
  <c r="W14" i="7" s="1"/>
  <c r="W17" i="7" s="1"/>
  <c r="W96" i="7" s="1"/>
  <c r="U95" i="7"/>
  <c r="Z15" i="7"/>
  <c r="AB14" i="7" s="1"/>
  <c r="AB17" i="7" s="1"/>
  <c r="Z95" i="7"/>
  <c r="R15" i="7"/>
  <c r="R95" i="7"/>
  <c r="AA15" i="7"/>
  <c r="AC14" i="7" s="1"/>
  <c r="AA95" i="7"/>
  <c r="BY40" i="7"/>
  <c r="Q37" i="7"/>
  <c r="Q15" i="7" s="1"/>
  <c r="F83" i="6"/>
  <c r="F82" i="6"/>
  <c r="C85" i="6" s="1"/>
  <c r="C65" i="6"/>
  <c r="BY12" i="7"/>
  <c r="AN45" i="7"/>
  <c r="CB55" i="7"/>
  <c r="Q58" i="12"/>
  <c r="Q59" i="12"/>
  <c r="Q60" i="12"/>
  <c r="Q61" i="12"/>
  <c r="BX106" i="7"/>
  <c r="BX121" i="7"/>
  <c r="D127" i="7"/>
  <c r="D128" i="7" s="1"/>
  <c r="BX138" i="7"/>
  <c r="D144" i="7"/>
  <c r="D145" i="7" s="1"/>
  <c r="R30" i="12"/>
  <c r="F41" i="12"/>
  <c r="F40" i="12"/>
  <c r="C44" i="12" s="1"/>
  <c r="C18" i="11" l="1"/>
  <c r="C20" i="11" s="1"/>
  <c r="R17" i="7"/>
  <c r="R96" i="7" s="1"/>
  <c r="AA17" i="7"/>
  <c r="AA96" i="7" s="1"/>
  <c r="Y17" i="7"/>
  <c r="Y96" i="7" s="1"/>
  <c r="F66" i="6"/>
  <c r="E81" i="6"/>
  <c r="E80" i="6"/>
  <c r="BY36" i="7"/>
  <c r="BY30" i="7" s="1"/>
  <c r="AC30" i="7"/>
  <c r="AC11" i="7" s="1"/>
  <c r="F86" i="6"/>
  <c r="AC44" i="7"/>
  <c r="AL44" i="7"/>
  <c r="AL37" i="7" s="1"/>
  <c r="AL15" i="7" s="1"/>
  <c r="AL17" i="7" s="1"/>
  <c r="V43" i="7"/>
  <c r="V37" i="7" s="1"/>
  <c r="AN43" i="7"/>
  <c r="AN37" i="7" s="1"/>
  <c r="AN15" i="7" s="1"/>
  <c r="AN14" i="7" s="1"/>
  <c r="AN17" i="7" s="1"/>
  <c r="AC43" i="7"/>
  <c r="Z17" i="7"/>
  <c r="Z96" i="7" s="1"/>
  <c r="T17" i="7"/>
  <c r="T96" i="7" s="1"/>
  <c r="U17" i="7"/>
  <c r="U96" i="7" s="1"/>
  <c r="Q95" i="7"/>
  <c r="S17" i="7"/>
  <c r="S96" i="7" s="1"/>
  <c r="BY45" i="7"/>
  <c r="C8" i="11"/>
  <c r="C10" i="11" s="1"/>
  <c r="C47" i="12"/>
  <c r="N25" i="12" s="1"/>
  <c r="F45" i="12"/>
  <c r="R52" i="12"/>
  <c r="Q52" i="12" s="1"/>
  <c r="Q51" i="12"/>
  <c r="Q50" i="12"/>
  <c r="Q49" i="12"/>
  <c r="R23" i="12"/>
  <c r="D140" i="7"/>
  <c r="BX139" i="7"/>
  <c r="D123" i="7"/>
  <c r="BX122" i="7"/>
  <c r="AC37" i="7" l="1"/>
  <c r="V15" i="7"/>
  <c r="V95" i="7"/>
  <c r="BY43" i="7"/>
  <c r="O37" i="7"/>
  <c r="BY11" i="7"/>
  <c r="CB11" i="7" s="1"/>
  <c r="AD59" i="7"/>
  <c r="AL59" i="7"/>
  <c r="AL52" i="7" s="1"/>
  <c r="AL95" i="7" s="1"/>
  <c r="AL96" i="7" s="1"/>
  <c r="AG59" i="7"/>
  <c r="AE59" i="7"/>
  <c r="AM59" i="7"/>
  <c r="AM52" i="7" s="1"/>
  <c r="AM95" i="7" s="1"/>
  <c r="AM96" i="7" s="1"/>
  <c r="AH59" i="7"/>
  <c r="AF59" i="7"/>
  <c r="AN59" i="7"/>
  <c r="AI59" i="7"/>
  <c r="AJ59" i="7"/>
  <c r="AC59" i="7"/>
  <c r="AK59" i="7"/>
  <c r="AK52" i="7" s="1"/>
  <c r="AK95" i="7" s="1"/>
  <c r="AK96" i="7" s="1"/>
  <c r="BY44" i="7"/>
  <c r="BY37" i="7"/>
  <c r="R24" i="12"/>
  <c r="R25" i="12" s="1"/>
  <c r="AC15" i="7"/>
  <c r="C49" i="12"/>
  <c r="R43" i="12"/>
  <c r="Q43" i="12" s="1"/>
  <c r="Q42" i="12"/>
  <c r="Q41" i="12"/>
  <c r="Q40" i="12"/>
  <c r="Q39" i="12"/>
  <c r="N20" i="12"/>
  <c r="N21" i="12" s="1"/>
  <c r="M29" i="12"/>
  <c r="N23" i="12"/>
  <c r="AJ52" i="7" l="1"/>
  <c r="AJ95" i="7" s="1"/>
  <c r="AJ10" i="7"/>
  <c r="AJ17" i="7" s="1"/>
  <c r="AI52" i="7"/>
  <c r="AI95" i="7" s="1"/>
  <c r="AI10" i="7"/>
  <c r="AI17" i="7" s="1"/>
  <c r="AI96" i="7" s="1"/>
  <c r="AD10" i="7"/>
  <c r="AD17" i="7" s="1"/>
  <c r="AD52" i="7"/>
  <c r="AD95" i="7" s="1"/>
  <c r="O15" i="7"/>
  <c r="CB57" i="7" s="1"/>
  <c r="O95" i="7"/>
  <c r="AH10" i="7"/>
  <c r="AH17" i="7" s="1"/>
  <c r="AH52" i="7"/>
  <c r="AH95" i="7" s="1"/>
  <c r="AE10" i="7"/>
  <c r="AE52" i="7"/>
  <c r="AE95" i="7" s="1"/>
  <c r="AF52" i="7"/>
  <c r="AF95" i="7" s="1"/>
  <c r="AF10" i="7"/>
  <c r="AF17" i="7" s="1"/>
  <c r="AF96" i="7" s="1"/>
  <c r="AC10" i="7"/>
  <c r="BY59" i="7"/>
  <c r="F93" i="6" s="1"/>
  <c r="AC52" i="7"/>
  <c r="AC95" i="7" s="1"/>
  <c r="AG10" i="7"/>
  <c r="AG17" i="7" s="1"/>
  <c r="AG52" i="7"/>
  <c r="AG95" i="7" s="1"/>
  <c r="X14" i="7"/>
  <c r="X17" i="7" s="1"/>
  <c r="X96" i="7" s="1"/>
  <c r="V17" i="7"/>
  <c r="V96" i="7" s="1"/>
  <c r="AE14" i="7"/>
  <c r="AC17" i="7"/>
  <c r="AC96" i="7" s="1"/>
  <c r="N33" i="12"/>
  <c r="N32" i="12"/>
  <c r="N31" i="12"/>
  <c r="R29" i="12"/>
  <c r="R31" i="12" s="1"/>
  <c r="CB53" i="7" l="1"/>
  <c r="AH96" i="7"/>
  <c r="BY10" i="7"/>
  <c r="BZ9" i="7" s="1"/>
  <c r="CB10" i="7"/>
  <c r="AD96" i="7"/>
  <c r="AG96" i="7"/>
  <c r="AJ96" i="7"/>
  <c r="Q17" i="7"/>
  <c r="Q96" i="7" s="1"/>
  <c r="O17" i="7"/>
  <c r="O96" i="7" s="1"/>
  <c r="O97" i="7" s="1"/>
  <c r="P97" i="7" s="1"/>
  <c r="BY15" i="7"/>
  <c r="CB15" i="7" s="1"/>
  <c r="CB56" i="7" s="1" a="1"/>
  <c r="CB56" i="7" s="1"/>
  <c r="AE17" i="7"/>
  <c r="AE96" i="7" s="1"/>
  <c r="R8" i="8" a="1"/>
  <c r="R9" i="8"/>
  <c r="R10" i="8"/>
  <c r="R11" i="8"/>
  <c r="R12" i="8"/>
  <c r="R13" i="8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7" i="8"/>
  <c r="R78" i="8"/>
  <c r="R79" i="8"/>
  <c r="R8" i="8"/>
  <c r="S8" i="8"/>
  <c r="T8" i="8"/>
  <c r="S9" i="8"/>
  <c r="T9" i="8"/>
  <c r="S10" i="8"/>
  <c r="T10" i="8"/>
  <c r="S11" i="8"/>
  <c r="T11" i="8"/>
  <c r="S12" i="8"/>
  <c r="T12" i="8"/>
  <c r="S13" i="8"/>
  <c r="T13" i="8"/>
  <c r="S14" i="8"/>
  <c r="T14" i="8"/>
  <c r="S15" i="8"/>
  <c r="T15" i="8"/>
  <c r="S16" i="8"/>
  <c r="T16" i="8"/>
  <c r="S17" i="8"/>
  <c r="T17" i="8"/>
  <c r="S18" i="8"/>
  <c r="T18" i="8"/>
  <c r="S19" i="8"/>
  <c r="T19" i="8"/>
  <c r="S20" i="8"/>
  <c r="T20" i="8"/>
  <c r="S21" i="8"/>
  <c r="T21" i="8"/>
  <c r="S22" i="8"/>
  <c r="T22" i="8"/>
  <c r="S23" i="8"/>
  <c r="T23" i="8"/>
  <c r="S24" i="8"/>
  <c r="T24" i="8"/>
  <c r="S25" i="8"/>
  <c r="T25" i="8"/>
  <c r="S26" i="8"/>
  <c r="T26" i="8"/>
  <c r="S27" i="8"/>
  <c r="T27" i="8"/>
  <c r="S28" i="8"/>
  <c r="T28" i="8"/>
  <c r="S29" i="8"/>
  <c r="T29" i="8"/>
  <c r="S30" i="8"/>
  <c r="T30" i="8"/>
  <c r="S31" i="8"/>
  <c r="T31" i="8"/>
  <c r="S32" i="8"/>
  <c r="T32" i="8"/>
  <c r="S33" i="8"/>
  <c r="T33" i="8"/>
  <c r="S34" i="8"/>
  <c r="T34" i="8"/>
  <c r="S35" i="8"/>
  <c r="T35" i="8"/>
  <c r="S36" i="8"/>
  <c r="T36" i="8"/>
  <c r="S37" i="8"/>
  <c r="T37" i="8"/>
  <c r="S38" i="8"/>
  <c r="T38" i="8"/>
  <c r="S39" i="8"/>
  <c r="T39" i="8"/>
  <c r="S40" i="8"/>
  <c r="T40" i="8"/>
  <c r="S41" i="8"/>
  <c r="T41" i="8"/>
  <c r="S42" i="8"/>
  <c r="T42" i="8"/>
  <c r="S43" i="8"/>
  <c r="T43" i="8"/>
  <c r="S44" i="8"/>
  <c r="T44" i="8"/>
  <c r="S45" i="8"/>
  <c r="T45" i="8"/>
  <c r="S46" i="8"/>
  <c r="T46" i="8"/>
  <c r="S47" i="8"/>
  <c r="T47" i="8"/>
  <c r="S48" i="8"/>
  <c r="T48" i="8"/>
  <c r="S49" i="8"/>
  <c r="T49" i="8"/>
  <c r="S50" i="8"/>
  <c r="T50" i="8"/>
  <c r="S51" i="8"/>
  <c r="T51" i="8"/>
  <c r="S52" i="8"/>
  <c r="T52" i="8"/>
  <c r="S53" i="8"/>
  <c r="T53" i="8"/>
  <c r="S54" i="8"/>
  <c r="T54" i="8"/>
  <c r="S55" i="8"/>
  <c r="T55" i="8"/>
  <c r="S56" i="8"/>
  <c r="T56" i="8"/>
  <c r="S57" i="8"/>
  <c r="T57" i="8"/>
  <c r="S58" i="8"/>
  <c r="T58" i="8"/>
  <c r="S59" i="8"/>
  <c r="T59" i="8"/>
  <c r="S60" i="8"/>
  <c r="T60" i="8"/>
  <c r="S61" i="8"/>
  <c r="T61" i="8"/>
  <c r="S62" i="8"/>
  <c r="T62" i="8"/>
  <c r="S63" i="8"/>
  <c r="T63" i="8"/>
  <c r="S64" i="8"/>
  <c r="T64" i="8"/>
  <c r="S65" i="8"/>
  <c r="T65" i="8"/>
  <c r="S66" i="8"/>
  <c r="T66" i="8"/>
  <c r="S67" i="8"/>
  <c r="T67" i="8"/>
  <c r="S68" i="8"/>
  <c r="T68" i="8"/>
  <c r="S69" i="8"/>
  <c r="T69" i="8"/>
  <c r="S70" i="8"/>
  <c r="T70" i="8"/>
  <c r="S71" i="8"/>
  <c r="T71" i="8"/>
  <c r="S72" i="8"/>
  <c r="T72" i="8"/>
  <c r="S73" i="8"/>
  <c r="T73" i="8"/>
  <c r="S74" i="8"/>
  <c r="T74" i="8"/>
  <c r="S75" i="8"/>
  <c r="T75" i="8"/>
  <c r="S76" i="8"/>
  <c r="T76" i="8"/>
  <c r="S77" i="8"/>
  <c r="T77" i="8"/>
  <c r="S78" i="8"/>
  <c r="T78" i="8"/>
  <c r="S79" i="8"/>
  <c r="T79" i="8"/>
  <c r="M8" i="8" a="1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6" i="8"/>
  <c r="M47" i="8"/>
  <c r="M48" i="8"/>
  <c r="M49" i="8"/>
  <c r="M50" i="8"/>
  <c r="M51" i="8"/>
  <c r="M52" i="8"/>
  <c r="M53" i="8"/>
  <c r="M54" i="8"/>
  <c r="M55" i="8"/>
  <c r="M56" i="8"/>
  <c r="M57" i="8"/>
  <c r="M58" i="8"/>
  <c r="M59" i="8"/>
  <c r="M60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" i="8"/>
  <c r="N8" i="8"/>
  <c r="O8" i="8"/>
  <c r="N9" i="8"/>
  <c r="O9" i="8"/>
  <c r="N10" i="8"/>
  <c r="O10" i="8"/>
  <c r="N11" i="8"/>
  <c r="O11" i="8"/>
  <c r="N12" i="8"/>
  <c r="O12" i="8"/>
  <c r="N13" i="8"/>
  <c r="O13" i="8"/>
  <c r="N14" i="8"/>
  <c r="O14" i="8"/>
  <c r="N15" i="8"/>
  <c r="O15" i="8"/>
  <c r="N16" i="8"/>
  <c r="O16" i="8"/>
  <c r="N17" i="8"/>
  <c r="O17" i="8"/>
  <c r="N18" i="8"/>
  <c r="O18" i="8"/>
  <c r="N19" i="8"/>
  <c r="O19" i="8"/>
  <c r="N20" i="8"/>
  <c r="O20" i="8"/>
  <c r="N21" i="8"/>
  <c r="O21" i="8"/>
  <c r="N22" i="8"/>
  <c r="O22" i="8"/>
  <c r="N23" i="8"/>
  <c r="O23" i="8"/>
  <c r="N24" i="8"/>
  <c r="O24" i="8"/>
  <c r="N25" i="8"/>
  <c r="O25" i="8"/>
  <c r="N26" i="8"/>
  <c r="O26" i="8"/>
  <c r="N27" i="8"/>
  <c r="O27" i="8"/>
  <c r="N28" i="8"/>
  <c r="O28" i="8"/>
  <c r="N29" i="8"/>
  <c r="O29" i="8"/>
  <c r="N30" i="8"/>
  <c r="O30" i="8"/>
  <c r="N31" i="8"/>
  <c r="O31" i="8"/>
  <c r="N32" i="8"/>
  <c r="O32" i="8"/>
  <c r="N33" i="8"/>
  <c r="O33" i="8"/>
  <c r="N34" i="8"/>
  <c r="O34" i="8"/>
  <c r="N35" i="8"/>
  <c r="O35" i="8"/>
  <c r="N36" i="8"/>
  <c r="O36" i="8"/>
  <c r="N37" i="8"/>
  <c r="O37" i="8"/>
  <c r="N38" i="8"/>
  <c r="O38" i="8"/>
  <c r="N39" i="8"/>
  <c r="O39" i="8"/>
  <c r="N40" i="8"/>
  <c r="O40" i="8"/>
  <c r="N41" i="8"/>
  <c r="O41" i="8"/>
  <c r="N42" i="8"/>
  <c r="O42" i="8"/>
  <c r="N43" i="8"/>
  <c r="O43" i="8"/>
  <c r="N44" i="8"/>
  <c r="O44" i="8"/>
  <c r="N45" i="8"/>
  <c r="O45" i="8"/>
  <c r="N46" i="8"/>
  <c r="O46" i="8"/>
  <c r="N47" i="8"/>
  <c r="O47" i="8"/>
  <c r="N48" i="8"/>
  <c r="O48" i="8"/>
  <c r="N49" i="8"/>
  <c r="O49" i="8"/>
  <c r="N50" i="8"/>
  <c r="O50" i="8"/>
  <c r="N51" i="8"/>
  <c r="O51" i="8"/>
  <c r="N52" i="8"/>
  <c r="O52" i="8"/>
  <c r="N53" i="8"/>
  <c r="O53" i="8"/>
  <c r="N54" i="8"/>
  <c r="O54" i="8"/>
  <c r="N55" i="8"/>
  <c r="O55" i="8"/>
  <c r="N56" i="8"/>
  <c r="O56" i="8"/>
  <c r="N57" i="8"/>
  <c r="O57" i="8"/>
  <c r="N58" i="8"/>
  <c r="O58" i="8"/>
  <c r="N59" i="8"/>
  <c r="O59" i="8"/>
  <c r="N60" i="8"/>
  <c r="O60" i="8"/>
  <c r="N61" i="8"/>
  <c r="O61" i="8"/>
  <c r="N62" i="8"/>
  <c r="O62" i="8"/>
  <c r="N63" i="8"/>
  <c r="O63" i="8"/>
  <c r="N64" i="8"/>
  <c r="O64" i="8"/>
  <c r="N65" i="8"/>
  <c r="O65" i="8"/>
  <c r="N66" i="8"/>
  <c r="O66" i="8"/>
  <c r="N67" i="8"/>
  <c r="O67" i="8"/>
  <c r="N68" i="8"/>
  <c r="O68" i="8"/>
  <c r="N69" i="8"/>
  <c r="O69" i="8"/>
  <c r="N70" i="8"/>
  <c r="O70" i="8"/>
  <c r="N71" i="8"/>
  <c r="O71" i="8"/>
  <c r="N72" i="8"/>
  <c r="O72" i="8"/>
  <c r="N73" i="8"/>
  <c r="O73" i="8"/>
  <c r="N74" i="8"/>
  <c r="O74" i="8"/>
  <c r="N75" i="8"/>
  <c r="O75" i="8"/>
  <c r="N76" i="8"/>
  <c r="O76" i="8"/>
  <c r="N77" i="8"/>
  <c r="O77" i="8"/>
  <c r="N78" i="8"/>
  <c r="O78" i="8"/>
  <c r="N79" i="8"/>
  <c r="O79" i="8"/>
  <c r="H8" i="8" a="1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" i="8"/>
  <c r="I8" i="8"/>
  <c r="J8" i="8"/>
  <c r="I9" i="8"/>
  <c r="J9" i="8"/>
  <c r="I10" i="8"/>
  <c r="J10" i="8"/>
  <c r="I11" i="8"/>
  <c r="J11" i="8"/>
  <c r="I12" i="8"/>
  <c r="J12" i="8"/>
  <c r="I13" i="8"/>
  <c r="J13" i="8"/>
  <c r="I14" i="8"/>
  <c r="J14" i="8"/>
  <c r="I15" i="8"/>
  <c r="J15" i="8"/>
  <c r="I16" i="8"/>
  <c r="J16" i="8"/>
  <c r="I17" i="8"/>
  <c r="J17" i="8"/>
  <c r="I18" i="8"/>
  <c r="J18" i="8"/>
  <c r="I19" i="8"/>
  <c r="J19" i="8"/>
  <c r="I20" i="8"/>
  <c r="J20" i="8"/>
  <c r="I21" i="8"/>
  <c r="J21" i="8"/>
  <c r="I22" i="8"/>
  <c r="J22" i="8"/>
  <c r="I23" i="8"/>
  <c r="J23" i="8"/>
  <c r="I24" i="8"/>
  <c r="J24" i="8"/>
  <c r="I25" i="8"/>
  <c r="J25" i="8"/>
  <c r="I26" i="8"/>
  <c r="J26" i="8"/>
  <c r="I27" i="8"/>
  <c r="J27" i="8"/>
  <c r="I28" i="8"/>
  <c r="J28" i="8"/>
  <c r="I29" i="8"/>
  <c r="J29" i="8"/>
  <c r="I30" i="8"/>
  <c r="J30" i="8"/>
  <c r="I31" i="8"/>
  <c r="J31" i="8"/>
  <c r="I32" i="8"/>
  <c r="J32" i="8"/>
  <c r="I33" i="8"/>
  <c r="J33" i="8"/>
  <c r="I34" i="8"/>
  <c r="J34" i="8"/>
  <c r="I35" i="8"/>
  <c r="J35" i="8"/>
  <c r="I36" i="8"/>
  <c r="J36" i="8"/>
  <c r="I37" i="8"/>
  <c r="J37" i="8"/>
  <c r="I38" i="8"/>
  <c r="J38" i="8"/>
  <c r="I39" i="8"/>
  <c r="J39" i="8"/>
  <c r="I40" i="8"/>
  <c r="J40" i="8"/>
  <c r="I41" i="8"/>
  <c r="J41" i="8"/>
  <c r="I42" i="8"/>
  <c r="J42" i="8"/>
  <c r="I43" i="8"/>
  <c r="J43" i="8"/>
  <c r="I44" i="8"/>
  <c r="J44" i="8"/>
  <c r="I45" i="8"/>
  <c r="J45" i="8"/>
  <c r="I46" i="8"/>
  <c r="J46" i="8"/>
  <c r="I47" i="8"/>
  <c r="J47" i="8"/>
  <c r="I48" i="8"/>
  <c r="J48" i="8"/>
  <c r="I49" i="8"/>
  <c r="J49" i="8"/>
  <c r="I50" i="8"/>
  <c r="J50" i="8"/>
  <c r="I51" i="8"/>
  <c r="J51" i="8"/>
  <c r="I52" i="8"/>
  <c r="J52" i="8"/>
  <c r="I53" i="8"/>
  <c r="J53" i="8"/>
  <c r="I54" i="8"/>
  <c r="J54" i="8"/>
  <c r="I55" i="8"/>
  <c r="J55" i="8"/>
  <c r="I56" i="8"/>
  <c r="J56" i="8"/>
  <c r="I57" i="8"/>
  <c r="J57" i="8"/>
  <c r="I58" i="8"/>
  <c r="J58" i="8"/>
  <c r="I59" i="8"/>
  <c r="J59" i="8"/>
  <c r="I60" i="8"/>
  <c r="J60" i="8"/>
  <c r="I61" i="8"/>
  <c r="J61" i="8"/>
  <c r="I62" i="8"/>
  <c r="J62" i="8"/>
  <c r="I63" i="8"/>
  <c r="J63" i="8"/>
  <c r="I64" i="8"/>
  <c r="J64" i="8"/>
  <c r="I65" i="8"/>
  <c r="J65" i="8"/>
  <c r="I66" i="8"/>
  <c r="J66" i="8"/>
  <c r="I67" i="8"/>
  <c r="J67" i="8"/>
  <c r="I68" i="8"/>
  <c r="J68" i="8"/>
  <c r="I69" i="8"/>
  <c r="J69" i="8"/>
  <c r="I70" i="8"/>
  <c r="J70" i="8"/>
  <c r="I71" i="8"/>
  <c r="J71" i="8"/>
  <c r="I72" i="8"/>
  <c r="J72" i="8"/>
  <c r="I73" i="8"/>
  <c r="J73" i="8"/>
  <c r="I74" i="8"/>
  <c r="J74" i="8"/>
  <c r="I75" i="8"/>
  <c r="J75" i="8"/>
  <c r="I76" i="8"/>
  <c r="J76" i="8"/>
  <c r="I77" i="8"/>
  <c r="J77" i="8"/>
  <c r="I78" i="8"/>
  <c r="J78" i="8"/>
  <c r="I79" i="8"/>
  <c r="J79" i="8"/>
  <c r="C8" i="8" a="1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" i="8"/>
  <c r="D8" i="8"/>
  <c r="E8" i="8"/>
  <c r="D9" i="8"/>
  <c r="E9" i="8"/>
  <c r="D10" i="8"/>
  <c r="E10" i="8"/>
  <c r="D11" i="8"/>
  <c r="E11" i="8"/>
  <c r="D12" i="8"/>
  <c r="E12" i="8"/>
  <c r="D13" i="8"/>
  <c r="E13" i="8"/>
  <c r="D14" i="8"/>
  <c r="E14" i="8"/>
  <c r="D15" i="8"/>
  <c r="E15" i="8"/>
  <c r="D16" i="8"/>
  <c r="E16" i="8"/>
  <c r="D17" i="8"/>
  <c r="E17" i="8"/>
  <c r="D18" i="8"/>
  <c r="E18" i="8"/>
  <c r="D19" i="8"/>
  <c r="E19" i="8"/>
  <c r="D20" i="8"/>
  <c r="E20" i="8"/>
  <c r="D21" i="8"/>
  <c r="E21" i="8"/>
  <c r="D22" i="8"/>
  <c r="E22" i="8"/>
  <c r="D23" i="8"/>
  <c r="E23" i="8"/>
  <c r="D24" i="8"/>
  <c r="E24" i="8"/>
  <c r="D25" i="8"/>
  <c r="E25" i="8"/>
  <c r="D26" i="8"/>
  <c r="E26" i="8"/>
  <c r="D27" i="8"/>
  <c r="E27" i="8"/>
  <c r="D28" i="8"/>
  <c r="E28" i="8"/>
  <c r="D29" i="8"/>
  <c r="E29" i="8"/>
  <c r="D30" i="8"/>
  <c r="E30" i="8"/>
  <c r="D31" i="8"/>
  <c r="E31" i="8"/>
  <c r="D32" i="8"/>
  <c r="E32" i="8"/>
  <c r="D33" i="8"/>
  <c r="E33" i="8"/>
  <c r="D34" i="8"/>
  <c r="E34" i="8"/>
  <c r="D35" i="8"/>
  <c r="E35" i="8"/>
  <c r="D36" i="8"/>
  <c r="E36" i="8"/>
  <c r="D37" i="8"/>
  <c r="E37" i="8"/>
  <c r="D38" i="8"/>
  <c r="E38" i="8"/>
  <c r="D39" i="8"/>
  <c r="E39" i="8"/>
  <c r="D40" i="8"/>
  <c r="E40" i="8"/>
  <c r="D41" i="8"/>
  <c r="E41" i="8"/>
  <c r="D42" i="8"/>
  <c r="E42" i="8"/>
  <c r="D43" i="8"/>
  <c r="E43" i="8"/>
  <c r="D44" i="8"/>
  <c r="E44" i="8"/>
  <c r="D45" i="8"/>
  <c r="E45" i="8"/>
  <c r="D46" i="8"/>
  <c r="E46" i="8"/>
  <c r="D47" i="8"/>
  <c r="E47" i="8"/>
  <c r="D48" i="8"/>
  <c r="E48" i="8"/>
  <c r="D49" i="8"/>
  <c r="E49" i="8"/>
  <c r="D50" i="8"/>
  <c r="E50" i="8"/>
  <c r="D51" i="8"/>
  <c r="E51" i="8"/>
  <c r="D52" i="8"/>
  <c r="E52" i="8"/>
  <c r="D53" i="8"/>
  <c r="E53" i="8"/>
  <c r="D54" i="8"/>
  <c r="E54" i="8"/>
  <c r="D55" i="8"/>
  <c r="E55" i="8"/>
  <c r="D56" i="8"/>
  <c r="E56" i="8"/>
  <c r="D57" i="8"/>
  <c r="E57" i="8"/>
  <c r="D58" i="8"/>
  <c r="E58" i="8"/>
  <c r="D59" i="8"/>
  <c r="E59" i="8"/>
  <c r="D60" i="8"/>
  <c r="E60" i="8"/>
  <c r="D61" i="8"/>
  <c r="E61" i="8"/>
  <c r="D62" i="8"/>
  <c r="E62" i="8"/>
  <c r="D63" i="8"/>
  <c r="E63" i="8"/>
  <c r="D64" i="8"/>
  <c r="E64" i="8"/>
  <c r="D65" i="8"/>
  <c r="E65" i="8"/>
  <c r="D66" i="8"/>
  <c r="E66" i="8"/>
  <c r="D67" i="8"/>
  <c r="E67" i="8"/>
  <c r="D68" i="8"/>
  <c r="E68" i="8"/>
  <c r="D69" i="8"/>
  <c r="E69" i="8"/>
  <c r="D70" i="8"/>
  <c r="E70" i="8"/>
  <c r="D71" i="8"/>
  <c r="E71" i="8"/>
  <c r="D72" i="8"/>
  <c r="E72" i="8"/>
  <c r="D73" i="8"/>
  <c r="E73" i="8"/>
  <c r="D74" i="8"/>
  <c r="E74" i="8"/>
  <c r="D75" i="8"/>
  <c r="E75" i="8"/>
  <c r="D76" i="8"/>
  <c r="E76" i="8"/>
  <c r="D77" i="8"/>
  <c r="E77" i="8"/>
  <c r="D78" i="8"/>
  <c r="E78" i="8"/>
  <c r="D79" i="8"/>
  <c r="E79" i="8"/>
  <c r="C16" i="6"/>
  <c r="D101" i="6" s="1"/>
  <c r="F91" i="6" s="1"/>
  <c r="AB47" i="7" s="1"/>
  <c r="BY47" i="7" l="1"/>
  <c r="BY46" i="7" s="1"/>
  <c r="AB46" i="7"/>
  <c r="AB95" i="7" s="1"/>
  <c r="AB96" i="7" s="1"/>
  <c r="Q97" i="7"/>
  <c r="R97" i="7" s="1"/>
  <c r="S97" i="7" s="1"/>
  <c r="T97" i="7" s="1"/>
  <c r="U97" i="7" s="1"/>
  <c r="V97" i="7" s="1"/>
  <c r="W97" i="7" s="1"/>
  <c r="X97" i="7" s="1"/>
  <c r="Y97" i="7" s="1"/>
  <c r="Z97" i="7" s="1"/>
  <c r="AA97" i="7" s="1"/>
  <c r="BY14" i="7"/>
  <c r="BZ12" i="7" s="1"/>
  <c r="CB12" i="7" s="1"/>
  <c r="AN94" i="7"/>
  <c r="CB9" i="7"/>
  <c r="AN53" i="7"/>
  <c r="F92" i="6" s="1"/>
  <c r="C96" i="6" s="1"/>
  <c r="G17" i="11" s="1"/>
  <c r="F17" i="6"/>
  <c r="C58" i="11"/>
  <c r="B58" i="11" s="1"/>
  <c r="B57" i="11"/>
  <c r="B56" i="11"/>
  <c r="B55" i="11"/>
  <c r="B54" i="11"/>
  <c r="H30" i="11"/>
  <c r="G30" i="11" s="1"/>
  <c r="G29" i="11"/>
  <c r="G28" i="11"/>
  <c r="G27" i="11"/>
  <c r="G26" i="11"/>
  <c r="C24" i="11"/>
  <c r="BY17" i="7" l="1"/>
  <c r="AB97" i="7"/>
  <c r="AC97" i="7" s="1"/>
  <c r="AD97" i="7" s="1"/>
  <c r="AE97" i="7" s="1"/>
  <c r="AF97" i="7" s="1"/>
  <c r="AG97" i="7" s="1"/>
  <c r="AH97" i="7" s="1"/>
  <c r="AI97" i="7" s="1"/>
  <c r="AJ97" i="7" s="1"/>
  <c r="AK97" i="7" s="1"/>
  <c r="AL97" i="7" s="1"/>
  <c r="AM97" i="7" s="1"/>
  <c r="CB51" i="7"/>
  <c r="CC9" i="7"/>
  <c r="AN87" i="7"/>
  <c r="BY94" i="7"/>
  <c r="BZ88" i="7" s="1"/>
  <c r="BY95" i="7" s="1"/>
  <c r="CB54" i="7"/>
  <c r="CC12" i="7"/>
  <c r="CB17" i="7" s="1"/>
  <c r="CB58" i="7" s="1"/>
  <c r="C108" i="6"/>
  <c r="N22" i="6" s="1"/>
  <c r="C48" i="11"/>
  <c r="B48" i="11" s="1"/>
  <c r="H20" i="11"/>
  <c r="G20" i="11" s="1"/>
  <c r="G18" i="11"/>
  <c r="G19" i="11"/>
  <c r="B45" i="11"/>
  <c r="B46" i="11"/>
  <c r="B47" i="11"/>
  <c r="AN102" i="7"/>
  <c r="AN13" i="9"/>
  <c r="BY53" i="7"/>
  <c r="BY52" i="7" s="1"/>
  <c r="BZ18" i="7" s="1"/>
  <c r="BY87" i="7" s="1"/>
  <c r="AN52" i="7"/>
  <c r="F97" i="6"/>
  <c r="C21" i="11"/>
  <c r="C11" i="11"/>
  <c r="D102" i="6"/>
  <c r="D103" i="6" s="1"/>
  <c r="AN95" i="7" l="1"/>
  <c r="AN96" i="7" s="1"/>
  <c r="AN97" i="7" s="1"/>
  <c r="C39" i="11"/>
  <c r="B39" i="11" s="1"/>
  <c r="BY96" i="7"/>
  <c r="G7" i="11"/>
  <c r="B35" i="11"/>
  <c r="G10" i="11"/>
  <c r="B36" i="11"/>
  <c r="B37" i="11"/>
  <c r="D104" i="6"/>
  <c r="F104" i="6" s="1"/>
  <c r="B38" i="11"/>
  <c r="D105" i="6"/>
  <c r="G8" i="11"/>
  <c r="C110" i="6"/>
  <c r="G9" i="11"/>
  <c r="H11" i="11"/>
  <c r="G11" i="11" s="1"/>
  <c r="AO97" i="7"/>
  <c r="AP97" i="7" s="1"/>
  <c r="AQ97" i="7" s="1"/>
  <c r="AR97" i="7" s="1"/>
  <c r="AS97" i="7" s="1"/>
  <c r="AT97" i="7" s="1"/>
  <c r="AU97" i="7" s="1"/>
  <c r="AV97" i="7" s="1"/>
  <c r="AW97" i="7" s="1"/>
  <c r="AX97" i="7" s="1"/>
  <c r="AY97" i="7" s="1"/>
  <c r="AZ97" i="7" s="1"/>
  <c r="BA97" i="7" s="1"/>
  <c r="BB97" i="7" s="1"/>
  <c r="BC97" i="7" s="1"/>
  <c r="BD97" i="7" s="1"/>
  <c r="BE97" i="7" s="1"/>
  <c r="BF97" i="7" s="1"/>
  <c r="BG97" i="7" s="1"/>
  <c r="BH97" i="7" s="1"/>
  <c r="BI97" i="7" s="1"/>
  <c r="BJ97" i="7" s="1"/>
  <c r="BK97" i="7" s="1"/>
  <c r="BL97" i="7" s="1"/>
  <c r="BM97" i="7" s="1"/>
  <c r="BN97" i="7" s="1"/>
  <c r="BO97" i="7" s="1"/>
  <c r="BP97" i="7" s="1"/>
  <c r="BQ97" i="7" s="1"/>
  <c r="BR97" i="7" s="1"/>
  <c r="BS97" i="7" s="1"/>
  <c r="BT97" i="7" s="1"/>
  <c r="BU97" i="7" s="1"/>
  <c r="BV97" i="7" s="1"/>
  <c r="BW97" i="7" s="1"/>
  <c r="BX97" i="7" s="1"/>
  <c r="AN103" i="7"/>
  <c r="D110" i="7" s="1"/>
  <c r="D111" i="7" s="1"/>
  <c r="AN33" i="9"/>
  <c r="AN35" i="9" s="1"/>
  <c r="AO35" i="9" s="1"/>
  <c r="AP35" i="9" s="1"/>
  <c r="AQ35" i="9" s="1"/>
  <c r="AR35" i="9" s="1"/>
  <c r="AS35" i="9" s="1"/>
  <c r="AT35" i="9" s="1"/>
  <c r="AU35" i="9" s="1"/>
  <c r="AV35" i="9" s="1"/>
  <c r="AW35" i="9" s="1"/>
  <c r="AX35" i="9" s="1"/>
  <c r="AY35" i="9" s="1"/>
  <c r="AZ35" i="9" s="1"/>
  <c r="BA35" i="9" s="1"/>
  <c r="BB35" i="9" s="1"/>
  <c r="BC35" i="9" s="1"/>
  <c r="BD35" i="9" s="1"/>
  <c r="BE35" i="9" s="1"/>
  <c r="BF35" i="9" s="1"/>
  <c r="BG35" i="9" s="1"/>
  <c r="BH35" i="9" s="1"/>
  <c r="BI35" i="9" s="1"/>
  <c r="BJ35" i="9" s="1"/>
  <c r="BK35" i="9" s="1"/>
  <c r="BL35" i="9" s="1"/>
  <c r="BM35" i="9" s="1"/>
  <c r="BN35" i="9" s="1"/>
  <c r="BO35" i="9" s="1"/>
  <c r="BP35" i="9" s="1"/>
  <c r="BQ35" i="9" s="1"/>
  <c r="BR35" i="9" s="1"/>
  <c r="BS35" i="9" s="1"/>
  <c r="BT35" i="9" s="1"/>
  <c r="BU35" i="9" s="1"/>
  <c r="BV35" i="9" s="1"/>
  <c r="BW35" i="9" s="1"/>
  <c r="BX35" i="9" s="1"/>
  <c r="BY13" i="9"/>
  <c r="BZ13" i="9" s="1"/>
  <c r="C23" i="6"/>
  <c r="C113" i="6"/>
  <c r="AN106" i="7" l="1"/>
  <c r="D107" i="7" s="1"/>
  <c r="M39" i="6"/>
  <c r="C26" i="11" s="1"/>
  <c r="C28" i="11" s="1"/>
  <c r="M37" i="6"/>
  <c r="M35" i="6"/>
  <c r="N41" i="6" l="1"/>
</calcChain>
</file>

<file path=xl/sharedStrings.xml><?xml version="1.0" encoding="utf-8"?>
<sst xmlns="http://schemas.openxmlformats.org/spreadsheetml/2006/main" count="762" uniqueCount="433">
  <si>
    <t>NÁJEMCE</t>
  </si>
  <si>
    <t>STAVEBNÍ PŘIPRAVENOST</t>
  </si>
  <si>
    <t>UŽITNÁ PLOCHA</t>
  </si>
  <si>
    <t>PLATEBNÍ OBDOBI</t>
  </si>
  <si>
    <t>NÁJEM EUR M2 BEZ DPH</t>
  </si>
  <si>
    <t>NÁJEM CZK M2 BEZ DPH</t>
  </si>
  <si>
    <t>NÁJEM MĚSÍC CZK BEZ DPH</t>
  </si>
  <si>
    <t>DPH</t>
  </si>
  <si>
    <t>SERVICE FIX m2</t>
  </si>
  <si>
    <t>SERVICE FIX</t>
  </si>
  <si>
    <t>DPH SERVICE FIX</t>
  </si>
  <si>
    <t>CELKEM BEZ DPH</t>
  </si>
  <si>
    <t>CELKEM VČETNĚ DPH</t>
  </si>
  <si>
    <t>JISTOTA / ZÁRUKA</t>
  </si>
  <si>
    <t>SMLOUVA OD</t>
  </si>
  <si>
    <t>SMLOUVA DO </t>
  </si>
  <si>
    <t>OPCE</t>
  </si>
  <si>
    <t>INDEXACE</t>
  </si>
  <si>
    <t>shell and core</t>
  </si>
  <si>
    <t>Penny</t>
  </si>
  <si>
    <t>měsíčně</t>
  </si>
  <si>
    <t>full fit-out</t>
  </si>
  <si>
    <t>pozemek</t>
  </si>
  <si>
    <t>Elektra</t>
  </si>
  <si>
    <t>Teta drogerie</t>
  </si>
  <si>
    <t>Trafika</t>
  </si>
  <si>
    <t>Sinsay</t>
  </si>
  <si>
    <t>Volná plocha</t>
  </si>
  <si>
    <t>CELKEM, měsíc</t>
  </si>
  <si>
    <t>CELKEM, rok</t>
  </si>
  <si>
    <t>CHECK</t>
  </si>
  <si>
    <t>Celkova plocha</t>
  </si>
  <si>
    <t>Celkovy najem rok</t>
  </si>
  <si>
    <t>Zastavitelnost pozemku</t>
  </si>
  <si>
    <t>Pozdovana zastavitelnost</t>
  </si>
  <si>
    <t>Kurz EUR/CZK</t>
  </si>
  <si>
    <t>price CZK/m2 Shell&amp;Core</t>
  </si>
  <si>
    <t>price CZK/ total</t>
  </si>
  <si>
    <t>price CZK/m2 Fit-out</t>
  </si>
  <si>
    <t>A3 Sport</t>
  </si>
  <si>
    <t>Academia</t>
  </si>
  <si>
    <t>Albert</t>
  </si>
  <si>
    <t>Alpine Pro</t>
  </si>
  <si>
    <t>ASKO</t>
  </si>
  <si>
    <t>Bala</t>
  </si>
  <si>
    <t>Baťa</t>
  </si>
  <si>
    <t>Bauhaus</t>
  </si>
  <si>
    <t>bauMax</t>
  </si>
  <si>
    <t>Billa</t>
  </si>
  <si>
    <t>Brněnka</t>
  </si>
  <si>
    <t>CBA</t>
  </si>
  <si>
    <t>CCC</t>
  </si>
  <si>
    <t>COOP</t>
  </si>
  <si>
    <t>Cyklo World</t>
  </si>
  <si>
    <t>Datart</t>
  </si>
  <si>
    <t>Decathlon</t>
  </si>
  <si>
    <t>Deichmann</t>
  </si>
  <si>
    <t>Delmart</t>
  </si>
  <si>
    <t>dm</t>
  </si>
  <si>
    <t>Enapo</t>
  </si>
  <si>
    <t>Eso</t>
  </si>
  <si>
    <t>Euronics</t>
  </si>
  <si>
    <t>Expert Elektro</t>
  </si>
  <si>
    <t>Flop</t>
  </si>
  <si>
    <t>Globus</t>
  </si>
  <si>
    <t>Hornbach</t>
  </si>
  <si>
    <t>Hruška</t>
  </si>
  <si>
    <t>IKEA</t>
  </si>
  <si>
    <t>Intersport</t>
  </si>
  <si>
    <t>Jamall</t>
  </si>
  <si>
    <t>JIP</t>
  </si>
  <si>
    <t>JYSK</t>
  </si>
  <si>
    <t>Kanzelsberger</t>
  </si>
  <si>
    <t>Kaufland</t>
  </si>
  <si>
    <t>Knihy Dobrovský</t>
  </si>
  <si>
    <t>KIK</t>
  </si>
  <si>
    <t>Librex</t>
  </si>
  <si>
    <t>Lidl</t>
  </si>
  <si>
    <t>Luxor</t>
  </si>
  <si>
    <t>Makro</t>
  </si>
  <si>
    <t>Mere</t>
  </si>
  <si>
    <t>Möbelix</t>
  </si>
  <si>
    <t>Mountfield</t>
  </si>
  <si>
    <t>Můj obchod</t>
  </si>
  <si>
    <t>Norma</t>
  </si>
  <si>
    <t>OBI</t>
  </si>
  <si>
    <t>OKAY</t>
  </si>
  <si>
    <t>PEPCO</t>
  </si>
  <si>
    <t>Plus JIP</t>
  </si>
  <si>
    <t>Potraviny JIP</t>
  </si>
  <si>
    <t>Pramen</t>
  </si>
  <si>
    <t>Proton</t>
  </si>
  <si>
    <t>Qanto</t>
  </si>
  <si>
    <t>Rossman</t>
  </si>
  <si>
    <t>SCONTO</t>
  </si>
  <si>
    <t>Sklizeno</t>
  </si>
  <si>
    <t>Sportisimo</t>
  </si>
  <si>
    <t>SuperZoo</t>
  </si>
  <si>
    <t>TEDI</t>
  </si>
  <si>
    <t>Terno</t>
  </si>
  <si>
    <t>Tesco</t>
  </si>
  <si>
    <t>Tesco Express</t>
  </si>
  <si>
    <t>Tommy Jeans</t>
  </si>
  <si>
    <t>UNI HOBBY</t>
  </si>
  <si>
    <t>VRTAL</t>
  </si>
  <si>
    <t>XXXLutz</t>
  </si>
  <si>
    <t>Žabka</t>
  </si>
  <si>
    <t>Dr. Max</t>
  </si>
  <si>
    <t>Style</t>
  </si>
  <si>
    <t>Salon Beauty</t>
  </si>
  <si>
    <t>Asian WOK</t>
  </si>
  <si>
    <t>GASTRO</t>
  </si>
  <si>
    <t>Benu</t>
  </si>
  <si>
    <t>Ostatní boxy</t>
  </si>
  <si>
    <t>Myčka</t>
  </si>
  <si>
    <t>Boxes</t>
  </si>
  <si>
    <t>Fastfood</t>
  </si>
  <si>
    <t xml:space="preserve">PROJEKT: </t>
  </si>
  <si>
    <t xml:space="preserve">Náklady </t>
  </si>
  <si>
    <t>Výnosy</t>
  </si>
  <si>
    <t>Fáze</t>
  </si>
  <si>
    <t xml:space="preserve">Akviziční náklady </t>
  </si>
  <si>
    <t>Časový odhad jednotlivých bodů ( počet měsiců)</t>
  </si>
  <si>
    <t>Mn.</t>
  </si>
  <si>
    <t>m2</t>
  </si>
  <si>
    <t>kč/m2</t>
  </si>
  <si>
    <t>Užitná plocha</t>
  </si>
  <si>
    <t>Dokončení</t>
  </si>
  <si>
    <t>cena m2</t>
  </si>
  <si>
    <t>servis fix</t>
  </si>
  <si>
    <t>Kč celkem</t>
  </si>
  <si>
    <t>Land Development</t>
  </si>
  <si>
    <t>kpl</t>
  </si>
  <si>
    <t>Připrava projektu</t>
  </si>
  <si>
    <t>Projektování</t>
  </si>
  <si>
    <t>Právo stavby do SP</t>
  </si>
  <si>
    <t>vyjadřovaní DOSS</t>
  </si>
  <si>
    <t>Náklady</t>
  </si>
  <si>
    <t xml:space="preserve">Stavební povolení </t>
  </si>
  <si>
    <t>Vystavba projektu</t>
  </si>
  <si>
    <t>Akvizice</t>
  </si>
  <si>
    <t>Hod</t>
  </si>
  <si>
    <t xml:space="preserve">Kolaudace </t>
  </si>
  <si>
    <t>Provize za právo stavby</t>
  </si>
  <si>
    <t>pct</t>
  </si>
  <si>
    <t>Celkem měsiců</t>
  </si>
  <si>
    <t>Celkem</t>
  </si>
  <si>
    <t>Cena na m2 prodejní plochy</t>
  </si>
  <si>
    <t>Celkem plocha m2</t>
  </si>
  <si>
    <t>Celkem výnosy GRI (rok)</t>
  </si>
  <si>
    <t>Podíl</t>
  </si>
  <si>
    <t>OPEX</t>
  </si>
  <si>
    <t>Náklad na finanční záruku</t>
  </si>
  <si>
    <t>yield</t>
  </si>
  <si>
    <t>Pravo stavby</t>
  </si>
  <si>
    <t>NET YIELD Development</t>
  </si>
  <si>
    <t>YIELD Market</t>
  </si>
  <si>
    <t>Prodejce</t>
  </si>
  <si>
    <t>Daň z zisků(prodej pozemek rez.)</t>
  </si>
  <si>
    <t>Jednotka</t>
  </si>
  <si>
    <t>JC</t>
  </si>
  <si>
    <t>LCGT discount</t>
  </si>
  <si>
    <t>Prodej pozemku (% plochy)</t>
  </si>
  <si>
    <t xml:space="preserve">Prodejní cena pozemek </t>
  </si>
  <si>
    <t xml:space="preserve">Prodejní cena retail </t>
  </si>
  <si>
    <t>Projekt doprava</t>
  </si>
  <si>
    <t>Prodejní cena celkem</t>
  </si>
  <si>
    <t>Projekt FastFood</t>
  </si>
  <si>
    <t>EUR/CZK</t>
  </si>
  <si>
    <t>Net profit</t>
  </si>
  <si>
    <t>Optimistic</t>
  </si>
  <si>
    <t>Realistic</t>
  </si>
  <si>
    <t>Pesimistic</t>
  </si>
  <si>
    <t>Shell &amp; Core</t>
  </si>
  <si>
    <t>Čistá marže na equity</t>
  </si>
  <si>
    <t>Full Fit-out</t>
  </si>
  <si>
    <t>Komunikace</t>
  </si>
  <si>
    <t>Vynucené investice</t>
  </si>
  <si>
    <t>Celkem stavba</t>
  </si>
  <si>
    <t>Celkem s rezervou</t>
  </si>
  <si>
    <t>Land Development (LDS)</t>
  </si>
  <si>
    <t>Project management (LDS)</t>
  </si>
  <si>
    <t>ptc</t>
  </si>
  <si>
    <t>Letting Fee (LDS)</t>
  </si>
  <si>
    <t>p.a</t>
  </si>
  <si>
    <t>Sources</t>
  </si>
  <si>
    <t>Bank Const. Loan</t>
  </si>
  <si>
    <t>Bank Interest + Fees</t>
  </si>
  <si>
    <t>Construction Loan</t>
  </si>
  <si>
    <t>Equity Investment</t>
  </si>
  <si>
    <t>Total Sources</t>
  </si>
  <si>
    <t>Investice do projektu:</t>
  </si>
  <si>
    <t>Cena na m2 prodejní plochy:</t>
  </si>
  <si>
    <t>Investice do projektu včetně podílu:</t>
  </si>
  <si>
    <t>Vymera</t>
  </si>
  <si>
    <t>Celkova cena</t>
  </si>
  <si>
    <t>M2</t>
  </si>
  <si>
    <t>Celkova</t>
  </si>
  <si>
    <t>Doprava+FF</t>
  </si>
  <si>
    <t>RP</t>
  </si>
  <si>
    <t>fákt ke dni</t>
  </si>
  <si>
    <t>Cash -flow</t>
  </si>
  <si>
    <t>Součet</t>
  </si>
  <si>
    <t>param</t>
  </si>
  <si>
    <t>kol</t>
  </si>
  <si>
    <t>Nabýti SP</t>
  </si>
  <si>
    <t>Vlastní zdroje</t>
  </si>
  <si>
    <t>LHM</t>
  </si>
  <si>
    <t>(+)</t>
  </si>
  <si>
    <t>IBSH</t>
  </si>
  <si>
    <t>LDparks HUB</t>
  </si>
  <si>
    <t>Cizí zdroje</t>
  </si>
  <si>
    <t>Úvěr Mezanin</t>
  </si>
  <si>
    <t>Úvěr Business Angel</t>
  </si>
  <si>
    <t>Úvěr Banka</t>
  </si>
  <si>
    <t>Příjmy z prodeje/Pronájmu</t>
  </si>
  <si>
    <t>Platby z pronájmu</t>
  </si>
  <si>
    <t>Platby z prodeje</t>
  </si>
  <si>
    <t>(-)</t>
  </si>
  <si>
    <t>Ostatní výnosy/Kauce</t>
  </si>
  <si>
    <t>(+)/(-)</t>
  </si>
  <si>
    <t>Celkové zdroje</t>
  </si>
  <si>
    <t>Výdaje</t>
  </si>
  <si>
    <t>A. Land costs</t>
  </si>
  <si>
    <t>Nákup nemovitosti/pozemků</t>
  </si>
  <si>
    <t>ZPF</t>
  </si>
  <si>
    <t>Předakviziční analýza</t>
  </si>
  <si>
    <t>Provize za nákup (INT)</t>
  </si>
  <si>
    <t>Provize za nákup (EXT)</t>
  </si>
  <si>
    <t>B. Architecture &amp; Engineering</t>
  </si>
  <si>
    <t>Projekt , architekt DSP &amp; Engineering</t>
  </si>
  <si>
    <t>Projekt , architekt DPS (potraviny)</t>
  </si>
  <si>
    <t>Projekt , architekt DPS (retail)</t>
  </si>
  <si>
    <t>Projekt , architekt ZSPD</t>
  </si>
  <si>
    <t>Engineering</t>
  </si>
  <si>
    <t>C. Constructions costs</t>
  </si>
  <si>
    <t>Operativní náklady spojené s realizaci stavby</t>
  </si>
  <si>
    <t>Rezerva</t>
  </si>
  <si>
    <t>E. Soft costs</t>
  </si>
  <si>
    <t>Project management (Interní)</t>
  </si>
  <si>
    <t xml:space="preserve">Project management (Externí ) </t>
  </si>
  <si>
    <t>Administrativní náklady</t>
  </si>
  <si>
    <t>Ostatní náklady</t>
  </si>
  <si>
    <t>Právní služby</t>
  </si>
  <si>
    <t>Marketing</t>
  </si>
  <si>
    <t>Letting fee</t>
  </si>
  <si>
    <t>F. Financial costs</t>
  </si>
  <si>
    <t>Poplatky za zpracování úvěru</t>
  </si>
  <si>
    <t>Úrokové náklady Equity</t>
  </si>
  <si>
    <t>Úrokové náklady Bank</t>
  </si>
  <si>
    <t>Bankovní poplatky</t>
  </si>
  <si>
    <t>Daně</t>
  </si>
  <si>
    <t>F1.Interest</t>
  </si>
  <si>
    <t>Splátka úroku Lekvi Development s.r.o.</t>
  </si>
  <si>
    <t>Splátka úroku IBSH</t>
  </si>
  <si>
    <t>Splátka úroku LDparks HUB</t>
  </si>
  <si>
    <t>Splátka úroku Equity 3</t>
  </si>
  <si>
    <t>Splátka úroku Mezanin</t>
  </si>
  <si>
    <t>Splátka úroku Business Angel (p.m.)</t>
  </si>
  <si>
    <t>Splátka úroku Banka</t>
  </si>
  <si>
    <t>Operational expenditures</t>
  </si>
  <si>
    <t>ostraha objektu + napojení na PCO</t>
  </si>
  <si>
    <t>pravidelný servis VZT - IVENT pro</t>
  </si>
  <si>
    <t>servisní práce (EPS)</t>
  </si>
  <si>
    <t>kontrola provozuschopnosti EPS</t>
  </si>
  <si>
    <t>Revize zařízení NN RETAIL</t>
  </si>
  <si>
    <t>služby zimní údržba</t>
  </si>
  <si>
    <t>letní údržba, sekání trávy, venkovní úklid</t>
  </si>
  <si>
    <t>požární ochrana</t>
  </si>
  <si>
    <t>pojištění podnikatelských rizik</t>
  </si>
  <si>
    <t>prohlídky aut. dveří</t>
  </si>
  <si>
    <t>kontrola požárních uzávěrů</t>
  </si>
  <si>
    <t>ORL - čištění, rozbory</t>
  </si>
  <si>
    <t>údržba retenční nádrže</t>
  </si>
  <si>
    <t>Tvorba finančních rezerv pro ostatní opravy a údržbu</t>
  </si>
  <si>
    <t>údržba společné příjezdové komunikace-je v rámci zimní i letní</t>
  </si>
  <si>
    <t>Hrubý odhad en bloc</t>
  </si>
  <si>
    <t>Property a facility management</t>
  </si>
  <si>
    <t>SVJ</t>
  </si>
  <si>
    <t>Účetnictví</t>
  </si>
  <si>
    <t>Provize za prodej  nemovitosti</t>
  </si>
  <si>
    <t>Capital expenditures</t>
  </si>
  <si>
    <t>Tenant improvements</t>
  </si>
  <si>
    <t>Lease hold estate</t>
  </si>
  <si>
    <t>Loan</t>
  </si>
  <si>
    <t>Splátka jistiny Lekvi Development s.r.o.</t>
  </si>
  <si>
    <t>Splátka jistiny IBSH</t>
  </si>
  <si>
    <t>Splátka jistiny LDparks HUB</t>
  </si>
  <si>
    <t>Splátka jistiny Equity 3</t>
  </si>
  <si>
    <t>Splátka jistiny Business Angel</t>
  </si>
  <si>
    <t>Splátka jistiny Mezanin</t>
  </si>
  <si>
    <t>Splátka jistiny Banka</t>
  </si>
  <si>
    <t>Celkové výdaje</t>
  </si>
  <si>
    <t xml:space="preserve">Vysledek cash -flow </t>
  </si>
  <si>
    <t>Stav na BÚ</t>
  </si>
  <si>
    <t>Penežní tok Lekvi</t>
  </si>
  <si>
    <t>Sale of receivables</t>
  </si>
  <si>
    <t>Interest</t>
  </si>
  <si>
    <t>Profit</t>
  </si>
  <si>
    <t>CF Development Fee</t>
  </si>
  <si>
    <t>Motivace od výnosu</t>
  </si>
  <si>
    <t>Penežní tok TOTAL</t>
  </si>
  <si>
    <t>IRR</t>
  </si>
  <si>
    <t>Investice - úvěr</t>
  </si>
  <si>
    <t>Celkem Investice</t>
  </si>
  <si>
    <t>Celkem Výnos</t>
  </si>
  <si>
    <t>ROI</t>
  </si>
  <si>
    <t>Penežní tok Equity 2</t>
  </si>
  <si>
    <t>Purchase of receivables</t>
  </si>
  <si>
    <t>Saldo</t>
  </si>
  <si>
    <t>Investice - podíl</t>
  </si>
  <si>
    <t>Penežní tok Equity 3</t>
  </si>
  <si>
    <t>Loan &amp; Interest Lekvi Development s.r.o.</t>
  </si>
  <si>
    <t xml:space="preserve">Loan &amp; Interest Equity 1 </t>
  </si>
  <si>
    <t>Loan &amp; Interest Equity 2</t>
  </si>
  <si>
    <t>Loan &amp; Interest Equity 3</t>
  </si>
  <si>
    <t>Month</t>
  </si>
  <si>
    <t>△ of loan</t>
  </si>
  <si>
    <t>Interests</t>
  </si>
  <si>
    <t>Úvěr Mezanin 1</t>
  </si>
  <si>
    <t>Úvěr Mezanin 2</t>
  </si>
  <si>
    <t>Úvěr Business Angel 1</t>
  </si>
  <si>
    <t>Úvěr Business Angel 2</t>
  </si>
  <si>
    <t>Splátka úroku Equity 1</t>
  </si>
  <si>
    <t>Splátka úroku Equity 2</t>
  </si>
  <si>
    <t>Splátka úroku Mezanin 1</t>
  </si>
  <si>
    <t>Splátka úroku Mezanin 2</t>
  </si>
  <si>
    <t>Splátka úroku Business Angel 1</t>
  </si>
  <si>
    <t>Splátka úroku Business Angel 2</t>
  </si>
  <si>
    <t>Splátka jistiny Equity 1</t>
  </si>
  <si>
    <t>Splátka jistiny Equity 2</t>
  </si>
  <si>
    <t>Splátka jistiny Mezanin 1</t>
  </si>
  <si>
    <t>Splátka jistiny Mezanin 2</t>
  </si>
  <si>
    <t>Splátka jistiny Business Angel 1</t>
  </si>
  <si>
    <t>Splátka jistiny Business Angel 2</t>
  </si>
  <si>
    <t xml:space="preserve">Vysledek  EQUITY cash -flow </t>
  </si>
  <si>
    <t>Vysledek CASHFLOW</t>
  </si>
  <si>
    <t>JE GROUP</t>
  </si>
  <si>
    <t>Max plocha</t>
  </si>
  <si>
    <t>Příprava fix 24 mes</t>
  </si>
  <si>
    <t>Příprava mes 24 mes</t>
  </si>
  <si>
    <t>Realizace fix 24 mes</t>
  </si>
  <si>
    <t>Realizace mes</t>
  </si>
  <si>
    <t>BOZP</t>
  </si>
  <si>
    <t>TDI</t>
  </si>
  <si>
    <t>projekt do 2000m2/zast.plocha</t>
  </si>
  <si>
    <t>projekt do 3000m2/zast.plocha</t>
  </si>
  <si>
    <t>projekt do 4000m2/zast.plocha</t>
  </si>
  <si>
    <t>projekt do 5000m2/zas. plocha</t>
  </si>
  <si>
    <t>Investservis</t>
  </si>
  <si>
    <t>DD včetně odhadu nákladů</t>
  </si>
  <si>
    <t>příprava/měsíční rejt maximální částka</t>
  </si>
  <si>
    <t>realizace/PM/TDI/měsíc</t>
  </si>
  <si>
    <t>cost management VŘ GP</t>
  </si>
  <si>
    <t>cost management VŘ GD</t>
  </si>
  <si>
    <t>kooBOZP/měsíc/realizace/ příprava</t>
  </si>
  <si>
    <t>projekt do 500m2/zast.plocha</t>
  </si>
  <si>
    <t>projekt do 1000m2/zast.plocha</t>
  </si>
  <si>
    <t>projekt do 4000m2/zas. plocha</t>
  </si>
  <si>
    <t>projekt do 6000m2/zast.plocha</t>
  </si>
  <si>
    <t>projekt nad 6000m2/zast.plocha</t>
  </si>
  <si>
    <t>Base version</t>
  </si>
  <si>
    <t>realizace cost management controling/měsíc</t>
  </si>
  <si>
    <t>#ERROR!</t>
  </si>
  <si>
    <t>Reziduální hodnota pozemku (Yield Development)</t>
  </si>
  <si>
    <t>Citlivostní analýza poklesu YIELD</t>
  </si>
  <si>
    <t>Yield Development</t>
  </si>
  <si>
    <t>NET PROFIT</t>
  </si>
  <si>
    <t>Yield</t>
  </si>
  <si>
    <t>Roční nájem v Kč</t>
  </si>
  <si>
    <t>Náklady projektu bez pozemku</t>
  </si>
  <si>
    <t>Pořizovací cena z YIELDu</t>
  </si>
  <si>
    <t>Hrubá reziduální hodnota pozemku</t>
  </si>
  <si>
    <t>ČISTÁ REZIDUÁLNÍ HODNOTA POZEMKU</t>
  </si>
  <si>
    <t>Reziduální hodnota pozemku (YIELD Market)</t>
  </si>
  <si>
    <t>Citlivostní analýza změny ceny stavby (YIELD 7,2%)</t>
  </si>
  <si>
    <t>Marže v %</t>
  </si>
  <si>
    <t>Δ stavby</t>
  </si>
  <si>
    <t>Marže v Kč</t>
  </si>
  <si>
    <t xml:space="preserve">Prodejní cena </t>
  </si>
  <si>
    <t>Hodnota pozemku po SP</t>
  </si>
  <si>
    <t>Citlivostní analýza pří prodloužení projektu</t>
  </si>
  <si>
    <t>Marže %</t>
  </si>
  <si>
    <t>Δ (mes)</t>
  </si>
  <si>
    <t>Marže Kč</t>
  </si>
  <si>
    <t>PROJEKT: OC : prodej SPV (vystavba)</t>
  </si>
  <si>
    <t xml:space="preserve">A. </t>
  </si>
  <si>
    <t>sevis fix</t>
  </si>
  <si>
    <t>Kč celkem bez SF</t>
  </si>
  <si>
    <t>Analýza pozemků</t>
  </si>
  <si>
    <t>Pozemek</t>
  </si>
  <si>
    <t>Provize</t>
  </si>
  <si>
    <t xml:space="preserve">Územní rozhodnutí </t>
  </si>
  <si>
    <t>B.</t>
  </si>
  <si>
    <t xml:space="preserve">Stavebně - konstrukční náklady </t>
  </si>
  <si>
    <t>Fit-out</t>
  </si>
  <si>
    <t>Průměr</t>
  </si>
  <si>
    <t>HTU</t>
  </si>
  <si>
    <t xml:space="preserve">Vynucené investice  </t>
  </si>
  <si>
    <t>Právo stavby</t>
  </si>
  <si>
    <t>Ostatní (přípojky)</t>
  </si>
  <si>
    <t>YIELD Development</t>
  </si>
  <si>
    <t>Potřeba &gt;9%</t>
  </si>
  <si>
    <t>Demolice</t>
  </si>
  <si>
    <t>Prime YIELD</t>
  </si>
  <si>
    <t>Reziduální hodnota pozemku</t>
  </si>
  <si>
    <t xml:space="preserve">Rezerva </t>
  </si>
  <si>
    <t>Marže na nákladech stávby %</t>
  </si>
  <si>
    <t>Marže na nákladech stávby  Kč</t>
  </si>
  <si>
    <t>C.</t>
  </si>
  <si>
    <t xml:space="preserve">Honoráře spojené s projektem </t>
  </si>
  <si>
    <t xml:space="preserve">Prodejni cena retail </t>
  </si>
  <si>
    <t xml:space="preserve">JC </t>
  </si>
  <si>
    <t>Architekt, projektant</t>
  </si>
  <si>
    <r>
      <rPr>
        <sz val="11"/>
        <color theme="1"/>
        <rFont val="Calibri"/>
        <family val="2"/>
      </rPr>
      <t xml:space="preserve">Projektový management (příprava +  realizace) - </t>
    </r>
    <r>
      <rPr>
        <u/>
        <sz val="11"/>
        <color theme="1"/>
        <rFont val="Calibri"/>
        <family val="2"/>
      </rPr>
      <t>interní manag.</t>
    </r>
  </si>
  <si>
    <t>Marže</t>
  </si>
  <si>
    <r>
      <rPr>
        <sz val="11"/>
        <color theme="1"/>
        <rFont val="Calibri"/>
        <family val="2"/>
      </rPr>
      <t xml:space="preserve">Stavební dozor, koordinátor BOZP  - </t>
    </r>
    <r>
      <rPr>
        <u/>
        <sz val="11"/>
        <color theme="1"/>
        <rFont val="Calibri"/>
        <family val="2"/>
      </rPr>
      <t xml:space="preserve">externí management </t>
    </r>
  </si>
  <si>
    <t xml:space="preserve">kpl </t>
  </si>
  <si>
    <t>Marže na nákladech</t>
  </si>
  <si>
    <t>Potřeba &gt;20,00%</t>
  </si>
  <si>
    <t xml:space="preserve">Právní služby </t>
  </si>
  <si>
    <t xml:space="preserve">Vícenáklady - rezerva </t>
  </si>
  <si>
    <t>Daň z převodu</t>
  </si>
  <si>
    <t xml:space="preserve">Záruka </t>
  </si>
  <si>
    <t xml:space="preserve">Administrativa společnosti </t>
  </si>
  <si>
    <t>Inženýring - ÚR, SP, kolaudace</t>
  </si>
  <si>
    <t>Privátní equita pozemek</t>
  </si>
  <si>
    <t>p.a.</t>
  </si>
  <si>
    <r>
      <rPr>
        <sz val="11"/>
        <color theme="1"/>
        <rFont val="Calibri"/>
        <family val="2"/>
      </rPr>
      <t xml:space="preserve">Bankovni </t>
    </r>
    <r>
      <rPr>
        <strike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 xml:space="preserve">financování  - vlastní realizace projektu </t>
    </r>
  </si>
  <si>
    <t xml:space="preserve">Privátní equita  - vlastní realizace projektu </t>
  </si>
  <si>
    <r>
      <rPr>
        <sz val="11"/>
        <color theme="1"/>
        <rFont val="Calibri"/>
        <family val="2"/>
      </rPr>
      <t xml:space="preserve">Bankovni </t>
    </r>
    <r>
      <rPr>
        <strike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financování  - pozemek po SP</t>
    </r>
  </si>
  <si>
    <t>Privátní equita - pozemek po SP</t>
  </si>
  <si>
    <t>Investice do projektu celkem: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</si>
</sst>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164" formatCode="#,##0\ &quot;Kč&quot;;[Red]\-#,##0\ &quot;Kč&quot;"/>
    <numFmt numFmtId="165" formatCode="#,##0.0[$€]"/>
    <numFmt numFmtId="166" formatCode="#,##0[$ Kč]"/>
    <numFmt numFmtId="167" formatCode="#,##0[$€]"/>
    <numFmt numFmtId="168" formatCode="#,##0.00\ [$Kč-405]"/>
    <numFmt numFmtId="169" formatCode="_-* #,##0\ [$Kč-405]_-;\-* #,##0\ [$Kč-405]_-;_-* &quot;-&quot;??\ [$Kč-405]_-;_-@"/>
    <numFmt numFmtId="170" formatCode="_-* #,##0.0\ [$Kč-405]_-;\-* #,##0.0\ [$Kč-405]_-;_-* &quot;-&quot;??\ [$Kč-405]_-;_-@"/>
    <numFmt numFmtId="171" formatCode="_-* #,##0.00\ [$Kč-405]_-;\-* #,##0.00\ [$Kč-405]_-;_-* &quot;-&quot;??\ [$Kč-405]_-;_-@"/>
    <numFmt numFmtId="172" formatCode="[Black]\ #,##0;[Red]\ \-#,##0"/>
    <numFmt numFmtId="173" formatCode="[$€]#,##0.00"/>
    <numFmt numFmtId="174" formatCode="#,##0_ ;\-#,##0\ "/>
    <numFmt numFmtId="175" formatCode="0.0%"/>
    <numFmt numFmtId="176" formatCode="#,##0\ [$Kč-405]"/>
    <numFmt numFmtId="177" formatCode="yyyy&quot; &quot;"/>
    <numFmt numFmtId="178" formatCode="mmm&quot; &quot;"/>
    <numFmt numFmtId="179" formatCode="&quot; &quot;m&quot;. &quot;yyyy"/>
    <numFmt numFmtId="180" formatCode="m\.yyyy"/>
    <numFmt numFmtId="181" formatCode="#,##0.00[$ Kč]"/>
    <numFmt numFmtId="182" formatCode="#,##0\ &quot;CZK&quot;"/>
    <numFmt numFmtId="183" formatCode="#,##0.00\ &quot;CZK&quot;"/>
    <numFmt numFmtId="184" formatCode="0.000%"/>
    <numFmt numFmtId="185" formatCode="#,##0\ [$Kč-405];\-#,##0\ [$Kč-405]"/>
    <numFmt numFmtId="186" formatCode="_-* #,##0.00\ &quot;CZK&quot;_-;\-* #,##0.00\ &quot;CZK&quot;_-;_-* &quot;-&quot;??\ &quot;CZK&quot;_-;_-@"/>
    <numFmt numFmtId="187" formatCode="_-* #,##0.00\ [$Kč-405]_-;\-* #,##0.00\ [$Kč-405]_-;_-* &quot;-&quot;??\ [$Kč-405]_-;_-@_-"/>
    <numFmt numFmtId="188" formatCode="_-* #,##0\ [$Kč-405]_-;\-* #,##0\ [$Kč-405]_-;_-* &quot;-&quot;??\ [$Kč-405]_-;_-@_-"/>
  </numFmts>
  <fonts count="64" x14ac:knownFonts="1">
    <font>
      <sz val="11"/>
      <color theme="1"/>
      <name val="Arial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rgb="FF9C0006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i/>
      <sz val="11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Calibri"/>
      <family val="2"/>
    </font>
    <font>
      <b/>
      <u/>
      <sz val="26"/>
      <color theme="1"/>
      <name val="Calibri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26"/>
      <color theme="1"/>
      <name val="Calibri"/>
      <family val="2"/>
    </font>
    <font>
      <sz val="11"/>
      <name val="Arial"/>
      <family val="2"/>
    </font>
    <font>
      <b/>
      <sz val="16"/>
      <color theme="1"/>
      <name val="Calibri"/>
      <family val="2"/>
    </font>
    <font>
      <sz val="8"/>
      <color theme="1"/>
      <name val="Calibri"/>
      <family val="2"/>
    </font>
    <font>
      <b/>
      <sz val="12"/>
      <color theme="1"/>
      <name val="Calibri"/>
      <family val="2"/>
    </font>
    <font>
      <sz val="11"/>
      <color rgb="FFFF0000"/>
      <name val="Calibri"/>
      <family val="2"/>
    </font>
    <font>
      <b/>
      <sz val="12"/>
      <color rgb="FF000000"/>
      <name val="Arial"/>
      <family val="2"/>
    </font>
    <font>
      <b/>
      <i/>
      <sz val="11"/>
      <color theme="1"/>
      <name val="Calibri"/>
      <family val="2"/>
    </font>
    <font>
      <b/>
      <sz val="11"/>
      <color rgb="FFFF0000"/>
      <name val="Calibri"/>
      <family val="2"/>
    </font>
    <font>
      <i/>
      <sz val="10"/>
      <color theme="1"/>
      <name val="Calibri"/>
      <family val="2"/>
    </font>
    <font>
      <b/>
      <sz val="12"/>
      <color rgb="FFFF0000"/>
      <name val="Calibri"/>
      <family val="2"/>
    </font>
    <font>
      <b/>
      <i/>
      <sz val="12"/>
      <color theme="1"/>
      <name val="Calibri"/>
      <family val="2"/>
    </font>
    <font>
      <b/>
      <sz val="13"/>
      <color theme="1"/>
      <name val="Calibri"/>
      <family val="2"/>
    </font>
    <font>
      <b/>
      <sz val="28"/>
      <color theme="1"/>
      <name val="Calibri"/>
      <family val="2"/>
    </font>
    <font>
      <b/>
      <i/>
      <sz val="15"/>
      <color theme="1"/>
      <name val="Calibri"/>
      <family val="2"/>
    </font>
    <font>
      <i/>
      <sz val="12"/>
      <color theme="1"/>
      <name val="Calibri"/>
      <family val="2"/>
    </font>
    <font>
      <sz val="15"/>
      <color theme="1"/>
      <name val="Calibri"/>
      <family val="2"/>
    </font>
    <font>
      <b/>
      <sz val="20"/>
      <color theme="1"/>
      <name val="Calibri"/>
      <family val="2"/>
    </font>
    <font>
      <b/>
      <sz val="18"/>
      <color rgb="FF00B050"/>
      <name val="Calibri"/>
      <family val="2"/>
    </font>
    <font>
      <b/>
      <sz val="28"/>
      <color rgb="FF00B050"/>
      <name val="Calibri"/>
      <family val="2"/>
    </font>
    <font>
      <b/>
      <sz val="22"/>
      <color theme="1"/>
      <name val="Calibri"/>
      <family val="2"/>
    </font>
    <font>
      <b/>
      <i/>
      <sz val="14"/>
      <color rgb="FF00B050"/>
      <name val="Calibri"/>
      <family val="2"/>
    </font>
    <font>
      <b/>
      <sz val="14"/>
      <color rgb="FF00B050"/>
      <name val="Calibri"/>
      <family val="2"/>
    </font>
    <font>
      <sz val="16"/>
      <color theme="1"/>
      <name val="Calibri"/>
      <family val="2"/>
    </font>
    <font>
      <b/>
      <i/>
      <sz val="13"/>
      <color theme="1"/>
      <name val="Calibri"/>
      <family val="2"/>
    </font>
    <font>
      <i/>
      <sz val="9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i/>
      <sz val="14"/>
      <color theme="1"/>
      <name val="Calibri"/>
      <family val="2"/>
    </font>
    <font>
      <sz val="20"/>
      <color theme="1"/>
      <name val="Calibri"/>
      <family val="2"/>
    </font>
    <font>
      <i/>
      <sz val="11"/>
      <color theme="1"/>
      <name val="Calibri"/>
      <family val="2"/>
    </font>
    <font>
      <b/>
      <sz val="11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b/>
      <sz val="13"/>
      <color rgb="FFFF0000"/>
      <name val="Calibri"/>
      <family val="2"/>
    </font>
    <font>
      <sz val="11"/>
      <color rgb="FFFFFFFF"/>
      <name val="Arial"/>
      <family val="2"/>
      <scheme val="minor"/>
    </font>
    <font>
      <sz val="10"/>
      <color rgb="FFFFFFFF"/>
      <name val="Arial"/>
      <family val="2"/>
      <scheme val="minor"/>
    </font>
    <font>
      <sz val="11"/>
      <color rgb="FF999999"/>
      <name val="Arial"/>
      <family val="2"/>
      <scheme val="minor"/>
    </font>
    <font>
      <b/>
      <u/>
      <sz val="11"/>
      <color theme="1"/>
      <name val="Calibri"/>
      <family val="2"/>
    </font>
    <font>
      <b/>
      <u/>
      <sz val="17"/>
      <color theme="1"/>
      <name val="Calibri"/>
      <family val="2"/>
    </font>
    <font>
      <u/>
      <sz val="11"/>
      <color theme="1"/>
      <name val="Calibri"/>
      <family val="2"/>
    </font>
    <font>
      <strike/>
      <sz val="11"/>
      <color theme="1"/>
      <name val="Calibri"/>
      <family val="2"/>
    </font>
    <font>
      <i/>
      <sz val="11"/>
      <color rgb="FF000000"/>
      <name val="Arial"/>
      <family val="2"/>
    </font>
    <font>
      <i/>
      <sz val="10"/>
      <color rgb="FF000000"/>
      <name val="Arial"/>
      <family val="2"/>
    </font>
    <font>
      <b/>
      <sz val="18"/>
      <color theme="1"/>
      <name val="Calibri"/>
      <family val="2"/>
    </font>
    <font>
      <sz val="18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CCCCCC"/>
        <bgColor rgb="FFCCCCCC"/>
      </patternFill>
    </fill>
    <fill>
      <patternFill patternType="solid">
        <fgColor rgb="FFC9DAF8"/>
        <bgColor rgb="FFC9DAF8"/>
      </patternFill>
    </fill>
    <fill>
      <patternFill patternType="solid">
        <fgColor rgb="FFB6D7A8"/>
        <bgColor rgb="FFB6D7A8"/>
      </patternFill>
    </fill>
    <fill>
      <patternFill patternType="solid">
        <fgColor rgb="FFEFEFEF"/>
        <bgColor rgb="FFEFEFEF"/>
      </patternFill>
    </fill>
    <fill>
      <patternFill patternType="solid">
        <fgColor rgb="FFE5B8B7"/>
        <bgColor rgb="FFE5B8B7"/>
      </patternFill>
    </fill>
    <fill>
      <patternFill patternType="solid">
        <fgColor rgb="FFC2D69B"/>
        <bgColor rgb="FFC2D69B"/>
      </patternFill>
    </fill>
    <fill>
      <patternFill patternType="solid">
        <fgColor theme="0"/>
        <bgColor theme="0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rgb="FF92D050"/>
      </patternFill>
    </fill>
    <fill>
      <patternFill patternType="solid">
        <fgColor rgb="FFF4CCCC"/>
        <bgColor rgb="FFF4CCCC"/>
      </patternFill>
    </fill>
    <fill>
      <patternFill patternType="solid">
        <fgColor rgb="FFE36C09"/>
        <bgColor rgb="FFE36C09"/>
      </patternFill>
    </fill>
    <fill>
      <patternFill patternType="solid">
        <fgColor rgb="FFED7D31"/>
        <bgColor rgb="FFED7D31"/>
      </patternFill>
    </fill>
    <fill>
      <patternFill patternType="solid">
        <fgColor rgb="FFFBE4D5"/>
        <bgColor rgb="FFFBE4D5"/>
      </patternFill>
    </fill>
    <fill>
      <patternFill patternType="solid">
        <fgColor rgb="FFF7CAAC"/>
        <bgColor rgb="FFF7CAAC"/>
      </patternFill>
    </fill>
    <fill>
      <patternFill patternType="solid">
        <fgColor rgb="FFDEEAF6"/>
        <bgColor rgb="FFDEEAF6"/>
      </patternFill>
    </fill>
    <fill>
      <patternFill patternType="solid">
        <fgColor rgb="FFBDD6EE"/>
        <bgColor rgb="FFBDD6EE"/>
      </patternFill>
    </fill>
    <fill>
      <patternFill patternType="solid">
        <fgColor rgb="FF4A86E8"/>
        <bgColor rgb="FF4A86E8"/>
      </patternFill>
    </fill>
    <fill>
      <patternFill patternType="solid">
        <fgColor rgb="FF6FA8DC"/>
        <bgColor rgb="FF6FA8DC"/>
      </patternFill>
    </fill>
    <fill>
      <patternFill patternType="solid">
        <fgColor rgb="FFFEF2CB"/>
        <bgColor rgb="FFFEF2CB"/>
      </patternFill>
    </fill>
    <fill>
      <patternFill patternType="solid">
        <fgColor rgb="FFA8D08D"/>
        <bgColor rgb="FFA8D08D"/>
      </patternFill>
    </fill>
    <fill>
      <patternFill patternType="solid">
        <fgColor rgb="FF9FC5E8"/>
        <bgColor rgb="FF9FC5E8"/>
      </patternFill>
    </fill>
    <fill>
      <patternFill patternType="solid">
        <fgColor rgb="FF00FF00"/>
        <bgColor rgb="FF00FF00"/>
      </patternFill>
    </fill>
    <fill>
      <patternFill patternType="solid">
        <fgColor rgb="FFCFE2F3"/>
        <bgColor rgb="FFCFE2F3"/>
      </patternFill>
    </fill>
    <fill>
      <patternFill patternType="solid">
        <fgColor rgb="FFA4C2F4"/>
        <bgColor rgb="FFA4C2F4"/>
      </patternFill>
    </fill>
    <fill>
      <patternFill patternType="solid">
        <fgColor rgb="FF00B050"/>
        <bgColor rgb="FF00B050"/>
      </patternFill>
    </fill>
    <fill>
      <patternFill patternType="solid">
        <fgColor rgb="FFFFE599"/>
        <bgColor rgb="FFFFE599"/>
      </patternFill>
    </fill>
    <fill>
      <patternFill patternType="solid">
        <fgColor theme="0"/>
        <bgColor indexed="64"/>
      </patternFill>
    </fill>
  </fills>
  <borders count="1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double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 style="hair">
        <color rgb="FF000000"/>
      </bottom>
      <diagonal/>
    </border>
    <border>
      <left/>
      <right/>
      <top style="thick">
        <color rgb="FF000000"/>
      </top>
      <bottom style="hair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hair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 style="hair">
        <color rgb="FF000000"/>
      </right>
      <top style="hair">
        <color rgb="FF000000"/>
      </top>
      <bottom/>
      <diagonal/>
    </border>
  </borders>
  <cellStyleXfs count="1">
    <xf numFmtId="0" fontId="0" fillId="0" borderId="0"/>
  </cellStyleXfs>
  <cellXfs count="555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0" fontId="3" fillId="0" borderId="1" xfId="0" applyFont="1" applyBorder="1"/>
    <xf numFmtId="0" fontId="3" fillId="0" borderId="2" xfId="0" applyFont="1" applyBorder="1"/>
    <xf numFmtId="0" fontId="3" fillId="0" borderId="1" xfId="0" applyFont="1" applyBorder="1" applyAlignment="1">
      <alignment horizontal="right"/>
    </xf>
    <xf numFmtId="165" fontId="3" fillId="0" borderId="2" xfId="0" applyNumberFormat="1" applyFont="1" applyBorder="1"/>
    <xf numFmtId="165" fontId="3" fillId="0" borderId="2" xfId="0" applyNumberFormat="1" applyFont="1" applyBorder="1" applyAlignment="1">
      <alignment horizontal="right"/>
    </xf>
    <xf numFmtId="166" fontId="3" fillId="0" borderId="2" xfId="0" applyNumberFormat="1" applyFont="1" applyBorder="1" applyAlignment="1">
      <alignment horizontal="right"/>
    </xf>
    <xf numFmtId="0" fontId="3" fillId="0" borderId="3" xfId="0" applyFont="1" applyBorder="1"/>
    <xf numFmtId="165" fontId="3" fillId="0" borderId="3" xfId="0" applyNumberFormat="1" applyFont="1" applyBorder="1"/>
    <xf numFmtId="166" fontId="3" fillId="0" borderId="3" xfId="0" applyNumberFormat="1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167" fontId="3" fillId="0" borderId="3" xfId="0" applyNumberFormat="1" applyFont="1" applyBorder="1"/>
    <xf numFmtId="166" fontId="4" fillId="2" borderId="3" xfId="0" applyNumberFormat="1" applyFont="1" applyFill="1" applyBorder="1" applyAlignment="1">
      <alignment horizontal="right"/>
    </xf>
    <xf numFmtId="0" fontId="1" fillId="0" borderId="1" xfId="0" applyFont="1" applyBorder="1"/>
    <xf numFmtId="166" fontId="1" fillId="3" borderId="1" xfId="0" applyNumberFormat="1" applyFont="1" applyFill="1" applyBorder="1"/>
    <xf numFmtId="0" fontId="1" fillId="0" borderId="1" xfId="0" applyFont="1" applyBorder="1" applyAlignment="1">
      <alignment horizontal="center"/>
    </xf>
    <xf numFmtId="165" fontId="5" fillId="0" borderId="0" xfId="0" applyNumberFormat="1" applyFont="1"/>
    <xf numFmtId="0" fontId="6" fillId="0" borderId="0" xfId="0" applyFont="1"/>
    <xf numFmtId="0" fontId="3" fillId="0" borderId="0" xfId="0" applyFont="1"/>
    <xf numFmtId="0" fontId="7" fillId="4" borderId="1" xfId="0" applyFont="1" applyFill="1" applyBorder="1"/>
    <xf numFmtId="166" fontId="8" fillId="6" borderId="1" xfId="0" applyNumberFormat="1" applyFont="1" applyFill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166" fontId="10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11" fillId="0" borderId="0" xfId="0" applyFont="1" applyAlignment="1">
      <alignment horizontal="right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vertical="center"/>
    </xf>
    <xf numFmtId="3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70" fontId="15" fillId="0" borderId="0" xfId="0" applyNumberFormat="1" applyFont="1" applyAlignment="1">
      <alignment vertical="center"/>
    </xf>
    <xf numFmtId="171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vertical="center"/>
    </xf>
    <xf numFmtId="171" fontId="16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71" fontId="13" fillId="0" borderId="0" xfId="0" applyNumberFormat="1" applyFont="1" applyAlignment="1">
      <alignment horizontal="center" vertical="center"/>
    </xf>
    <xf numFmtId="170" fontId="13" fillId="0" borderId="0" xfId="0" applyNumberFormat="1" applyFont="1" applyAlignment="1">
      <alignment vertical="center"/>
    </xf>
    <xf numFmtId="0" fontId="19" fillId="0" borderId="8" xfId="0" applyFont="1" applyBorder="1" applyAlignment="1">
      <alignment horizontal="center" vertical="center"/>
    </xf>
    <xf numFmtId="171" fontId="13" fillId="0" borderId="8" xfId="0" applyNumberFormat="1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vertical="center"/>
    </xf>
    <xf numFmtId="3" fontId="20" fillId="0" borderId="10" xfId="0" applyNumberFormat="1" applyFont="1" applyBorder="1" applyAlignment="1">
      <alignment horizontal="center" vertical="center"/>
    </xf>
    <xf numFmtId="170" fontId="20" fillId="0" borderId="10" xfId="0" applyNumberFormat="1" applyFont="1" applyBorder="1" applyAlignment="1">
      <alignment horizontal="center" vertical="center"/>
    </xf>
    <xf numFmtId="171" fontId="13" fillId="0" borderId="11" xfId="0" applyNumberFormat="1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170" fontId="20" fillId="0" borderId="11" xfId="0" applyNumberFormat="1" applyFont="1" applyBorder="1" applyAlignment="1">
      <alignment horizontal="center" vertical="center"/>
    </xf>
    <xf numFmtId="0" fontId="10" fillId="0" borderId="13" xfId="0" applyFont="1" applyBorder="1"/>
    <xf numFmtId="0" fontId="10" fillId="0" borderId="14" xfId="0" applyFont="1" applyBorder="1" applyAlignment="1">
      <alignment horizontal="center" vertical="center"/>
    </xf>
    <xf numFmtId="3" fontId="13" fillId="0" borderId="15" xfId="0" applyNumberFormat="1" applyFont="1" applyBorder="1" applyAlignment="1">
      <alignment horizontal="center" vertical="center"/>
    </xf>
    <xf numFmtId="169" fontId="13" fillId="9" borderId="16" xfId="0" applyNumberFormat="1" applyFont="1" applyFill="1" applyBorder="1" applyAlignment="1">
      <alignment vertical="center"/>
    </xf>
    <xf numFmtId="169" fontId="13" fillId="9" borderId="17" xfId="0" applyNumberFormat="1" applyFont="1" applyFill="1" applyBorder="1" applyAlignment="1">
      <alignment vertical="center"/>
    </xf>
    <xf numFmtId="169" fontId="16" fillId="0" borderId="8" xfId="0" applyNumberFormat="1" applyFont="1" applyBorder="1" applyAlignment="1">
      <alignment horizontal="center" vertical="center"/>
    </xf>
    <xf numFmtId="0" fontId="10" fillId="0" borderId="18" xfId="0" applyFont="1" applyBorder="1"/>
    <xf numFmtId="0" fontId="10" fillId="0" borderId="1" xfId="0" applyFont="1" applyBorder="1" applyAlignment="1">
      <alignment horizontal="center" vertical="center"/>
    </xf>
    <xf numFmtId="173" fontId="21" fillId="9" borderId="1" xfId="0" applyNumberFormat="1" applyFont="1" applyFill="1" applyBorder="1" applyAlignment="1">
      <alignment vertical="center"/>
    </xf>
    <xf numFmtId="169" fontId="21" fillId="9" borderId="1" xfId="0" applyNumberFormat="1" applyFont="1" applyFill="1" applyBorder="1" applyAlignment="1">
      <alignment vertical="center"/>
    </xf>
    <xf numFmtId="173" fontId="21" fillId="9" borderId="19" xfId="0" applyNumberFormat="1" applyFont="1" applyFill="1" applyBorder="1" applyAlignment="1">
      <alignment vertical="center"/>
    </xf>
    <xf numFmtId="0" fontId="10" fillId="0" borderId="20" xfId="0" applyFont="1" applyBorder="1"/>
    <xf numFmtId="0" fontId="10" fillId="0" borderId="21" xfId="0" applyFont="1" applyBorder="1" applyAlignment="1">
      <alignment horizontal="center" vertical="center"/>
    </xf>
    <xf numFmtId="169" fontId="22" fillId="0" borderId="15" xfId="0" applyNumberFormat="1" applyFont="1" applyBorder="1" applyAlignment="1">
      <alignment vertical="center"/>
    </xf>
    <xf numFmtId="169" fontId="13" fillId="0" borderId="22" xfId="0" applyNumberFormat="1" applyFont="1" applyBorder="1" applyAlignment="1">
      <alignment horizontal="center" vertical="center"/>
    </xf>
    <xf numFmtId="169" fontId="16" fillId="0" borderId="8" xfId="0" applyNumberFormat="1" applyFont="1" applyBorder="1" applyAlignment="1">
      <alignment vertical="center"/>
    </xf>
    <xf numFmtId="0" fontId="21" fillId="0" borderId="19" xfId="0" applyFont="1" applyBorder="1" applyAlignment="1">
      <alignment horizontal="center" vertical="center"/>
    </xf>
    <xf numFmtId="0" fontId="23" fillId="0" borderId="20" xfId="0" applyFont="1" applyBorder="1"/>
    <xf numFmtId="0" fontId="10" fillId="0" borderId="19" xfId="0" applyFont="1" applyBorder="1" applyAlignment="1">
      <alignment horizontal="center" vertical="center"/>
    </xf>
    <xf numFmtId="9" fontId="13" fillId="0" borderId="15" xfId="0" applyNumberFormat="1" applyFont="1" applyBorder="1" applyAlignment="1">
      <alignment horizontal="center" vertical="center"/>
    </xf>
    <xf numFmtId="0" fontId="21" fillId="7" borderId="23" xfId="0" applyFont="1" applyFill="1" applyBorder="1" applyAlignment="1">
      <alignment vertical="center"/>
    </xf>
    <xf numFmtId="169" fontId="21" fillId="0" borderId="8" xfId="0" applyNumberFormat="1" applyFont="1" applyBorder="1" applyAlignment="1">
      <alignment horizontal="center" vertical="center"/>
    </xf>
    <xf numFmtId="0" fontId="10" fillId="0" borderId="25" xfId="0" applyFont="1" applyBorder="1"/>
    <xf numFmtId="0" fontId="21" fillId="0" borderId="26" xfId="0" applyFont="1" applyBorder="1" applyAlignment="1">
      <alignment horizontal="center" vertical="center"/>
    </xf>
    <xf numFmtId="0" fontId="9" fillId="0" borderId="0" xfId="0" applyFont="1"/>
    <xf numFmtId="169" fontId="9" fillId="0" borderId="0" xfId="0" applyNumberFormat="1" applyFont="1"/>
    <xf numFmtId="169" fontId="16" fillId="0" borderId="8" xfId="0" applyNumberFormat="1" applyFont="1" applyBorder="1" applyAlignment="1">
      <alignment horizontal="center" vertical="center" wrapText="1"/>
    </xf>
    <xf numFmtId="0" fontId="14" fillId="8" borderId="27" xfId="0" applyFont="1" applyFill="1" applyBorder="1" applyAlignment="1">
      <alignment horizontal="left" vertical="center"/>
    </xf>
    <xf numFmtId="1" fontId="14" fillId="8" borderId="28" xfId="0" applyNumberFormat="1" applyFont="1" applyFill="1" applyBorder="1" applyAlignment="1">
      <alignment horizontal="center" vertical="center"/>
    </xf>
    <xf numFmtId="0" fontId="20" fillId="0" borderId="9" xfId="0" applyFont="1" applyBorder="1" applyAlignment="1">
      <alignment vertical="center"/>
    </xf>
    <xf numFmtId="0" fontId="20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16" fillId="0" borderId="23" xfId="0" applyFont="1" applyBorder="1" applyAlignment="1">
      <alignment horizontal="left" vertical="center"/>
    </xf>
    <xf numFmtId="4" fontId="13" fillId="0" borderId="29" xfId="0" applyNumberFormat="1" applyFont="1" applyBorder="1" applyAlignment="1">
      <alignment horizontal="center" vertical="center"/>
    </xf>
    <xf numFmtId="3" fontId="13" fillId="0" borderId="29" xfId="0" applyNumberFormat="1" applyFont="1" applyBorder="1" applyAlignment="1">
      <alignment horizontal="center" vertical="center"/>
    </xf>
    <xf numFmtId="169" fontId="13" fillId="0" borderId="29" xfId="0" applyNumberFormat="1" applyFont="1" applyBorder="1" applyAlignment="1">
      <alignment horizontal="center" vertical="center"/>
    </xf>
    <xf numFmtId="169" fontId="13" fillId="0" borderId="29" xfId="0" applyNumberFormat="1" applyFont="1" applyBorder="1" applyAlignment="1">
      <alignment vertical="center"/>
    </xf>
    <xf numFmtId="173" fontId="13" fillId="0" borderId="30" xfId="0" applyNumberFormat="1" applyFont="1" applyBorder="1" applyAlignment="1">
      <alignment horizontal="center" vertical="center"/>
    </xf>
    <xf numFmtId="172" fontId="24" fillId="9" borderId="31" xfId="0" applyNumberFormat="1" applyFont="1" applyFill="1" applyBorder="1" applyAlignment="1">
      <alignment vertical="center" wrapText="1"/>
    </xf>
    <xf numFmtId="174" fontId="13" fillId="9" borderId="16" xfId="0" applyNumberFormat="1" applyFont="1" applyFill="1" applyBorder="1" applyAlignment="1">
      <alignment horizontal="center" vertical="center"/>
    </xf>
    <xf numFmtId="169" fontId="13" fillId="9" borderId="16" xfId="0" applyNumberFormat="1" applyFont="1" applyFill="1" applyBorder="1" applyAlignment="1">
      <alignment horizontal="center" vertical="center"/>
    </xf>
    <xf numFmtId="168" fontId="25" fillId="0" borderId="16" xfId="0" applyNumberFormat="1" applyFont="1" applyBorder="1" applyAlignment="1">
      <alignment vertical="center"/>
    </xf>
    <xf numFmtId="169" fontId="16" fillId="9" borderId="17" xfId="0" applyNumberFormat="1" applyFont="1" applyFill="1" applyBorder="1" applyAlignment="1">
      <alignment horizontal="center" vertical="center"/>
    </xf>
    <xf numFmtId="0" fontId="14" fillId="8" borderId="32" xfId="0" applyFont="1" applyFill="1" applyBorder="1" applyAlignment="1">
      <alignment horizontal="left" vertical="center"/>
    </xf>
    <xf numFmtId="169" fontId="13" fillId="0" borderId="8" xfId="0" applyNumberFormat="1" applyFont="1" applyBorder="1" applyAlignment="1">
      <alignment horizontal="center" vertical="center"/>
    </xf>
    <xf numFmtId="0" fontId="21" fillId="0" borderId="18" xfId="0" applyFont="1" applyBorder="1" applyAlignment="1">
      <alignment vertical="center"/>
    </xf>
    <xf numFmtId="3" fontId="13" fillId="0" borderId="1" xfId="0" applyNumberFormat="1" applyFont="1" applyBorder="1" applyAlignment="1">
      <alignment horizontal="center" vertical="center"/>
    </xf>
    <xf numFmtId="169" fontId="13" fillId="0" borderId="1" xfId="0" applyNumberFormat="1" applyFont="1" applyBorder="1" applyAlignment="1">
      <alignment vertical="center"/>
    </xf>
    <xf numFmtId="169" fontId="21" fillId="0" borderId="19" xfId="0" applyNumberFormat="1" applyFont="1" applyBorder="1" applyAlignment="1">
      <alignment horizontal="center" vertical="center"/>
    </xf>
    <xf numFmtId="0" fontId="27" fillId="0" borderId="18" xfId="0" applyFont="1" applyBorder="1" applyAlignment="1">
      <alignment horizontal="left" vertical="center"/>
    </xf>
    <xf numFmtId="3" fontId="13" fillId="0" borderId="4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0" fontId="13" fillId="0" borderId="1" xfId="0" applyNumberFormat="1" applyFont="1" applyBorder="1" applyAlignment="1">
      <alignment vertical="center"/>
    </xf>
    <xf numFmtId="10" fontId="21" fillId="0" borderId="19" xfId="0" applyNumberFormat="1" applyFont="1" applyBorder="1" applyAlignment="1">
      <alignment horizontal="center" vertical="center"/>
    </xf>
    <xf numFmtId="10" fontId="13" fillId="0" borderId="8" xfId="0" applyNumberFormat="1" applyFont="1" applyBorder="1" applyAlignment="1">
      <alignment horizontal="center" vertical="center"/>
    </xf>
    <xf numFmtId="0" fontId="27" fillId="0" borderId="25" xfId="0" applyFont="1" applyBorder="1" applyAlignment="1">
      <alignment horizontal="left" vertical="center"/>
    </xf>
    <xf numFmtId="3" fontId="13" fillId="0" borderId="34" xfId="0" applyNumberFormat="1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170" fontId="13" fillId="0" borderId="34" xfId="0" applyNumberFormat="1" applyFont="1" applyBorder="1" applyAlignment="1">
      <alignment vertical="center"/>
    </xf>
    <xf numFmtId="10" fontId="21" fillId="0" borderId="26" xfId="0" applyNumberFormat="1" applyFont="1" applyBorder="1" applyAlignment="1">
      <alignment horizontal="center" vertical="center"/>
    </xf>
    <xf numFmtId="0" fontId="27" fillId="0" borderId="35" xfId="0" applyFont="1" applyBorder="1" applyAlignment="1">
      <alignment horizontal="left" vertical="center"/>
    </xf>
    <xf numFmtId="3" fontId="13" fillId="0" borderId="36" xfId="0" applyNumberFormat="1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9" fontId="13" fillId="0" borderId="36" xfId="0" applyNumberFormat="1" applyFont="1" applyBorder="1" applyAlignment="1">
      <alignment vertical="center"/>
    </xf>
    <xf numFmtId="9" fontId="13" fillId="0" borderId="0" xfId="0" applyNumberFormat="1" applyFont="1" applyAlignment="1">
      <alignment vertical="center"/>
    </xf>
    <xf numFmtId="169" fontId="16" fillId="0" borderId="30" xfId="0" applyNumberFormat="1" applyFont="1" applyBorder="1" applyAlignment="1">
      <alignment horizontal="right" vertical="center"/>
    </xf>
    <xf numFmtId="0" fontId="14" fillId="4" borderId="35" xfId="0" applyFont="1" applyFill="1" applyBorder="1" applyAlignment="1">
      <alignment horizontal="left" vertical="center"/>
    </xf>
    <xf numFmtId="0" fontId="24" fillId="10" borderId="31" xfId="0" applyFont="1" applyFill="1" applyBorder="1" applyAlignment="1">
      <alignment horizontal="center" vertical="center" wrapText="1"/>
    </xf>
    <xf numFmtId="174" fontId="21" fillId="10" borderId="16" xfId="0" applyNumberFormat="1" applyFont="1" applyFill="1" applyBorder="1" applyAlignment="1">
      <alignment horizontal="center" vertical="center"/>
    </xf>
    <xf numFmtId="169" fontId="21" fillId="10" borderId="16" xfId="0" applyNumberFormat="1" applyFont="1" applyFill="1" applyBorder="1" applyAlignment="1">
      <alignment horizontal="center" vertical="center"/>
    </xf>
    <xf numFmtId="169" fontId="21" fillId="10" borderId="16" xfId="0" applyNumberFormat="1" applyFont="1" applyFill="1" applyBorder="1" applyAlignment="1">
      <alignment vertical="center"/>
    </xf>
    <xf numFmtId="169" fontId="28" fillId="10" borderId="17" xfId="0" applyNumberFormat="1" applyFont="1" applyFill="1" applyBorder="1" applyAlignment="1">
      <alignment vertical="center"/>
    </xf>
    <xf numFmtId="0" fontId="14" fillId="8" borderId="38" xfId="0" applyFont="1" applyFill="1" applyBorder="1" applyAlignment="1">
      <alignment horizontal="left" vertical="center"/>
    </xf>
    <xf numFmtId="0" fontId="24" fillId="9" borderId="31" xfId="0" applyFont="1" applyFill="1" applyBorder="1" applyAlignment="1">
      <alignment horizontal="right" vertical="center" wrapText="1"/>
    </xf>
    <xf numFmtId="174" fontId="16" fillId="9" borderId="16" xfId="0" applyNumberFormat="1" applyFont="1" applyFill="1" applyBorder="1" applyAlignment="1">
      <alignment horizontal="center" vertical="center"/>
    </xf>
    <xf numFmtId="169" fontId="26" fillId="9" borderId="17" xfId="0" applyNumberFormat="1" applyFont="1" applyFill="1" applyBorder="1" applyAlignment="1">
      <alignment vertical="center"/>
    </xf>
    <xf numFmtId="0" fontId="13" fillId="0" borderId="8" xfId="0" applyFont="1" applyBorder="1" applyAlignment="1">
      <alignment horizontal="center" vertical="center"/>
    </xf>
    <xf numFmtId="0" fontId="19" fillId="0" borderId="39" xfId="0" applyFont="1" applyBorder="1" applyAlignment="1">
      <alignment vertical="center"/>
    </xf>
    <xf numFmtId="0" fontId="19" fillId="0" borderId="40" xfId="0" applyFont="1" applyBorder="1" applyAlignment="1">
      <alignment vertical="center"/>
    </xf>
    <xf numFmtId="0" fontId="19" fillId="0" borderId="41" xfId="0" applyFont="1" applyBorder="1" applyAlignment="1">
      <alignment vertical="center"/>
    </xf>
    <xf numFmtId="0" fontId="13" fillId="0" borderId="49" xfId="0" applyFont="1" applyBorder="1" applyAlignment="1">
      <alignment vertical="center"/>
    </xf>
    <xf numFmtId="169" fontId="35" fillId="0" borderId="35" xfId="0" applyNumberFormat="1" applyFont="1" applyBorder="1" applyAlignment="1">
      <alignment vertical="center"/>
    </xf>
    <xf numFmtId="169" fontId="36" fillId="0" borderId="36" xfId="0" applyNumberFormat="1" applyFont="1" applyBorder="1" applyAlignment="1">
      <alignment vertical="center"/>
    </xf>
    <xf numFmtId="169" fontId="13" fillId="0" borderId="36" xfId="0" applyNumberFormat="1" applyFont="1" applyBorder="1" applyAlignment="1">
      <alignment vertical="center"/>
    </xf>
    <xf numFmtId="169" fontId="38" fillId="0" borderId="35" xfId="0" applyNumberFormat="1" applyFont="1" applyBorder="1" applyAlignment="1">
      <alignment vertical="center"/>
    </xf>
    <xf numFmtId="169" fontId="39" fillId="0" borderId="36" xfId="0" applyNumberFormat="1" applyFont="1" applyBorder="1" applyAlignment="1">
      <alignment vertical="center"/>
    </xf>
    <xf numFmtId="168" fontId="13" fillId="0" borderId="0" xfId="0" applyNumberFormat="1" applyFont="1" applyAlignment="1">
      <alignment vertical="center"/>
    </xf>
    <xf numFmtId="169" fontId="40" fillId="0" borderId="0" xfId="0" applyNumberFormat="1" applyFont="1" applyAlignment="1">
      <alignment horizontal="left" vertical="center" wrapText="1"/>
    </xf>
    <xf numFmtId="10" fontId="13" fillId="0" borderId="0" xfId="0" applyNumberFormat="1" applyFont="1" applyAlignment="1">
      <alignment vertical="center"/>
    </xf>
    <xf numFmtId="174" fontId="29" fillId="10" borderId="16" xfId="0" applyNumberFormat="1" applyFont="1" applyFill="1" applyBorder="1" applyAlignment="1">
      <alignment horizontal="center" vertical="center"/>
    </xf>
    <xf numFmtId="169" fontId="29" fillId="10" borderId="16" xfId="0" applyNumberFormat="1" applyFont="1" applyFill="1" applyBorder="1" applyAlignment="1">
      <alignment horizontal="center" vertical="center"/>
    </xf>
    <xf numFmtId="169" fontId="29" fillId="10" borderId="16" xfId="0" applyNumberFormat="1" applyFont="1" applyFill="1" applyBorder="1" applyAlignment="1">
      <alignment vertical="center"/>
    </xf>
    <xf numFmtId="169" fontId="41" fillId="10" borderId="17" xfId="0" applyNumberFormat="1" applyFont="1" applyFill="1" applyBorder="1" applyAlignment="1">
      <alignment vertical="center"/>
    </xf>
    <xf numFmtId="172" fontId="13" fillId="9" borderId="31" xfId="0" applyNumberFormat="1" applyFont="1" applyFill="1" applyBorder="1" applyAlignment="1">
      <alignment vertical="center" wrapText="1"/>
    </xf>
    <xf numFmtId="174" fontId="13" fillId="9" borderId="15" xfId="0" applyNumberFormat="1" applyFont="1" applyFill="1" applyBorder="1" applyAlignment="1">
      <alignment horizontal="center" vertical="center"/>
    </xf>
    <xf numFmtId="0" fontId="13" fillId="9" borderId="15" xfId="0" applyFont="1" applyFill="1" applyBorder="1" applyAlignment="1">
      <alignment horizontal="center" vertical="center"/>
    </xf>
    <xf numFmtId="10" fontId="22" fillId="0" borderId="15" xfId="0" applyNumberFormat="1" applyFont="1" applyBorder="1" applyAlignment="1">
      <alignment vertical="center"/>
    </xf>
    <xf numFmtId="169" fontId="13" fillId="9" borderId="22" xfId="0" applyNumberFormat="1" applyFont="1" applyFill="1" applyBorder="1" applyAlignment="1">
      <alignment vertical="center"/>
    </xf>
    <xf numFmtId="172" fontId="16" fillId="9" borderId="31" xfId="0" applyNumberFormat="1" applyFont="1" applyFill="1" applyBorder="1" applyAlignment="1">
      <alignment vertical="center" wrapText="1"/>
    </xf>
    <xf numFmtId="10" fontId="22" fillId="0" borderId="16" xfId="0" applyNumberFormat="1" applyFont="1" applyBorder="1" applyAlignment="1">
      <alignment vertical="center"/>
    </xf>
    <xf numFmtId="169" fontId="13" fillId="9" borderId="17" xfId="0" applyNumberFormat="1" applyFont="1" applyFill="1" applyBorder="1" applyAlignment="1">
      <alignment horizontal="center" vertical="center"/>
    </xf>
    <xf numFmtId="168" fontId="22" fillId="0" borderId="16" xfId="0" applyNumberFormat="1" applyFont="1" applyBorder="1" applyAlignment="1">
      <alignment vertical="center"/>
    </xf>
    <xf numFmtId="172" fontId="42" fillId="11" borderId="31" xfId="0" applyNumberFormat="1" applyFont="1" applyFill="1" applyBorder="1" applyAlignment="1">
      <alignment horizontal="right" wrapText="1"/>
    </xf>
    <xf numFmtId="169" fontId="42" fillId="9" borderId="17" xfId="0" applyNumberFormat="1" applyFont="1" applyFill="1" applyBorder="1" applyAlignment="1">
      <alignment horizontal="right" vertical="center"/>
    </xf>
    <xf numFmtId="0" fontId="13" fillId="9" borderId="16" xfId="0" applyFont="1" applyFill="1" applyBorder="1" applyAlignment="1">
      <alignment horizontal="center" vertical="center"/>
    </xf>
    <xf numFmtId="169" fontId="21" fillId="0" borderId="0" xfId="0" applyNumberFormat="1" applyFont="1" applyAlignment="1">
      <alignment horizontal="center" vertical="center"/>
    </xf>
    <xf numFmtId="0" fontId="43" fillId="0" borderId="39" xfId="0" applyFont="1" applyBorder="1"/>
    <xf numFmtId="3" fontId="43" fillId="0" borderId="40" xfId="0" applyNumberFormat="1" applyFont="1" applyBorder="1"/>
    <xf numFmtId="0" fontId="44" fillId="0" borderId="41" xfId="0" applyFont="1" applyBorder="1" applyAlignment="1">
      <alignment horizontal="center"/>
    </xf>
    <xf numFmtId="170" fontId="44" fillId="0" borderId="0" xfId="0" applyNumberFormat="1" applyFont="1" applyAlignment="1">
      <alignment horizontal="center"/>
    </xf>
    <xf numFmtId="171" fontId="44" fillId="0" borderId="0" xfId="0" applyNumberFormat="1" applyFont="1" applyAlignment="1">
      <alignment horizontal="center"/>
    </xf>
    <xf numFmtId="3" fontId="45" fillId="0" borderId="0" xfId="0" applyNumberFormat="1" applyFont="1"/>
    <xf numFmtId="10" fontId="44" fillId="0" borderId="0" xfId="0" applyNumberFormat="1" applyFont="1" applyAlignment="1">
      <alignment horizontal="right"/>
    </xf>
    <xf numFmtId="0" fontId="43" fillId="0" borderId="35" xfId="0" applyFont="1" applyBorder="1"/>
    <xf numFmtId="10" fontId="43" fillId="0" borderId="36" xfId="0" applyNumberFormat="1" applyFont="1" applyBorder="1" applyAlignment="1">
      <alignment horizontal="right"/>
    </xf>
    <xf numFmtId="0" fontId="14" fillId="14" borderId="23" xfId="0" applyFont="1" applyFill="1" applyBorder="1" applyAlignment="1">
      <alignment vertical="center"/>
    </xf>
    <xf numFmtId="0" fontId="46" fillId="14" borderId="23" xfId="0" applyFont="1" applyFill="1" applyBorder="1" applyAlignment="1">
      <alignment vertical="center"/>
    </xf>
    <xf numFmtId="172" fontId="13" fillId="0" borderId="0" xfId="0" applyNumberFormat="1" applyFont="1"/>
    <xf numFmtId="172" fontId="13" fillId="15" borderId="36" xfId="0" applyNumberFormat="1" applyFont="1" applyFill="1" applyBorder="1"/>
    <xf numFmtId="14" fontId="13" fillId="15" borderId="36" xfId="0" applyNumberFormat="1" applyFont="1" applyFill="1" applyBorder="1" applyAlignment="1">
      <alignment horizontal="right"/>
    </xf>
    <xf numFmtId="172" fontId="13" fillId="0" borderId="36" xfId="0" applyNumberFormat="1" applyFont="1" applyBorder="1"/>
    <xf numFmtId="178" fontId="16" fillId="0" borderId="5" xfId="0" applyNumberFormat="1" applyFont="1" applyBorder="1" applyAlignment="1">
      <alignment horizontal="center"/>
    </xf>
    <xf numFmtId="179" fontId="16" fillId="0" borderId="52" xfId="0" applyNumberFormat="1" applyFont="1" applyBorder="1" applyAlignment="1">
      <alignment horizontal="center"/>
    </xf>
    <xf numFmtId="172" fontId="13" fillId="16" borderId="5" xfId="0" applyNumberFormat="1" applyFont="1" applyFill="1" applyBorder="1"/>
    <xf numFmtId="172" fontId="13" fillId="16" borderId="53" xfId="0" applyNumberFormat="1" applyFont="1" applyFill="1" applyBorder="1" applyAlignment="1">
      <alignment horizontal="center"/>
    </xf>
    <xf numFmtId="172" fontId="13" fillId="16" borderId="54" xfId="0" applyNumberFormat="1" applyFont="1" applyFill="1" applyBorder="1"/>
    <xf numFmtId="172" fontId="13" fillId="16" borderId="55" xfId="0" applyNumberFormat="1" applyFont="1" applyFill="1" applyBorder="1"/>
    <xf numFmtId="172" fontId="13" fillId="16" borderId="53" xfId="0" applyNumberFormat="1" applyFont="1" applyFill="1" applyBorder="1"/>
    <xf numFmtId="172" fontId="16" fillId="16" borderId="53" xfId="0" applyNumberFormat="1" applyFont="1" applyFill="1" applyBorder="1" applyAlignment="1">
      <alignment horizontal="center"/>
    </xf>
    <xf numFmtId="172" fontId="13" fillId="16" borderId="3" xfId="0" applyNumberFormat="1" applyFont="1" applyFill="1" applyBorder="1"/>
    <xf numFmtId="172" fontId="13" fillId="16" borderId="3" xfId="0" applyNumberFormat="1" applyFont="1" applyFill="1" applyBorder="1" applyAlignment="1">
      <alignment horizontal="center"/>
    </xf>
    <xf numFmtId="172" fontId="13" fillId="16" borderId="56" xfId="0" applyNumberFormat="1" applyFont="1" applyFill="1" applyBorder="1"/>
    <xf numFmtId="172" fontId="16" fillId="16" borderId="3" xfId="0" applyNumberFormat="1" applyFont="1" applyFill="1" applyBorder="1" applyAlignment="1">
      <alignment horizontal="center"/>
    </xf>
    <xf numFmtId="172" fontId="13" fillId="16" borderId="56" xfId="0" applyNumberFormat="1" applyFont="1" applyFill="1" applyBorder="1" applyAlignment="1">
      <alignment horizontal="center"/>
    </xf>
    <xf numFmtId="10" fontId="13" fillId="0" borderId="0" xfId="0" applyNumberFormat="1" applyFont="1" applyAlignment="1">
      <alignment horizontal="right"/>
    </xf>
    <xf numFmtId="172" fontId="13" fillId="17" borderId="5" xfId="0" applyNumberFormat="1" applyFont="1" applyFill="1" applyBorder="1"/>
    <xf numFmtId="172" fontId="13" fillId="17" borderId="52" xfId="0" applyNumberFormat="1" applyFont="1" applyFill="1" applyBorder="1" applyAlignment="1">
      <alignment horizontal="center"/>
    </xf>
    <xf numFmtId="172" fontId="21" fillId="19" borderId="6" xfId="0" applyNumberFormat="1" applyFont="1" applyFill="1" applyBorder="1" applyAlignment="1">
      <alignment horizontal="center"/>
    </xf>
    <xf numFmtId="172" fontId="13" fillId="19" borderId="1" xfId="0" applyNumberFormat="1" applyFont="1" applyFill="1" applyBorder="1"/>
    <xf numFmtId="172" fontId="13" fillId="19" borderId="6" xfId="0" applyNumberFormat="1" applyFont="1" applyFill="1" applyBorder="1" applyAlignment="1">
      <alignment horizontal="center"/>
    </xf>
    <xf numFmtId="172" fontId="21" fillId="20" borderId="53" xfId="0" applyNumberFormat="1" applyFont="1" applyFill="1" applyBorder="1" applyAlignment="1">
      <alignment horizontal="center"/>
    </xf>
    <xf numFmtId="172" fontId="21" fillId="20" borderId="5" xfId="0" applyNumberFormat="1" applyFont="1" applyFill="1" applyBorder="1" applyAlignment="1">
      <alignment horizontal="center"/>
    </xf>
    <xf numFmtId="172" fontId="48" fillId="18" borderId="53" xfId="0" applyNumberFormat="1" applyFont="1" applyFill="1" applyBorder="1" applyAlignment="1">
      <alignment horizontal="center"/>
    </xf>
    <xf numFmtId="172" fontId="13" fillId="18" borderId="53" xfId="0" applyNumberFormat="1" applyFont="1" applyFill="1" applyBorder="1" applyAlignment="1">
      <alignment horizontal="center"/>
    </xf>
    <xf numFmtId="172" fontId="13" fillId="18" borderId="54" xfId="0" applyNumberFormat="1" applyFont="1" applyFill="1" applyBorder="1"/>
    <xf numFmtId="172" fontId="25" fillId="18" borderId="53" xfId="0" applyNumberFormat="1" applyFont="1" applyFill="1" applyBorder="1" applyAlignment="1">
      <alignment horizontal="center"/>
    </xf>
    <xf numFmtId="172" fontId="13" fillId="18" borderId="5" xfId="0" applyNumberFormat="1" applyFont="1" applyFill="1" applyBorder="1" applyAlignment="1">
      <alignment horizontal="center"/>
    </xf>
    <xf numFmtId="172" fontId="13" fillId="18" borderId="55" xfId="0" applyNumberFormat="1" applyFont="1" applyFill="1" applyBorder="1"/>
    <xf numFmtId="172" fontId="16" fillId="18" borderId="53" xfId="0" applyNumberFormat="1" applyFont="1" applyFill="1" applyBorder="1" applyAlignment="1">
      <alignment horizontal="center"/>
    </xf>
    <xf numFmtId="172" fontId="13" fillId="18" borderId="57" xfId="0" applyNumberFormat="1" applyFont="1" applyFill="1" applyBorder="1"/>
    <xf numFmtId="172" fontId="16" fillId="18" borderId="58" xfId="0" applyNumberFormat="1" applyFont="1" applyFill="1" applyBorder="1" applyAlignment="1">
      <alignment horizontal="center"/>
    </xf>
    <xf numFmtId="172" fontId="16" fillId="18" borderId="4" xfId="0" applyNumberFormat="1" applyFont="1" applyFill="1" applyBorder="1" applyAlignment="1">
      <alignment horizontal="center"/>
    </xf>
    <xf numFmtId="172" fontId="16" fillId="18" borderId="5" xfId="0" applyNumberFormat="1" applyFont="1" applyFill="1" applyBorder="1"/>
    <xf numFmtId="172" fontId="13" fillId="18" borderId="0" xfId="0" applyNumberFormat="1" applyFont="1" applyFill="1"/>
    <xf numFmtId="172" fontId="16" fillId="18" borderId="59" xfId="0" applyNumberFormat="1" applyFont="1" applyFill="1" applyBorder="1" applyAlignment="1">
      <alignment horizontal="center"/>
    </xf>
    <xf numFmtId="172" fontId="13" fillId="18" borderId="60" xfId="0" applyNumberFormat="1" applyFont="1" applyFill="1" applyBorder="1"/>
    <xf numFmtId="172" fontId="13" fillId="18" borderId="53" xfId="0" applyNumberFormat="1" applyFont="1" applyFill="1" applyBorder="1"/>
    <xf numFmtId="10" fontId="13" fillId="18" borderId="53" xfId="0" applyNumberFormat="1" applyFont="1" applyFill="1" applyBorder="1" applyAlignment="1">
      <alignment horizontal="center"/>
    </xf>
    <xf numFmtId="172" fontId="25" fillId="4" borderId="59" xfId="0" applyNumberFormat="1" applyFont="1" applyFill="1" applyBorder="1" applyAlignment="1">
      <alignment horizontal="center"/>
    </xf>
    <xf numFmtId="172" fontId="25" fillId="4" borderId="58" xfId="0" applyNumberFormat="1" applyFont="1" applyFill="1" applyBorder="1" applyAlignment="1">
      <alignment horizontal="center"/>
    </xf>
    <xf numFmtId="172" fontId="16" fillId="4" borderId="58" xfId="0" applyNumberFormat="1" applyFont="1" applyFill="1" applyBorder="1" applyAlignment="1">
      <alignment horizontal="center"/>
    </xf>
    <xf numFmtId="10" fontId="13" fillId="18" borderId="5" xfId="0" applyNumberFormat="1" applyFont="1" applyFill="1" applyBorder="1" applyAlignment="1">
      <alignment horizontal="center"/>
    </xf>
    <xf numFmtId="172" fontId="13" fillId="18" borderId="3" xfId="0" applyNumberFormat="1" applyFont="1" applyFill="1" applyBorder="1"/>
    <xf numFmtId="10" fontId="13" fillId="18" borderId="3" xfId="0" applyNumberFormat="1" applyFont="1" applyFill="1" applyBorder="1" applyAlignment="1">
      <alignment horizontal="center"/>
    </xf>
    <xf numFmtId="172" fontId="13" fillId="18" borderId="56" xfId="0" applyNumberFormat="1" applyFont="1" applyFill="1" applyBorder="1"/>
    <xf numFmtId="172" fontId="13" fillId="18" borderId="6" xfId="0" applyNumberFormat="1" applyFont="1" applyFill="1" applyBorder="1"/>
    <xf numFmtId="172" fontId="25" fillId="4" borderId="4" xfId="0" applyNumberFormat="1" applyFont="1" applyFill="1" applyBorder="1" applyAlignment="1">
      <alignment horizontal="center"/>
    </xf>
    <xf numFmtId="172" fontId="13" fillId="18" borderId="59" xfId="0" applyNumberFormat="1" applyFont="1" applyFill="1" applyBorder="1"/>
    <xf numFmtId="172" fontId="13" fillId="18" borderId="54" xfId="0" applyNumberFormat="1" applyFont="1" applyFill="1" applyBorder="1" applyAlignment="1">
      <alignment horizontal="center"/>
    </xf>
    <xf numFmtId="172" fontId="25" fillId="18" borderId="46" xfId="0" applyNumberFormat="1" applyFont="1" applyFill="1" applyBorder="1" applyAlignment="1">
      <alignment horizontal="center"/>
    </xf>
    <xf numFmtId="172" fontId="13" fillId="18" borderId="58" xfId="0" applyNumberFormat="1" applyFont="1" applyFill="1" applyBorder="1"/>
    <xf numFmtId="172" fontId="13" fillId="18" borderId="61" xfId="0" applyNumberFormat="1" applyFont="1" applyFill="1" applyBorder="1"/>
    <xf numFmtId="172" fontId="13" fillId="18" borderId="4" xfId="0" applyNumberFormat="1" applyFont="1" applyFill="1" applyBorder="1"/>
    <xf numFmtId="172" fontId="13" fillId="18" borderId="6" xfId="0" applyNumberFormat="1" applyFont="1" applyFill="1" applyBorder="1" applyAlignment="1">
      <alignment horizontal="center"/>
    </xf>
    <xf numFmtId="172" fontId="13" fillId="18" borderId="55" xfId="0" applyNumberFormat="1" applyFont="1" applyFill="1" applyBorder="1" applyAlignment="1">
      <alignment horizontal="center"/>
    </xf>
    <xf numFmtId="172" fontId="25" fillId="18" borderId="42" xfId="0" applyNumberFormat="1" applyFont="1" applyFill="1" applyBorder="1" applyAlignment="1">
      <alignment horizontal="center"/>
    </xf>
    <xf numFmtId="172" fontId="13" fillId="18" borderId="56" xfId="0" applyNumberFormat="1" applyFont="1" applyFill="1" applyBorder="1" applyAlignment="1">
      <alignment horizontal="center"/>
    </xf>
    <xf numFmtId="172" fontId="25" fillId="18" borderId="4" xfId="0" applyNumberFormat="1" applyFont="1" applyFill="1" applyBorder="1" applyAlignment="1">
      <alignment horizontal="center"/>
    </xf>
    <xf numFmtId="172" fontId="16" fillId="18" borderId="46" xfId="0" applyNumberFormat="1" applyFont="1" applyFill="1" applyBorder="1" applyAlignment="1">
      <alignment horizontal="center"/>
    </xf>
    <xf numFmtId="172" fontId="13" fillId="18" borderId="3" xfId="0" applyNumberFormat="1" applyFont="1" applyFill="1" applyBorder="1" applyAlignment="1">
      <alignment horizontal="center"/>
    </xf>
    <xf numFmtId="172" fontId="13" fillId="19" borderId="3" xfId="0" applyNumberFormat="1" applyFont="1" applyFill="1" applyBorder="1" applyAlignment="1">
      <alignment horizontal="center"/>
    </xf>
    <xf numFmtId="172" fontId="13" fillId="19" borderId="62" xfId="0" applyNumberFormat="1" applyFont="1" applyFill="1" applyBorder="1" applyAlignment="1">
      <alignment horizontal="center"/>
    </xf>
    <xf numFmtId="172" fontId="13" fillId="22" borderId="52" xfId="0" applyNumberFormat="1" applyFont="1" applyFill="1" applyBorder="1"/>
    <xf numFmtId="172" fontId="13" fillId="22" borderId="63" xfId="0" applyNumberFormat="1" applyFont="1" applyFill="1" applyBorder="1" applyAlignment="1">
      <alignment horizontal="center"/>
    </xf>
    <xf numFmtId="172" fontId="22" fillId="22" borderId="63" xfId="0" applyNumberFormat="1" applyFont="1" applyFill="1" applyBorder="1" applyAlignment="1">
      <alignment horizontal="center"/>
    </xf>
    <xf numFmtId="172" fontId="13" fillId="22" borderId="64" xfId="0" applyNumberFormat="1" applyFont="1" applyFill="1" applyBorder="1" applyAlignment="1">
      <alignment horizontal="center"/>
    </xf>
    <xf numFmtId="172" fontId="13" fillId="23" borderId="52" xfId="0" applyNumberFormat="1" applyFont="1" applyFill="1" applyBorder="1"/>
    <xf numFmtId="172" fontId="13" fillId="23" borderId="63" xfId="0" applyNumberFormat="1" applyFont="1" applyFill="1" applyBorder="1" applyAlignment="1">
      <alignment horizontal="center"/>
    </xf>
    <xf numFmtId="172" fontId="13" fillId="0" borderId="0" xfId="0" applyNumberFormat="1" applyFont="1" applyAlignment="1">
      <alignment horizontal="right"/>
    </xf>
    <xf numFmtId="172" fontId="16" fillId="17" borderId="6" xfId="0" applyNumberFormat="1" applyFont="1" applyFill="1" applyBorder="1" applyAlignment="1">
      <alignment horizontal="center"/>
    </xf>
    <xf numFmtId="172" fontId="13" fillId="17" borderId="3" xfId="0" applyNumberFormat="1" applyFont="1" applyFill="1" applyBorder="1"/>
    <xf numFmtId="172" fontId="13" fillId="17" borderId="3" xfId="0" applyNumberFormat="1" applyFont="1" applyFill="1" applyBorder="1" applyAlignment="1">
      <alignment horizontal="right"/>
    </xf>
    <xf numFmtId="172" fontId="16" fillId="17" borderId="3" xfId="0" applyNumberFormat="1" applyFont="1" applyFill="1" applyBorder="1" applyAlignment="1">
      <alignment horizontal="center"/>
    </xf>
    <xf numFmtId="172" fontId="13" fillId="17" borderId="6" xfId="0" applyNumberFormat="1" applyFont="1" applyFill="1" applyBorder="1"/>
    <xf numFmtId="172" fontId="13" fillId="0" borderId="6" xfId="0" applyNumberFormat="1" applyFont="1" applyBorder="1"/>
    <xf numFmtId="172" fontId="13" fillId="0" borderId="5" xfId="0" applyNumberFormat="1" applyFont="1" applyBorder="1"/>
    <xf numFmtId="9" fontId="16" fillId="17" borderId="3" xfId="0" applyNumberFormat="1" applyFont="1" applyFill="1" applyBorder="1" applyAlignment="1">
      <alignment horizontal="center"/>
    </xf>
    <xf numFmtId="172" fontId="13" fillId="17" borderId="5" xfId="0" applyNumberFormat="1" applyFont="1" applyFill="1" applyBorder="1" applyAlignment="1">
      <alignment horizontal="right"/>
    </xf>
    <xf numFmtId="172" fontId="13" fillId="15" borderId="3" xfId="0" applyNumberFormat="1" applyFont="1" applyFill="1" applyBorder="1" applyAlignment="1">
      <alignment horizontal="right"/>
    </xf>
    <xf numFmtId="10" fontId="16" fillId="15" borderId="3" xfId="0" applyNumberFormat="1" applyFont="1" applyFill="1" applyBorder="1" applyAlignment="1">
      <alignment horizontal="right"/>
    </xf>
    <xf numFmtId="172" fontId="13" fillId="17" borderId="3" xfId="0" applyNumberFormat="1" applyFont="1" applyFill="1" applyBorder="1" applyAlignment="1">
      <alignment horizontal="center"/>
    </xf>
    <xf numFmtId="166" fontId="13" fillId="15" borderId="3" xfId="0" applyNumberFormat="1" applyFont="1" applyFill="1" applyBorder="1" applyAlignment="1">
      <alignment horizontal="right"/>
    </xf>
    <xf numFmtId="166" fontId="16" fillId="15" borderId="3" xfId="0" applyNumberFormat="1" applyFont="1" applyFill="1" applyBorder="1" applyAlignment="1">
      <alignment horizontal="right"/>
    </xf>
    <xf numFmtId="172" fontId="13" fillId="24" borderId="3" xfId="0" applyNumberFormat="1" applyFont="1" applyFill="1" applyBorder="1" applyAlignment="1">
      <alignment horizontal="right"/>
    </xf>
    <xf numFmtId="172" fontId="22" fillId="24" borderId="3" xfId="0" applyNumberFormat="1" applyFont="1" applyFill="1" applyBorder="1" applyAlignment="1">
      <alignment horizontal="right"/>
    </xf>
    <xf numFmtId="0" fontId="49" fillId="26" borderId="65" xfId="0" applyFont="1" applyFill="1" applyBorder="1" applyAlignment="1">
      <alignment horizontal="center"/>
    </xf>
    <xf numFmtId="0" fontId="49" fillId="6" borderId="65" xfId="0" applyFont="1" applyFill="1" applyBorder="1" applyAlignment="1">
      <alignment horizontal="center"/>
    </xf>
    <xf numFmtId="0" fontId="49" fillId="10" borderId="65" xfId="0" applyFont="1" applyFill="1" applyBorder="1" applyAlignment="1">
      <alignment horizontal="center"/>
    </xf>
    <xf numFmtId="0" fontId="49" fillId="13" borderId="65" xfId="0" applyFont="1" applyFill="1" applyBorder="1" applyAlignment="1">
      <alignment horizontal="center"/>
    </xf>
    <xf numFmtId="180" fontId="50" fillId="20" borderId="1" xfId="0" applyNumberFormat="1" applyFont="1" applyFill="1" applyBorder="1" applyAlignment="1">
      <alignment horizontal="center"/>
    </xf>
    <xf numFmtId="172" fontId="51" fillId="6" borderId="1" xfId="0" applyNumberFormat="1" applyFont="1" applyFill="1" applyBorder="1" applyAlignment="1">
      <alignment horizontal="center"/>
    </xf>
    <xf numFmtId="166" fontId="5" fillId="10" borderId="0" xfId="0" applyNumberFormat="1" applyFont="1" applyFill="1"/>
    <xf numFmtId="181" fontId="5" fillId="13" borderId="0" xfId="0" applyNumberFormat="1" applyFont="1" applyFill="1"/>
    <xf numFmtId="172" fontId="49" fillId="6" borderId="65" xfId="0" applyNumberFormat="1" applyFont="1" applyFill="1" applyBorder="1" applyAlignment="1">
      <alignment horizontal="center"/>
    </xf>
    <xf numFmtId="180" fontId="50" fillId="26" borderId="1" xfId="0" applyNumberFormat="1" applyFont="1" applyFill="1" applyBorder="1" applyAlignment="1">
      <alignment horizontal="center"/>
    </xf>
    <xf numFmtId="180" fontId="50" fillId="27" borderId="1" xfId="0" applyNumberFormat="1" applyFont="1" applyFill="1" applyBorder="1" applyAlignment="1">
      <alignment horizontal="center"/>
    </xf>
    <xf numFmtId="178" fontId="16" fillId="0" borderId="52" xfId="0" applyNumberFormat="1" applyFont="1" applyBorder="1" applyAlignment="1">
      <alignment horizontal="center"/>
    </xf>
    <xf numFmtId="172" fontId="13" fillId="16" borderId="67" xfId="0" applyNumberFormat="1" applyFont="1" applyFill="1" applyBorder="1"/>
    <xf numFmtId="172" fontId="13" fillId="16" borderId="68" xfId="0" applyNumberFormat="1" applyFont="1" applyFill="1" applyBorder="1" applyAlignment="1">
      <alignment horizontal="center"/>
    </xf>
    <xf numFmtId="172" fontId="13" fillId="16" borderId="69" xfId="0" applyNumberFormat="1" applyFont="1" applyFill="1" applyBorder="1" applyAlignment="1">
      <alignment horizontal="center"/>
    </xf>
    <xf numFmtId="172" fontId="16" fillId="16" borderId="69" xfId="0" applyNumberFormat="1" applyFont="1" applyFill="1" applyBorder="1" applyAlignment="1">
      <alignment horizontal="center"/>
    </xf>
    <xf numFmtId="172" fontId="13" fillId="16" borderId="0" xfId="0" applyNumberFormat="1" applyFont="1" applyFill="1" applyAlignment="1">
      <alignment horizontal="center"/>
    </xf>
    <xf numFmtId="172" fontId="16" fillId="16" borderId="57" xfId="0" applyNumberFormat="1" applyFont="1" applyFill="1" applyBorder="1" applyAlignment="1">
      <alignment horizontal="center"/>
    </xf>
    <xf numFmtId="172" fontId="16" fillId="16" borderId="6" xfId="0" applyNumberFormat="1" applyFont="1" applyFill="1" applyBorder="1" applyAlignment="1">
      <alignment horizontal="center"/>
    </xf>
    <xf numFmtId="172" fontId="13" fillId="16" borderId="57" xfId="0" applyNumberFormat="1" applyFont="1" applyFill="1" applyBorder="1" applyAlignment="1">
      <alignment horizontal="center"/>
    </xf>
    <xf numFmtId="172" fontId="16" fillId="16" borderId="75" xfId="0" applyNumberFormat="1" applyFont="1" applyFill="1" applyBorder="1" applyAlignment="1">
      <alignment horizontal="center"/>
    </xf>
    <xf numFmtId="172" fontId="13" fillId="16" borderId="77" xfId="0" applyNumberFormat="1" applyFont="1" applyFill="1" applyBorder="1"/>
    <xf numFmtId="172" fontId="13" fillId="16" borderId="77" xfId="0" applyNumberFormat="1" applyFont="1" applyFill="1" applyBorder="1" applyAlignment="1">
      <alignment horizontal="center"/>
    </xf>
    <xf numFmtId="172" fontId="13" fillId="16" borderId="78" xfId="0" applyNumberFormat="1" applyFont="1" applyFill="1" applyBorder="1" applyAlignment="1">
      <alignment horizontal="center"/>
    </xf>
    <xf numFmtId="172" fontId="13" fillId="16" borderId="79" xfId="0" applyNumberFormat="1" applyFont="1" applyFill="1" applyBorder="1"/>
    <xf numFmtId="172" fontId="16" fillId="16" borderId="78" xfId="0" applyNumberFormat="1" applyFont="1" applyFill="1" applyBorder="1" applyAlignment="1">
      <alignment horizontal="center"/>
    </xf>
    <xf numFmtId="172" fontId="16" fillId="16" borderId="80" xfId="0" applyNumberFormat="1" applyFont="1" applyFill="1" applyBorder="1" applyAlignment="1">
      <alignment horizontal="center"/>
    </xf>
    <xf numFmtId="172" fontId="13" fillId="18" borderId="68" xfId="0" applyNumberFormat="1" applyFont="1" applyFill="1" applyBorder="1"/>
    <xf numFmtId="10" fontId="13" fillId="18" borderId="68" xfId="0" applyNumberFormat="1" applyFont="1" applyFill="1" applyBorder="1" applyAlignment="1">
      <alignment horizontal="center"/>
    </xf>
    <xf numFmtId="172" fontId="25" fillId="18" borderId="69" xfId="0" applyNumberFormat="1" applyFont="1" applyFill="1" applyBorder="1" applyAlignment="1">
      <alignment horizontal="center"/>
    </xf>
    <xf numFmtId="172" fontId="16" fillId="18" borderId="57" xfId="0" applyNumberFormat="1" applyFont="1" applyFill="1" applyBorder="1" applyAlignment="1">
      <alignment horizontal="center"/>
    </xf>
    <xf numFmtId="172" fontId="13" fillId="18" borderId="77" xfId="0" applyNumberFormat="1" applyFont="1" applyFill="1" applyBorder="1"/>
    <xf numFmtId="10" fontId="13" fillId="18" borderId="77" xfId="0" applyNumberFormat="1" applyFont="1" applyFill="1" applyBorder="1" applyAlignment="1">
      <alignment horizontal="center"/>
    </xf>
    <xf numFmtId="172" fontId="16" fillId="18" borderId="78" xfId="0" applyNumberFormat="1" applyFont="1" applyFill="1" applyBorder="1" applyAlignment="1">
      <alignment horizontal="center"/>
    </xf>
    <xf numFmtId="172" fontId="13" fillId="18" borderId="68" xfId="0" applyNumberFormat="1" applyFont="1" applyFill="1" applyBorder="1" applyAlignment="1">
      <alignment horizontal="center"/>
    </xf>
    <xf numFmtId="172" fontId="22" fillId="18" borderId="69" xfId="0" applyNumberFormat="1" applyFont="1" applyFill="1" applyBorder="1" applyAlignment="1">
      <alignment horizontal="center"/>
    </xf>
    <xf numFmtId="172" fontId="25" fillId="18" borderId="81" xfId="0" applyNumberFormat="1" applyFont="1" applyFill="1" applyBorder="1" applyAlignment="1">
      <alignment horizontal="center"/>
    </xf>
    <xf numFmtId="172" fontId="16" fillId="18" borderId="0" xfId="0" applyNumberFormat="1" applyFont="1" applyFill="1" applyAlignment="1">
      <alignment horizontal="center"/>
    </xf>
    <xf numFmtId="172" fontId="13" fillId="18" borderId="77" xfId="0" applyNumberFormat="1" applyFont="1" applyFill="1" applyBorder="1" applyAlignment="1">
      <alignment horizontal="center"/>
    </xf>
    <xf numFmtId="0" fontId="5" fillId="8" borderId="50" xfId="0" applyFont="1" applyFill="1" applyBorder="1"/>
    <xf numFmtId="172" fontId="5" fillId="8" borderId="51" xfId="0" applyNumberFormat="1" applyFont="1" applyFill="1" applyBorder="1" applyAlignment="1">
      <alignment horizontal="center"/>
    </xf>
    <xf numFmtId="0" fontId="53" fillId="28" borderId="0" xfId="0" applyFont="1" applyFill="1"/>
    <xf numFmtId="172" fontId="54" fillId="28" borderId="0" xfId="0" applyNumberFormat="1" applyFont="1" applyFill="1" applyAlignment="1">
      <alignment horizontal="left" vertical="center"/>
    </xf>
    <xf numFmtId="0" fontId="49" fillId="29" borderId="1" xfId="0" applyFont="1" applyFill="1" applyBorder="1" applyAlignment="1">
      <alignment horizontal="center"/>
    </xf>
    <xf numFmtId="0" fontId="44" fillId="0" borderId="1" xfId="0" applyFont="1" applyBorder="1"/>
    <xf numFmtId="0" fontId="44" fillId="0" borderId="2" xfId="0" applyFont="1" applyBorder="1" applyAlignment="1">
      <alignment horizontal="center" wrapText="1"/>
    </xf>
    <xf numFmtId="0" fontId="44" fillId="0" borderId="4" xfId="0" applyFont="1" applyBorder="1"/>
    <xf numFmtId="0" fontId="44" fillId="0" borderId="3" xfId="0" applyFont="1" applyBorder="1" applyAlignment="1">
      <alignment horizontal="right"/>
    </xf>
    <xf numFmtId="176" fontId="44" fillId="0" borderId="3" xfId="0" applyNumberFormat="1" applyFont="1" applyBorder="1" applyAlignment="1">
      <alignment horizontal="right"/>
    </xf>
    <xf numFmtId="175" fontId="21" fillId="0" borderId="48" xfId="0" applyNumberFormat="1" applyFont="1" applyBorder="1" applyAlignment="1">
      <alignment horizontal="right"/>
    </xf>
    <xf numFmtId="0" fontId="21" fillId="0" borderId="13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1" fillId="0" borderId="20" xfId="0" applyFont="1" applyBorder="1"/>
    <xf numFmtId="182" fontId="21" fillId="0" borderId="82" xfId="0" applyNumberFormat="1" applyFont="1" applyBorder="1" applyAlignment="1">
      <alignment horizontal="center" vertical="center"/>
    </xf>
    <xf numFmtId="166" fontId="21" fillId="0" borderId="18" xfId="0" applyNumberFormat="1" applyFont="1" applyBorder="1" applyAlignment="1">
      <alignment horizontal="center" vertical="center" wrapText="1"/>
    </xf>
    <xf numFmtId="10" fontId="16" fillId="0" borderId="83" xfId="0" applyNumberFormat="1" applyFont="1" applyBorder="1" applyAlignment="1">
      <alignment horizontal="center" vertical="center"/>
    </xf>
    <xf numFmtId="10" fontId="16" fillId="0" borderId="45" xfId="0" applyNumberFormat="1" applyFont="1" applyBorder="1" applyAlignment="1">
      <alignment horizontal="center" vertical="center"/>
    </xf>
    <xf numFmtId="10" fontId="16" fillId="0" borderId="19" xfId="0" applyNumberFormat="1" applyFont="1" applyBorder="1" applyAlignment="1">
      <alignment horizontal="center" vertical="center"/>
    </xf>
    <xf numFmtId="0" fontId="21" fillId="0" borderId="84" xfId="0" applyFont="1" applyBorder="1"/>
    <xf numFmtId="182" fontId="21" fillId="0" borderId="26" xfId="0" applyNumberFormat="1" applyFont="1" applyBorder="1" applyAlignment="1">
      <alignment horizontal="center" vertical="center"/>
    </xf>
    <xf numFmtId="183" fontId="14" fillId="8" borderId="85" xfId="0" applyNumberFormat="1" applyFont="1" applyFill="1" applyBorder="1" applyAlignment="1">
      <alignment horizontal="right" vertical="center"/>
    </xf>
    <xf numFmtId="166" fontId="21" fillId="0" borderId="25" xfId="0" applyNumberFormat="1" applyFont="1" applyBorder="1" applyAlignment="1">
      <alignment horizontal="center" vertical="center" wrapText="1"/>
    </xf>
    <xf numFmtId="184" fontId="21" fillId="0" borderId="86" xfId="0" applyNumberFormat="1" applyFont="1" applyBorder="1" applyAlignment="1">
      <alignment horizontal="center" vertical="center"/>
    </xf>
    <xf numFmtId="0" fontId="21" fillId="0" borderId="20" xfId="0" applyFont="1" applyBorder="1" applyAlignment="1">
      <alignment vertical="center"/>
    </xf>
    <xf numFmtId="175" fontId="21" fillId="0" borderId="14" xfId="0" applyNumberFormat="1" applyFont="1" applyBorder="1" applyAlignment="1">
      <alignment horizontal="right" vertical="center"/>
    </xf>
    <xf numFmtId="0" fontId="21" fillId="0" borderId="89" xfId="0" applyFont="1" applyBorder="1" applyAlignment="1">
      <alignment horizontal="center" vertical="center"/>
    </xf>
    <xf numFmtId="0" fontId="21" fillId="0" borderId="90" xfId="0" applyFont="1" applyBorder="1" applyAlignment="1">
      <alignment horizontal="center" vertical="center"/>
    </xf>
    <xf numFmtId="166" fontId="21" fillId="0" borderId="91" xfId="0" applyNumberFormat="1" applyFont="1" applyBorder="1" applyAlignment="1">
      <alignment horizontal="center" vertical="center" wrapText="1"/>
    </xf>
    <xf numFmtId="10" fontId="16" fillId="0" borderId="92" xfId="0" applyNumberFormat="1" applyFont="1" applyBorder="1" applyAlignment="1">
      <alignment horizontal="center" vertical="center"/>
    </xf>
    <xf numFmtId="10" fontId="16" fillId="0" borderId="93" xfId="0" applyNumberFormat="1" applyFont="1" applyBorder="1" applyAlignment="1">
      <alignment horizontal="center" vertical="center"/>
    </xf>
    <xf numFmtId="0" fontId="21" fillId="0" borderId="94" xfId="0" applyFont="1" applyBorder="1" applyAlignment="1">
      <alignment vertical="center"/>
    </xf>
    <xf numFmtId="10" fontId="16" fillId="0" borderId="95" xfId="0" applyNumberFormat="1" applyFont="1" applyBorder="1" applyAlignment="1">
      <alignment horizontal="center" vertical="center"/>
    </xf>
    <xf numFmtId="0" fontId="21" fillId="0" borderId="25" xfId="0" applyFont="1" applyBorder="1" applyAlignment="1">
      <alignment vertical="center"/>
    </xf>
    <xf numFmtId="166" fontId="21" fillId="0" borderId="96" xfId="0" applyNumberFormat="1" applyFont="1" applyBorder="1" applyAlignment="1">
      <alignment horizontal="center" vertical="center" wrapText="1"/>
    </xf>
    <xf numFmtId="10" fontId="21" fillId="0" borderId="97" xfId="0" applyNumberFormat="1" applyFont="1" applyBorder="1" applyAlignment="1">
      <alignment horizontal="center" vertical="center"/>
    </xf>
    <xf numFmtId="0" fontId="14" fillId="8" borderId="23" xfId="0" applyFont="1" applyFill="1" applyBorder="1" applyAlignment="1">
      <alignment horizontal="left" vertical="center"/>
    </xf>
    <xf numFmtId="172" fontId="21" fillId="0" borderId="13" xfId="0" applyNumberFormat="1" applyFont="1" applyBorder="1" applyAlignment="1">
      <alignment vertical="center"/>
    </xf>
    <xf numFmtId="1" fontId="16" fillId="0" borderId="92" xfId="0" applyNumberFormat="1" applyFont="1" applyBorder="1" applyAlignment="1">
      <alignment horizontal="center" vertical="center"/>
    </xf>
    <xf numFmtId="172" fontId="21" fillId="0" borderId="25" xfId="0" applyNumberFormat="1" applyFont="1" applyBorder="1" applyAlignment="1">
      <alignment vertical="center"/>
    </xf>
    <xf numFmtId="3" fontId="16" fillId="0" borderId="98" xfId="0" applyNumberFormat="1" applyFont="1" applyBorder="1" applyAlignment="1">
      <alignment horizontal="center" vertical="center"/>
    </xf>
    <xf numFmtId="3" fontId="21" fillId="0" borderId="97" xfId="0" applyNumberFormat="1" applyFont="1" applyBorder="1" applyAlignment="1">
      <alignment horizontal="center" vertical="center"/>
    </xf>
    <xf numFmtId="10" fontId="21" fillId="0" borderId="83" xfId="0" applyNumberFormat="1" applyFont="1" applyBorder="1" applyAlignment="1">
      <alignment horizontal="center" vertical="center"/>
    </xf>
    <xf numFmtId="10" fontId="21" fillId="0" borderId="45" xfId="0" applyNumberFormat="1" applyFont="1" applyBorder="1" applyAlignment="1">
      <alignment horizontal="center" vertical="center"/>
    </xf>
    <xf numFmtId="0" fontId="21" fillId="0" borderId="101" xfId="0" applyFont="1" applyBorder="1" applyAlignment="1">
      <alignment horizontal="center" vertical="center"/>
    </xf>
    <xf numFmtId="166" fontId="21" fillId="0" borderId="1" xfId="0" applyNumberFormat="1" applyFont="1" applyBorder="1" applyAlignment="1">
      <alignment horizontal="center" vertical="center" wrapText="1"/>
    </xf>
    <xf numFmtId="10" fontId="21" fillId="0" borderId="2" xfId="0" applyNumberFormat="1" applyFont="1" applyBorder="1" applyAlignment="1">
      <alignment horizontal="center" vertical="center"/>
    </xf>
    <xf numFmtId="10" fontId="21" fillId="0" borderId="44" xfId="0" applyNumberFormat="1" applyFont="1" applyBorder="1" applyAlignment="1">
      <alignment horizontal="center" vertical="center"/>
    </xf>
    <xf numFmtId="10" fontId="21" fillId="0" borderId="1" xfId="0" applyNumberFormat="1" applyFont="1" applyBorder="1" applyAlignment="1">
      <alignment horizontal="center" vertical="center"/>
    </xf>
    <xf numFmtId="1" fontId="21" fillId="0" borderId="83" xfId="0" applyNumberFormat="1" applyFont="1" applyBorder="1" applyAlignment="1">
      <alignment horizontal="center" vertical="center"/>
    </xf>
    <xf numFmtId="3" fontId="21" fillId="0" borderId="86" xfId="0" applyNumberFormat="1" applyFont="1" applyBorder="1" applyAlignment="1">
      <alignment horizontal="center" vertical="center"/>
    </xf>
    <xf numFmtId="169" fontId="13" fillId="0" borderId="15" xfId="0" applyNumberFormat="1" applyFont="1" applyBorder="1" applyAlignment="1">
      <alignment horizontal="center" vertical="center"/>
    </xf>
    <xf numFmtId="169" fontId="21" fillId="9" borderId="19" xfId="0" applyNumberFormat="1" applyFont="1" applyFill="1" applyBorder="1" applyAlignment="1">
      <alignment vertical="center"/>
    </xf>
    <xf numFmtId="0" fontId="13" fillId="0" borderId="102" xfId="0" applyFont="1" applyBorder="1" applyAlignment="1">
      <alignment vertical="center"/>
    </xf>
    <xf numFmtId="3" fontId="13" fillId="0" borderId="103" xfId="0" applyNumberFormat="1" applyFont="1" applyBorder="1" applyAlignment="1">
      <alignment horizontal="center" vertical="center"/>
    </xf>
    <xf numFmtId="9" fontId="13" fillId="0" borderId="103" xfId="0" applyNumberFormat="1" applyFont="1" applyBorder="1" applyAlignment="1">
      <alignment horizontal="center" vertical="center"/>
    </xf>
    <xf numFmtId="169" fontId="22" fillId="0" borderId="103" xfId="0" applyNumberFormat="1" applyFont="1" applyBorder="1" applyAlignment="1">
      <alignment vertical="center"/>
    </xf>
    <xf numFmtId="169" fontId="13" fillId="0" borderId="104" xfId="0" applyNumberFormat="1" applyFont="1" applyBorder="1" applyAlignment="1">
      <alignment horizontal="center" vertical="center"/>
    </xf>
    <xf numFmtId="0" fontId="13" fillId="9" borderId="31" xfId="0" applyFont="1" applyFill="1" applyBorder="1" applyAlignment="1">
      <alignment vertical="center" wrapText="1"/>
    </xf>
    <xf numFmtId="0" fontId="10" fillId="0" borderId="94" xfId="0" applyFont="1" applyBorder="1"/>
    <xf numFmtId="0" fontId="21" fillId="0" borderId="82" xfId="0" applyFont="1" applyBorder="1" applyAlignment="1">
      <alignment horizontal="center" vertical="center"/>
    </xf>
    <xf numFmtId="169" fontId="13" fillId="9" borderId="105" xfId="0" applyNumberFormat="1" applyFont="1" applyFill="1" applyBorder="1" applyAlignment="1">
      <alignment vertical="center"/>
    </xf>
    <xf numFmtId="175" fontId="13" fillId="9" borderId="16" xfId="0" applyNumberFormat="1" applyFont="1" applyFill="1" applyBorder="1" applyAlignment="1">
      <alignment horizontal="center" vertical="center"/>
    </xf>
    <xf numFmtId="3" fontId="13" fillId="0" borderId="106" xfId="0" applyNumberFormat="1" applyFont="1" applyBorder="1" applyAlignment="1">
      <alignment horizontal="center" vertical="center"/>
    </xf>
    <xf numFmtId="169" fontId="13" fillId="0" borderId="106" xfId="0" applyNumberFormat="1" applyFont="1" applyBorder="1" applyAlignment="1">
      <alignment horizontal="center" vertical="center"/>
    </xf>
    <xf numFmtId="169" fontId="13" fillId="0" borderId="106" xfId="0" applyNumberFormat="1" applyFont="1" applyBorder="1" applyAlignment="1">
      <alignment vertical="center"/>
    </xf>
    <xf numFmtId="169" fontId="13" fillId="0" borderId="85" xfId="0" applyNumberFormat="1" applyFont="1" applyBorder="1" applyAlignment="1">
      <alignment horizontal="center" vertical="center"/>
    </xf>
    <xf numFmtId="174" fontId="13" fillId="9" borderId="107" xfId="0" applyNumberFormat="1" applyFont="1" applyFill="1" applyBorder="1" applyAlignment="1">
      <alignment horizontal="center" vertical="center"/>
    </xf>
    <xf numFmtId="169" fontId="13" fillId="9" borderId="107" xfId="0" applyNumberFormat="1" applyFont="1" applyFill="1" applyBorder="1" applyAlignment="1">
      <alignment vertical="center"/>
    </xf>
    <xf numFmtId="0" fontId="14" fillId="8" borderId="109" xfId="0" applyFont="1" applyFill="1" applyBorder="1" applyAlignment="1">
      <alignment horizontal="left" vertical="center"/>
    </xf>
    <xf numFmtId="185" fontId="14" fillId="8" borderId="110" xfId="0" applyNumberFormat="1" applyFont="1" applyFill="1" applyBorder="1" applyAlignment="1">
      <alignment horizontal="center" vertical="center"/>
    </xf>
    <xf numFmtId="0" fontId="27" fillId="0" borderId="13" xfId="0" applyFont="1" applyBorder="1" applyAlignment="1">
      <alignment horizontal="left" vertical="center"/>
    </xf>
    <xf numFmtId="3" fontId="13" fillId="0" borderId="101" xfId="0" applyNumberFormat="1" applyFont="1" applyBorder="1" applyAlignment="1">
      <alignment horizontal="center" vertical="center"/>
    </xf>
    <xf numFmtId="0" fontId="13" fillId="0" borderId="101" xfId="0" applyFont="1" applyBorder="1" applyAlignment="1">
      <alignment horizontal="center" vertical="center"/>
    </xf>
    <xf numFmtId="170" fontId="13" fillId="0" borderId="101" xfId="0" applyNumberFormat="1" applyFont="1" applyBorder="1" applyAlignment="1">
      <alignment vertical="center"/>
    </xf>
    <xf numFmtId="10" fontId="21" fillId="0" borderId="14" xfId="0" applyNumberFormat="1" applyFont="1" applyBorder="1" applyAlignment="1">
      <alignment horizontal="center" vertical="center"/>
    </xf>
    <xf numFmtId="0" fontId="27" fillId="0" borderId="20" xfId="0" applyFont="1" applyBorder="1" applyAlignment="1">
      <alignment horizontal="left" vertical="center"/>
    </xf>
    <xf numFmtId="9" fontId="13" fillId="0" borderId="4" xfId="0" applyNumberFormat="1" applyFont="1" applyBorder="1" applyAlignment="1">
      <alignment vertical="center"/>
    </xf>
    <xf numFmtId="2" fontId="21" fillId="0" borderId="21" xfId="0" applyNumberFormat="1" applyFont="1" applyBorder="1" applyAlignment="1">
      <alignment horizontal="center" vertical="center"/>
    </xf>
    <xf numFmtId="0" fontId="13" fillId="9" borderId="102" xfId="0" applyFont="1" applyFill="1" applyBorder="1" applyAlignment="1">
      <alignment vertical="center" wrapText="1"/>
    </xf>
    <xf numFmtId="1" fontId="13" fillId="9" borderId="103" xfId="0" applyNumberFormat="1" applyFont="1" applyFill="1" applyBorder="1" applyAlignment="1">
      <alignment horizontal="center" vertical="center"/>
    </xf>
    <xf numFmtId="10" fontId="13" fillId="9" borderId="103" xfId="0" applyNumberFormat="1" applyFont="1" applyFill="1" applyBorder="1" applyAlignment="1">
      <alignment vertical="center"/>
    </xf>
    <xf numFmtId="169" fontId="13" fillId="9" borderId="104" xfId="0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21" fillId="0" borderId="13" xfId="0" applyFont="1" applyBorder="1" applyAlignment="1">
      <alignment vertical="center"/>
    </xf>
    <xf numFmtId="171" fontId="21" fillId="0" borderId="19" xfId="0" applyNumberFormat="1" applyFont="1" applyBorder="1" applyAlignment="1">
      <alignment horizontal="center" vertical="center"/>
    </xf>
    <xf numFmtId="169" fontId="32" fillId="0" borderId="0" xfId="0" applyNumberFormat="1" applyFont="1" applyAlignment="1">
      <alignment horizontal="center" vertical="center"/>
    </xf>
    <xf numFmtId="183" fontId="21" fillId="0" borderId="26" xfId="0" applyNumberFormat="1" applyFont="1" applyBorder="1" applyAlignment="1">
      <alignment horizontal="right" vertical="center"/>
    </xf>
    <xf numFmtId="185" fontId="16" fillId="0" borderId="85" xfId="0" applyNumberFormat="1" applyFont="1" applyBorder="1" applyAlignment="1">
      <alignment horizontal="center" vertical="center"/>
    </xf>
    <xf numFmtId="0" fontId="56" fillId="0" borderId="31" xfId="0" applyFont="1" applyBorder="1" applyAlignment="1">
      <alignment vertical="center"/>
    </xf>
    <xf numFmtId="3" fontId="20" fillId="0" borderId="16" xfId="0" applyNumberFormat="1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170" fontId="20" fillId="0" borderId="16" xfId="0" applyNumberFormat="1" applyFont="1" applyBorder="1" applyAlignment="1">
      <alignment horizontal="center" vertical="center"/>
    </xf>
    <xf numFmtId="169" fontId="13" fillId="0" borderId="17" xfId="0" applyNumberFormat="1" applyFont="1" applyBorder="1" applyAlignment="1">
      <alignment horizontal="center" vertical="center"/>
    </xf>
    <xf numFmtId="0" fontId="13" fillId="0" borderId="31" xfId="0" applyFont="1" applyBorder="1" applyAlignment="1">
      <alignment vertical="center" wrapText="1"/>
    </xf>
    <xf numFmtId="0" fontId="13" fillId="0" borderId="16" xfId="0" applyFont="1" applyBorder="1" applyAlignment="1">
      <alignment horizontal="center" vertical="center"/>
    </xf>
    <xf numFmtId="9" fontId="13" fillId="0" borderId="16" xfId="0" applyNumberFormat="1" applyFont="1" applyBorder="1" applyAlignment="1">
      <alignment horizontal="center" vertical="center"/>
    </xf>
    <xf numFmtId="186" fontId="21" fillId="0" borderId="14" xfId="0" applyNumberFormat="1" applyFont="1" applyBorder="1" applyAlignment="1">
      <alignment horizontal="right" vertical="center"/>
    </xf>
    <xf numFmtId="169" fontId="30" fillId="12" borderId="109" xfId="0" applyNumberFormat="1" applyFont="1" applyFill="1" applyBorder="1" applyAlignment="1">
      <alignment horizontal="left" vertical="center"/>
    </xf>
    <xf numFmtId="3" fontId="13" fillId="0" borderId="16" xfId="0" applyNumberFormat="1" applyFont="1" applyBorder="1" applyAlignment="1">
      <alignment horizontal="center" vertical="center"/>
    </xf>
    <xf numFmtId="0" fontId="19" fillId="0" borderId="0" xfId="0" applyFont="1" applyAlignment="1">
      <alignment vertical="center" wrapText="1"/>
    </xf>
    <xf numFmtId="3" fontId="40" fillId="0" borderId="0" xfId="0" applyNumberFormat="1" applyFont="1" applyAlignment="1">
      <alignment horizontal="left" vertical="center"/>
    </xf>
    <xf numFmtId="0" fontId="13" fillId="0" borderId="113" xfId="0" applyFont="1" applyBorder="1" applyAlignment="1">
      <alignment vertical="center" wrapText="1"/>
    </xf>
    <xf numFmtId="175" fontId="13" fillId="0" borderId="16" xfId="0" applyNumberFormat="1" applyFont="1" applyBorder="1" applyAlignment="1">
      <alignment horizontal="center" vertical="center"/>
    </xf>
    <xf numFmtId="9" fontId="22" fillId="0" borderId="16" xfId="0" applyNumberFormat="1" applyFont="1" applyBorder="1" applyAlignment="1">
      <alignment vertical="center"/>
    </xf>
    <xf numFmtId="175" fontId="19" fillId="0" borderId="0" xfId="0" applyNumberFormat="1" applyFont="1" applyAlignment="1">
      <alignment vertical="center" wrapText="1"/>
    </xf>
    <xf numFmtId="3" fontId="40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1" fontId="21" fillId="0" borderId="86" xfId="0" applyNumberFormat="1" applyFont="1" applyBorder="1" applyAlignment="1">
      <alignment horizontal="center" vertical="center"/>
    </xf>
    <xf numFmtId="9" fontId="3" fillId="0" borderId="0" xfId="0" applyNumberFormat="1" applyFont="1"/>
    <xf numFmtId="166" fontId="9" fillId="6" borderId="1" xfId="0" applyNumberFormat="1" applyFont="1" applyFill="1" applyBorder="1" applyAlignment="1">
      <alignment horizontal="center"/>
    </xf>
    <xf numFmtId="172" fontId="13" fillId="0" borderId="32" xfId="0" applyNumberFormat="1" applyFont="1" applyBorder="1" applyAlignment="1">
      <alignment vertical="center"/>
    </xf>
    <xf numFmtId="168" fontId="22" fillId="0" borderId="107" xfId="0" applyNumberFormat="1" applyFont="1" applyBorder="1" applyAlignment="1">
      <alignment vertical="center"/>
    </xf>
    <xf numFmtId="169" fontId="16" fillId="0" borderId="110" xfId="0" applyNumberFormat="1" applyFont="1" applyBorder="1" applyAlignment="1">
      <alignment horizontal="right" vertical="center"/>
    </xf>
    <xf numFmtId="175" fontId="37" fillId="0" borderId="110" xfId="0" applyNumberFormat="1" applyFont="1" applyBorder="1" applyAlignment="1">
      <alignment vertical="center"/>
    </xf>
    <xf numFmtId="175" fontId="14" fillId="0" borderId="110" xfId="0" applyNumberFormat="1" applyFont="1" applyBorder="1" applyAlignment="1">
      <alignment vertical="center"/>
    </xf>
    <xf numFmtId="0" fontId="13" fillId="9" borderId="107" xfId="0" applyFont="1" applyFill="1" applyBorder="1" applyAlignment="1">
      <alignment horizontal="center" vertical="center"/>
    </xf>
    <xf numFmtId="10" fontId="22" fillId="0" borderId="107" xfId="0" applyNumberFormat="1" applyFont="1" applyBorder="1" applyAlignment="1">
      <alignment vertical="center"/>
    </xf>
    <xf numFmtId="0" fontId="21" fillId="13" borderId="27" xfId="0" applyFont="1" applyFill="1" applyBorder="1" applyAlignment="1">
      <alignment vertical="center"/>
    </xf>
    <xf numFmtId="9" fontId="22" fillId="0" borderId="107" xfId="0" applyNumberFormat="1" applyFont="1" applyBorder="1" applyAlignment="1">
      <alignment vertical="center"/>
    </xf>
    <xf numFmtId="169" fontId="13" fillId="9" borderId="105" xfId="0" applyNumberFormat="1" applyFont="1" applyFill="1" applyBorder="1" applyAlignment="1">
      <alignment horizontal="center" vertical="center"/>
    </xf>
    <xf numFmtId="0" fontId="45" fillId="0" borderId="109" xfId="0" applyFont="1" applyBorder="1"/>
    <xf numFmtId="176" fontId="45" fillId="0" borderId="111" xfId="0" applyNumberFormat="1" applyFont="1" applyBorder="1" applyAlignment="1">
      <alignment horizontal="right"/>
    </xf>
    <xf numFmtId="0" fontId="44" fillId="0" borderId="109" xfId="0" applyFont="1" applyBorder="1"/>
    <xf numFmtId="176" fontId="44" fillId="0" borderId="111" xfId="0" applyNumberFormat="1" applyFont="1" applyBorder="1" applyAlignment="1">
      <alignment horizontal="right"/>
    </xf>
    <xf numFmtId="169" fontId="44" fillId="0" borderId="111" xfId="0" applyNumberFormat="1" applyFont="1" applyBorder="1" applyAlignment="1">
      <alignment horizontal="right"/>
    </xf>
    <xf numFmtId="169" fontId="43" fillId="0" borderId="110" xfId="0" applyNumberFormat="1" applyFont="1" applyBorder="1" applyAlignment="1">
      <alignment horizontal="right"/>
    </xf>
    <xf numFmtId="172" fontId="13" fillId="0" borderId="111" xfId="0" applyNumberFormat="1" applyFont="1" applyBorder="1"/>
    <xf numFmtId="172" fontId="13" fillId="0" borderId="110" xfId="0" applyNumberFormat="1" applyFont="1" applyBorder="1"/>
    <xf numFmtId="172" fontId="3" fillId="18" borderId="66" xfId="0" applyNumberFormat="1" applyFont="1" applyFill="1" applyBorder="1"/>
    <xf numFmtId="10" fontId="3" fillId="18" borderId="69" xfId="0" applyNumberFormat="1" applyFont="1" applyFill="1" applyBorder="1"/>
    <xf numFmtId="4" fontId="3" fillId="18" borderId="69" xfId="0" applyNumberFormat="1" applyFont="1" applyFill="1" applyBorder="1"/>
    <xf numFmtId="172" fontId="3" fillId="18" borderId="71" xfId="0" applyNumberFormat="1" applyFont="1" applyFill="1" applyBorder="1"/>
    <xf numFmtId="10" fontId="3" fillId="18" borderId="57" xfId="0" applyNumberFormat="1" applyFont="1" applyFill="1" applyBorder="1"/>
    <xf numFmtId="172" fontId="3" fillId="18" borderId="57" xfId="0" applyNumberFormat="1" applyFont="1" applyFill="1" applyBorder="1"/>
    <xf numFmtId="172" fontId="3" fillId="18" borderId="54" xfId="0" applyNumberFormat="1" applyFont="1" applyFill="1" applyBorder="1"/>
    <xf numFmtId="10" fontId="3" fillId="18" borderId="78" xfId="0" applyNumberFormat="1" applyFont="1" applyFill="1" applyBorder="1"/>
    <xf numFmtId="172" fontId="3" fillId="18" borderId="79" xfId="0" applyNumberFormat="1" applyFont="1" applyFill="1" applyBorder="1"/>
    <xf numFmtId="172" fontId="3" fillId="18" borderId="57" xfId="0" applyNumberFormat="1" applyFont="1" applyFill="1" applyBorder="1" applyAlignment="1">
      <alignment horizontal="center"/>
    </xf>
    <xf numFmtId="172" fontId="3" fillId="18" borderId="78" xfId="0" applyNumberFormat="1" applyFont="1" applyFill="1" applyBorder="1"/>
    <xf numFmtId="10" fontId="16" fillId="0" borderId="111" xfId="0" applyNumberFormat="1" applyFont="1" applyBorder="1" applyAlignment="1">
      <alignment horizontal="center" vertical="center"/>
    </xf>
    <xf numFmtId="0" fontId="14" fillId="8" borderId="38" xfId="0" applyFont="1" applyFill="1" applyBorder="1"/>
    <xf numFmtId="10" fontId="21" fillId="0" borderId="111" xfId="0" applyNumberFormat="1" applyFont="1" applyBorder="1" applyAlignment="1">
      <alignment horizontal="center" vertical="center"/>
    </xf>
    <xf numFmtId="3" fontId="21" fillId="0" borderId="111" xfId="0" applyNumberFormat="1" applyFont="1" applyBorder="1" applyAlignment="1">
      <alignment horizontal="center" vertical="center"/>
    </xf>
    <xf numFmtId="169" fontId="3" fillId="0" borderId="0" xfId="0" applyNumberFormat="1" applyFont="1"/>
    <xf numFmtId="0" fontId="13" fillId="0" borderId="32" xfId="0" applyFont="1" applyBorder="1" applyAlignment="1">
      <alignment vertical="center"/>
    </xf>
    <xf numFmtId="0" fontId="13" fillId="9" borderId="113" xfId="0" applyFont="1" applyFill="1" applyBorder="1" applyAlignment="1">
      <alignment vertical="center" wrapText="1"/>
    </xf>
    <xf numFmtId="169" fontId="14" fillId="8" borderId="112" xfId="0" applyNumberFormat="1" applyFont="1" applyFill="1" applyBorder="1" applyAlignment="1">
      <alignment horizontal="center" vertical="center"/>
    </xf>
    <xf numFmtId="169" fontId="30" fillId="12" borderId="112" xfId="0" applyNumberFormat="1" applyFont="1" applyFill="1" applyBorder="1" applyAlignment="1">
      <alignment horizontal="left" vertical="center"/>
    </xf>
    <xf numFmtId="0" fontId="60" fillId="5" borderId="1" xfId="0" applyFont="1" applyFill="1" applyBorder="1"/>
    <xf numFmtId="0" fontId="60" fillId="5" borderId="4" xfId="0" applyFont="1" applyFill="1" applyBorder="1"/>
    <xf numFmtId="164" fontId="61" fillId="6" borderId="1" xfId="0" applyNumberFormat="1" applyFont="1" applyFill="1" applyBorder="1"/>
    <xf numFmtId="164" fontId="61" fillId="6" borderId="4" xfId="0" applyNumberFormat="1" applyFont="1" applyFill="1" applyBorder="1"/>
    <xf numFmtId="164" fontId="60" fillId="6" borderId="4" xfId="0" applyNumberFormat="1" applyFont="1" applyFill="1" applyBorder="1"/>
    <xf numFmtId="9" fontId="13" fillId="0" borderId="1" xfId="0" applyNumberFormat="1" applyFont="1" applyBorder="1" applyAlignment="1">
      <alignment vertical="center"/>
    </xf>
    <xf numFmtId="0" fontId="13" fillId="0" borderId="15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3" fontId="20" fillId="0" borderId="33" xfId="0" applyNumberFormat="1" applyFont="1" applyBorder="1" applyAlignment="1">
      <alignment horizontal="center" vertical="center"/>
    </xf>
    <xf numFmtId="169" fontId="13" fillId="0" borderId="0" xfId="0" applyNumberFormat="1" applyFont="1" applyAlignment="1">
      <alignment vertical="center"/>
    </xf>
    <xf numFmtId="169" fontId="13" fillId="0" borderId="22" xfId="0" applyNumberFormat="1" applyFont="1" applyBorder="1" applyAlignment="1">
      <alignment horizontal="center" vertical="center" wrapText="1"/>
    </xf>
    <xf numFmtId="9" fontId="22" fillId="0" borderId="15" xfId="0" applyNumberFormat="1" applyFont="1" applyBorder="1" applyAlignment="1">
      <alignment vertical="center"/>
    </xf>
    <xf numFmtId="0" fontId="18" fillId="0" borderId="15" xfId="0" applyFont="1" applyBorder="1"/>
    <xf numFmtId="172" fontId="13" fillId="0" borderId="0" xfId="0" quotePrefix="1" applyNumberFormat="1" applyFont="1"/>
    <xf numFmtId="3" fontId="13" fillId="30" borderId="15" xfId="0" applyNumberFormat="1" applyFont="1" applyFill="1" applyBorder="1" applyAlignment="1">
      <alignment horizontal="center" vertical="center"/>
    </xf>
    <xf numFmtId="169" fontId="13" fillId="30" borderId="16" xfId="0" applyNumberFormat="1" applyFont="1" applyFill="1" applyBorder="1" applyAlignment="1">
      <alignment vertical="center"/>
    </xf>
    <xf numFmtId="169" fontId="13" fillId="30" borderId="17" xfId="0" applyNumberFormat="1" applyFont="1" applyFill="1" applyBorder="1" applyAlignment="1">
      <alignment vertical="center"/>
    </xf>
    <xf numFmtId="166" fontId="0" fillId="0" borderId="0" xfId="0" applyNumberFormat="1"/>
    <xf numFmtId="187" fontId="0" fillId="0" borderId="0" xfId="0" applyNumberFormat="1"/>
    <xf numFmtId="188" fontId="0" fillId="0" borderId="0" xfId="0" applyNumberFormat="1"/>
    <xf numFmtId="0" fontId="16" fillId="0" borderId="6" xfId="0" applyFont="1" applyBorder="1" applyAlignment="1">
      <alignment horizontal="center"/>
    </xf>
    <xf numFmtId="0" fontId="18" fillId="0" borderId="6" xfId="0" applyFont="1" applyBorder="1"/>
    <xf numFmtId="0" fontId="18" fillId="0" borderId="3" xfId="0" applyFont="1" applyBorder="1"/>
    <xf numFmtId="172" fontId="16" fillId="0" borderId="0" xfId="0" applyNumberFormat="1" applyFont="1" applyAlignment="1">
      <alignment horizontal="center" vertical="center"/>
    </xf>
    <xf numFmtId="0" fontId="18" fillId="0" borderId="111" xfId="0" applyFont="1" applyBorder="1"/>
    <xf numFmtId="0" fontId="0" fillId="0" borderId="0" xfId="0"/>
    <xf numFmtId="0" fontId="18" fillId="0" borderId="36" xfId="0" applyFont="1" applyBorder="1"/>
    <xf numFmtId="0" fontId="18" fillId="0" borderId="110" xfId="0" applyFont="1" applyBorder="1"/>
    <xf numFmtId="172" fontId="16" fillId="16" borderId="111" xfId="0" applyNumberFormat="1" applyFont="1" applyFill="1" applyBorder="1" applyAlignment="1">
      <alignment horizontal="center" vertical="center"/>
    </xf>
    <xf numFmtId="0" fontId="18" fillId="0" borderId="48" xfId="0" applyFont="1" applyBorder="1"/>
    <xf numFmtId="172" fontId="25" fillId="21" borderId="111" xfId="0" applyNumberFormat="1" applyFont="1" applyFill="1" applyBorder="1" applyAlignment="1">
      <alignment horizontal="center" vertical="center"/>
    </xf>
    <xf numFmtId="172" fontId="16" fillId="17" borderId="36" xfId="0" applyNumberFormat="1" applyFont="1" applyFill="1" applyBorder="1" applyAlignment="1">
      <alignment horizontal="center"/>
    </xf>
    <xf numFmtId="172" fontId="25" fillId="19" borderId="6" xfId="0" applyNumberFormat="1" applyFont="1" applyFill="1" applyBorder="1" applyAlignment="1">
      <alignment horizontal="center"/>
    </xf>
    <xf numFmtId="172" fontId="25" fillId="18" borderId="111" xfId="0" applyNumberFormat="1" applyFont="1" applyFill="1" applyBorder="1" applyAlignment="1">
      <alignment horizontal="center" vertical="center"/>
    </xf>
    <xf numFmtId="172" fontId="25" fillId="19" borderId="36" xfId="0" applyNumberFormat="1" applyFont="1" applyFill="1" applyBorder="1" applyAlignment="1">
      <alignment horizontal="center"/>
    </xf>
    <xf numFmtId="0" fontId="18" fillId="0" borderId="52" xfId="0" applyFont="1" applyBorder="1"/>
    <xf numFmtId="172" fontId="16" fillId="22" borderId="36" xfId="0" applyNumberFormat="1" applyFont="1" applyFill="1" applyBorder="1" applyAlignment="1">
      <alignment horizontal="center"/>
    </xf>
    <xf numFmtId="0" fontId="18" fillId="0" borderId="64" xfId="0" applyFont="1" applyBorder="1"/>
    <xf numFmtId="172" fontId="16" fillId="23" borderId="36" xfId="0" applyNumberFormat="1" applyFont="1" applyFill="1" applyBorder="1" applyAlignment="1">
      <alignment horizontal="center"/>
    </xf>
    <xf numFmtId="172" fontId="34" fillId="0" borderId="0" xfId="0" applyNumberFormat="1" applyFont="1" applyAlignment="1">
      <alignment horizontal="center"/>
    </xf>
    <xf numFmtId="172" fontId="21" fillId="16" borderId="5" xfId="0" applyNumberFormat="1" applyFont="1" applyFill="1" applyBorder="1" applyAlignment="1">
      <alignment horizontal="center" vertical="center" wrapText="1"/>
    </xf>
    <xf numFmtId="0" fontId="18" fillId="0" borderId="5" xfId="0" applyFont="1" applyBorder="1"/>
    <xf numFmtId="172" fontId="21" fillId="17" borderId="36" xfId="0" applyNumberFormat="1" applyFont="1" applyFill="1" applyBorder="1" applyAlignment="1">
      <alignment horizontal="center"/>
    </xf>
    <xf numFmtId="172" fontId="47" fillId="18" borderId="5" xfId="0" applyNumberFormat="1" applyFont="1" applyFill="1" applyBorder="1" applyAlignment="1">
      <alignment horizontal="center" vertical="center" textRotation="90"/>
    </xf>
    <xf numFmtId="172" fontId="21" fillId="19" borderId="36" xfId="0" applyNumberFormat="1" applyFont="1" applyFill="1" applyBorder="1" applyAlignment="1">
      <alignment horizontal="center"/>
    </xf>
    <xf numFmtId="177" fontId="16" fillId="0" borderId="6" xfId="0" applyNumberFormat="1" applyFont="1" applyBorder="1" applyAlignment="1">
      <alignment horizontal="center"/>
    </xf>
    <xf numFmtId="172" fontId="21" fillId="22" borderId="36" xfId="0" applyNumberFormat="1" applyFont="1" applyFill="1" applyBorder="1" applyAlignment="1">
      <alignment horizontal="center"/>
    </xf>
    <xf numFmtId="0" fontId="12" fillId="0" borderId="0" xfId="0" applyFont="1" applyAlignment="1">
      <alignment horizontal="left" vertical="center"/>
    </xf>
    <xf numFmtId="0" fontId="17" fillId="7" borderId="27" xfId="0" applyFont="1" applyFill="1" applyBorder="1" applyAlignment="1">
      <alignment horizontal="center" vertical="center"/>
    </xf>
    <xf numFmtId="0" fontId="18" fillId="0" borderId="7" xfId="0" applyFont="1" applyBorder="1"/>
    <xf numFmtId="0" fontId="18" fillId="0" borderId="28" xfId="0" applyFont="1" applyBorder="1"/>
    <xf numFmtId="0" fontId="17" fillId="8" borderId="27" xfId="0" applyFont="1" applyFill="1" applyBorder="1" applyAlignment="1">
      <alignment horizontal="center" vertical="center"/>
    </xf>
    <xf numFmtId="0" fontId="16" fillId="7" borderId="27" xfId="0" applyFont="1" applyFill="1" applyBorder="1" applyAlignment="1">
      <alignment horizontal="center" vertical="center"/>
    </xf>
    <xf numFmtId="0" fontId="16" fillId="8" borderId="27" xfId="0" applyFont="1" applyFill="1" applyBorder="1" applyAlignment="1">
      <alignment horizontal="center" vertical="center"/>
    </xf>
    <xf numFmtId="169" fontId="21" fillId="7" borderId="24" xfId="0" applyNumberFormat="1" applyFont="1" applyFill="1" applyBorder="1" applyAlignment="1">
      <alignment horizontal="center" vertical="center"/>
    </xf>
    <xf numFmtId="172" fontId="16" fillId="7" borderId="27" xfId="0" applyNumberFormat="1" applyFont="1" applyFill="1" applyBorder="1" applyAlignment="1">
      <alignment horizontal="center" vertical="center"/>
    </xf>
    <xf numFmtId="173" fontId="14" fillId="8" borderId="24" xfId="0" applyNumberFormat="1" applyFont="1" applyFill="1" applyBorder="1" applyAlignment="1">
      <alignment horizontal="right" vertical="center"/>
    </xf>
    <xf numFmtId="168" fontId="25" fillId="0" borderId="107" xfId="0" applyNumberFormat="1" applyFont="1" applyBorder="1" applyAlignment="1">
      <alignment vertical="center"/>
    </xf>
    <xf numFmtId="0" fontId="18" fillId="0" borderId="33" xfId="0" applyFont="1" applyBorder="1"/>
    <xf numFmtId="169" fontId="26" fillId="9" borderId="105" xfId="0" applyNumberFormat="1" applyFont="1" applyFill="1" applyBorder="1" applyAlignment="1">
      <alignment vertical="center"/>
    </xf>
    <xf numFmtId="0" fontId="18" fillId="0" borderId="22" xfId="0" applyFont="1" applyBorder="1"/>
    <xf numFmtId="3" fontId="31" fillId="12" borderId="42" xfId="0" applyNumberFormat="1" applyFont="1" applyFill="1" applyBorder="1" applyAlignment="1">
      <alignment horizontal="center" vertical="center"/>
    </xf>
    <xf numFmtId="0" fontId="18" fillId="0" borderId="4" xfId="0" applyFont="1" applyBorder="1"/>
    <xf numFmtId="169" fontId="31" fillId="12" borderId="43" xfId="0" applyNumberFormat="1" applyFont="1" applyFill="1" applyBorder="1" applyAlignment="1">
      <alignment horizontal="center" vertical="center"/>
    </xf>
    <xf numFmtId="0" fontId="18" fillId="0" borderId="44" xfId="0" applyFont="1" applyBorder="1"/>
    <xf numFmtId="0" fontId="18" fillId="0" borderId="47" xfId="0" applyFont="1" applyBorder="1"/>
    <xf numFmtId="169" fontId="30" fillId="12" borderId="42" xfId="0" applyNumberFormat="1" applyFont="1" applyFill="1" applyBorder="1" applyAlignment="1">
      <alignment horizontal="center" vertical="center"/>
    </xf>
    <xf numFmtId="0" fontId="18" fillId="0" borderId="46" xfId="0" applyFont="1" applyBorder="1"/>
    <xf numFmtId="169" fontId="34" fillId="12" borderId="43" xfId="0" applyNumberFormat="1" applyFont="1" applyFill="1" applyBorder="1" applyAlignment="1">
      <alignment horizontal="center" vertical="center"/>
    </xf>
    <xf numFmtId="0" fontId="18" fillId="0" borderId="45" xfId="0" applyFont="1" applyBorder="1"/>
    <xf numFmtId="168" fontId="13" fillId="0" borderId="0" xfId="0" applyNumberFormat="1" applyFont="1" applyAlignment="1">
      <alignment vertical="center"/>
    </xf>
    <xf numFmtId="10" fontId="14" fillId="4" borderId="24" xfId="0" applyNumberFormat="1" applyFont="1" applyFill="1" applyBorder="1" applyAlignment="1">
      <alignment horizontal="center" vertical="center"/>
    </xf>
    <xf numFmtId="169" fontId="14" fillId="8" borderId="37" xfId="0" applyNumberFormat="1" applyFont="1" applyFill="1" applyBorder="1" applyAlignment="1">
      <alignment horizontal="center" vertical="center"/>
    </xf>
    <xf numFmtId="173" fontId="14" fillId="8" borderId="37" xfId="0" applyNumberFormat="1" applyFont="1" applyFill="1" applyBorder="1" applyAlignment="1">
      <alignment horizontal="center" vertical="center"/>
    </xf>
    <xf numFmtId="173" fontId="14" fillId="8" borderId="24" xfId="0" applyNumberFormat="1" applyFont="1" applyFill="1" applyBorder="1" applyAlignment="1">
      <alignment horizontal="center" vertical="center"/>
    </xf>
    <xf numFmtId="169" fontId="32" fillId="12" borderId="43" xfId="0" applyNumberFormat="1" applyFont="1" applyFill="1" applyBorder="1" applyAlignment="1">
      <alignment horizontal="center" vertical="center"/>
    </xf>
    <xf numFmtId="169" fontId="33" fillId="12" borderId="43" xfId="0" applyNumberFormat="1" applyFont="1" applyFill="1" applyBorder="1" applyAlignment="1">
      <alignment horizontal="center" vertical="center"/>
    </xf>
    <xf numFmtId="169" fontId="32" fillId="13" borderId="50" xfId="0" applyNumberFormat="1" applyFont="1" applyFill="1" applyBorder="1" applyAlignment="1">
      <alignment horizontal="center" vertical="center"/>
    </xf>
    <xf numFmtId="0" fontId="18" fillId="0" borderId="51" xfId="0" applyFont="1" applyBorder="1"/>
    <xf numFmtId="0" fontId="18" fillId="0" borderId="2" xfId="0" applyFont="1" applyBorder="1"/>
    <xf numFmtId="169" fontId="62" fillId="14" borderId="24" xfId="0" applyNumberFormat="1" applyFont="1" applyFill="1" applyBorder="1" applyAlignment="1">
      <alignment horizontal="center" vertical="center"/>
    </xf>
    <xf numFmtId="0" fontId="63" fillId="0" borderId="7" xfId="0" applyFont="1" applyBorder="1"/>
    <xf numFmtId="0" fontId="63" fillId="0" borderId="28" xfId="0" applyFont="1" applyBorder="1"/>
    <xf numFmtId="169" fontId="14" fillId="14" borderId="24" xfId="0" applyNumberFormat="1" applyFont="1" applyFill="1" applyBorder="1" applyAlignment="1">
      <alignment horizontal="center" vertical="center"/>
    </xf>
    <xf numFmtId="169" fontId="46" fillId="14" borderId="24" xfId="0" applyNumberFormat="1" applyFont="1" applyFill="1" applyBorder="1" applyAlignment="1">
      <alignment horizontal="center" vertical="center"/>
    </xf>
    <xf numFmtId="0" fontId="7" fillId="25" borderId="0" xfId="0" applyFont="1" applyFill="1" applyAlignment="1">
      <alignment horizontal="center" vertical="center"/>
    </xf>
    <xf numFmtId="172" fontId="21" fillId="16" borderId="66" xfId="0" applyNumberFormat="1" applyFont="1" applyFill="1" applyBorder="1" applyAlignment="1">
      <alignment horizontal="center" wrapText="1"/>
    </xf>
    <xf numFmtId="0" fontId="18" fillId="0" borderId="71" xfId="0" applyFont="1" applyBorder="1"/>
    <xf numFmtId="0" fontId="18" fillId="0" borderId="73" xfId="0" applyFont="1" applyBorder="1"/>
    <xf numFmtId="172" fontId="21" fillId="16" borderId="71" xfId="0" applyNumberFormat="1" applyFont="1" applyFill="1" applyBorder="1" applyAlignment="1">
      <alignment horizontal="center" vertical="center" wrapText="1"/>
    </xf>
    <xf numFmtId="0" fontId="18" fillId="0" borderId="76" xfId="0" applyFont="1" applyBorder="1"/>
    <xf numFmtId="172" fontId="21" fillId="8" borderId="36" xfId="0" applyNumberFormat="1" applyFont="1" applyFill="1" applyBorder="1" applyAlignment="1">
      <alignment horizontal="center"/>
    </xf>
    <xf numFmtId="172" fontId="21" fillId="28" borderId="36" xfId="0" applyNumberFormat="1" applyFont="1" applyFill="1" applyBorder="1" applyAlignment="1">
      <alignment horizontal="center"/>
    </xf>
    <xf numFmtId="172" fontId="52" fillId="18" borderId="70" xfId="0" applyNumberFormat="1" applyFont="1" applyFill="1" applyBorder="1" applyAlignment="1">
      <alignment horizontal="center" vertical="center"/>
    </xf>
    <xf numFmtId="0" fontId="18" fillId="0" borderId="72" xfId="0" applyFont="1" applyBorder="1"/>
    <xf numFmtId="0" fontId="18" fillId="0" borderId="80" xfId="0" applyFont="1" applyBorder="1"/>
    <xf numFmtId="172" fontId="16" fillId="0" borderId="6" xfId="0" applyNumberFormat="1" applyFont="1" applyBorder="1" applyAlignment="1">
      <alignment horizontal="center"/>
    </xf>
    <xf numFmtId="172" fontId="16" fillId="16" borderId="70" xfId="0" applyNumberFormat="1" applyFont="1" applyFill="1" applyBorder="1" applyAlignment="1">
      <alignment horizontal="center"/>
    </xf>
    <xf numFmtId="0" fontId="18" fillId="0" borderId="74" xfId="0" applyFont="1" applyBorder="1"/>
    <xf numFmtId="0" fontId="55" fillId="3" borderId="0" xfId="0" applyFont="1" applyFill="1"/>
    <xf numFmtId="0" fontId="16" fillId="7" borderId="99" xfId="0" applyFont="1" applyFill="1" applyBorder="1" applyAlignment="1">
      <alignment horizontal="center" vertical="center"/>
    </xf>
    <xf numFmtId="0" fontId="18" fillId="0" borderId="100" xfId="0" applyFont="1" applyBorder="1"/>
    <xf numFmtId="0" fontId="16" fillId="8" borderId="27" xfId="0" applyFont="1" applyFill="1" applyBorder="1" applyAlignment="1">
      <alignment horizontal="center"/>
    </xf>
    <xf numFmtId="0" fontId="16" fillId="7" borderId="87" xfId="0" applyFont="1" applyFill="1" applyBorder="1" applyAlignment="1">
      <alignment horizontal="center" vertical="center"/>
    </xf>
    <xf numFmtId="0" fontId="18" fillId="0" borderId="88" xfId="0" applyFont="1" applyBorder="1"/>
    <xf numFmtId="0" fontId="12" fillId="0" borderId="0" xfId="0" applyFont="1" applyAlignment="1">
      <alignment horizontal="right" vertical="center"/>
    </xf>
    <xf numFmtId="169" fontId="14" fillId="8" borderId="108" xfId="0" applyNumberFormat="1" applyFont="1" applyFill="1" applyBorder="1" applyAlignment="1">
      <alignment horizontal="center" vertical="center"/>
    </xf>
    <xf numFmtId="0" fontId="18" fillId="0" borderId="112" xfId="0" applyFont="1" applyBorder="1"/>
    <xf numFmtId="169" fontId="14" fillId="8" borderId="24" xfId="0" applyNumberFormat="1" applyFont="1" applyFill="1" applyBorder="1" applyAlignment="1">
      <alignment horizontal="center" vertical="center"/>
    </xf>
    <xf numFmtId="169" fontId="30" fillId="12" borderId="112" xfId="0" applyNumberFormat="1" applyFont="1" applyFill="1" applyBorder="1" applyAlignment="1">
      <alignment horizontal="right" vertical="center"/>
    </xf>
    <xf numFmtId="0" fontId="57" fillId="0" borderId="0" xfId="0" applyFont="1" applyAlignment="1">
      <alignment horizontal="right" vertical="center"/>
    </xf>
  </cellXfs>
  <cellStyles count="1">
    <cellStyle name="Normal" xfId="0" builtinId="0"/>
  </cellStyles>
  <dxfs count="16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0000"/>
      </font>
      <fill>
        <patternFill patternType="solid">
          <fgColor rgb="FFB7E1CD"/>
          <bgColor rgb="FFB7E1CD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FF0000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9"/>
  <sheetViews>
    <sheetView workbookViewId="0">
      <selection activeCell="E19" sqref="E19"/>
    </sheetView>
  </sheetViews>
  <sheetFormatPr baseColWidth="10" defaultColWidth="12.6640625" defaultRowHeight="15" customHeight="1" x14ac:dyDescent="0.15"/>
  <cols>
    <col min="1" max="1" width="20.6640625" customWidth="1"/>
    <col min="2" max="2" width="12" customWidth="1"/>
    <col min="3" max="3" width="10.6640625" customWidth="1"/>
    <col min="4" max="4" width="9.1640625" customWidth="1"/>
    <col min="5" max="5" width="22.1640625" customWidth="1"/>
    <col min="6" max="6" width="25.1640625" customWidth="1"/>
    <col min="7" max="7" width="14" customWidth="1"/>
    <col min="8" max="8" width="20" customWidth="1"/>
    <col min="9" max="9" width="19.6640625" customWidth="1"/>
    <col min="10" max="10" width="14.33203125" customWidth="1"/>
    <col min="11" max="11" width="10.6640625" customWidth="1"/>
    <col min="12" max="12" width="20.83203125" customWidth="1"/>
    <col min="13" max="13" width="17.1640625" customWidth="1"/>
    <col min="14" max="22" width="10.6640625" customWidth="1"/>
    <col min="23" max="23" width="12" customWidth="1"/>
    <col min="24" max="26" width="10.6640625" customWidth="1"/>
  </cols>
  <sheetData>
    <row r="1" spans="1:23" ht="13.5" customHeight="1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W1" s="3" t="s">
        <v>18</v>
      </c>
    </row>
    <row r="2" spans="1:23" ht="13.5" customHeight="1" x14ac:dyDescent="0.15">
      <c r="A2" s="4" t="s">
        <v>19</v>
      </c>
      <c r="B2" s="5" t="s">
        <v>18</v>
      </c>
      <c r="C2" s="6">
        <v>1304</v>
      </c>
      <c r="D2" s="7" t="s">
        <v>20</v>
      </c>
      <c r="E2" s="8">
        <v>13.5</v>
      </c>
      <c r="F2" s="9">
        <f t="shared" ref="F2:F10" si="0">E2*$B$19</f>
        <v>329.4</v>
      </c>
      <c r="G2" s="9">
        <f t="shared" ref="G2:G10" si="1">C2*F2</f>
        <v>429537.6</v>
      </c>
      <c r="H2" s="9">
        <f t="shared" ref="H2:H10" si="2">G2*0.21</f>
        <v>90202.895999999993</v>
      </c>
      <c r="I2" s="9">
        <v>38</v>
      </c>
      <c r="J2" s="9">
        <f t="shared" ref="J2:J10" si="3">I2*C2</f>
        <v>49552</v>
      </c>
      <c r="K2" s="9">
        <f t="shared" ref="K2:K10" si="4">J2*0.21</f>
        <v>10405.92</v>
      </c>
      <c r="L2" s="9">
        <f t="shared" ref="L2:L12" si="5">G2+J2</f>
        <v>479089.6</v>
      </c>
      <c r="M2" s="9">
        <f t="shared" ref="M2" si="6">L2+K2+H2</f>
        <v>579698.41599999997</v>
      </c>
      <c r="N2" s="3"/>
      <c r="O2" s="3"/>
      <c r="P2" s="3"/>
      <c r="Q2" s="3"/>
      <c r="R2" s="3"/>
      <c r="W2" s="3" t="s">
        <v>21</v>
      </c>
    </row>
    <row r="3" spans="1:23" ht="13.5" customHeight="1" x14ac:dyDescent="0.15">
      <c r="A3" s="4"/>
      <c r="B3" s="5"/>
      <c r="C3" s="6"/>
      <c r="D3" s="11" t="s">
        <v>20</v>
      </c>
      <c r="E3" s="8"/>
      <c r="F3" s="9"/>
      <c r="G3" s="9">
        <f t="shared" si="1"/>
        <v>0</v>
      </c>
      <c r="H3" s="12"/>
      <c r="I3" s="9"/>
      <c r="J3" s="9">
        <f t="shared" si="3"/>
        <v>0</v>
      </c>
      <c r="K3" s="9">
        <f t="shared" si="4"/>
        <v>0</v>
      </c>
      <c r="L3" s="12">
        <f t="shared" si="5"/>
        <v>0</v>
      </c>
      <c r="M3" s="9"/>
      <c r="N3" s="3"/>
      <c r="O3" s="3"/>
      <c r="P3" s="3"/>
      <c r="Q3" s="3"/>
      <c r="R3" s="3"/>
      <c r="W3" s="3" t="s">
        <v>22</v>
      </c>
    </row>
    <row r="4" spans="1:23" ht="13.5" customHeight="1" x14ac:dyDescent="0.15">
      <c r="A4" s="4" t="s">
        <v>23</v>
      </c>
      <c r="B4" s="10" t="s">
        <v>22</v>
      </c>
      <c r="C4" s="6">
        <v>1</v>
      </c>
      <c r="D4" s="11" t="s">
        <v>20</v>
      </c>
      <c r="E4" s="8">
        <v>1280</v>
      </c>
      <c r="F4" s="9">
        <f t="shared" si="0"/>
        <v>31232</v>
      </c>
      <c r="G4" s="9">
        <f t="shared" si="1"/>
        <v>31232</v>
      </c>
      <c r="H4" s="12">
        <f t="shared" si="2"/>
        <v>6558.7199999999993</v>
      </c>
      <c r="I4" s="9">
        <v>38</v>
      </c>
      <c r="J4" s="9">
        <f t="shared" si="3"/>
        <v>38</v>
      </c>
      <c r="K4" s="9">
        <f t="shared" si="4"/>
        <v>7.9799999999999995</v>
      </c>
      <c r="L4" s="12">
        <f t="shared" si="5"/>
        <v>31270</v>
      </c>
      <c r="M4" s="12">
        <v>0</v>
      </c>
      <c r="N4" s="3"/>
      <c r="O4" s="3"/>
      <c r="P4" s="3"/>
      <c r="Q4" s="3"/>
      <c r="R4" s="3"/>
    </row>
    <row r="5" spans="1:23" ht="13.5" customHeight="1" x14ac:dyDescent="0.15">
      <c r="A5" s="4" t="s">
        <v>24</v>
      </c>
      <c r="B5" s="10" t="s">
        <v>21</v>
      </c>
      <c r="C5" s="6">
        <v>300</v>
      </c>
      <c r="D5" s="11" t="s">
        <v>20</v>
      </c>
      <c r="E5" s="8">
        <v>15</v>
      </c>
      <c r="F5" s="9">
        <f t="shared" si="0"/>
        <v>366</v>
      </c>
      <c r="G5" s="9">
        <f t="shared" si="1"/>
        <v>109800</v>
      </c>
      <c r="H5" s="9">
        <f t="shared" si="2"/>
        <v>23058</v>
      </c>
      <c r="I5" s="9">
        <v>38</v>
      </c>
      <c r="J5" s="9">
        <f t="shared" si="3"/>
        <v>11400</v>
      </c>
      <c r="K5" s="9">
        <f t="shared" si="4"/>
        <v>2394</v>
      </c>
      <c r="L5" s="12">
        <f t="shared" si="5"/>
        <v>121200</v>
      </c>
      <c r="M5" s="12">
        <v>0</v>
      </c>
      <c r="N5" s="3"/>
      <c r="O5" s="3"/>
      <c r="P5" s="3"/>
      <c r="Q5" s="3"/>
      <c r="R5" s="3"/>
    </row>
    <row r="6" spans="1:23" ht="13.5" customHeight="1" x14ac:dyDescent="0.15">
      <c r="A6" s="4" t="s">
        <v>25</v>
      </c>
      <c r="B6" s="10" t="s">
        <v>21</v>
      </c>
      <c r="C6" s="13">
        <v>55</v>
      </c>
      <c r="D6" s="11" t="s">
        <v>20</v>
      </c>
      <c r="E6" s="8">
        <v>60</v>
      </c>
      <c r="F6" s="9">
        <f t="shared" si="0"/>
        <v>1464</v>
      </c>
      <c r="G6" s="9">
        <f t="shared" si="1"/>
        <v>80520</v>
      </c>
      <c r="H6" s="12">
        <f t="shared" si="2"/>
        <v>16909.2</v>
      </c>
      <c r="I6" s="9">
        <v>38</v>
      </c>
      <c r="J6" s="9">
        <f t="shared" si="3"/>
        <v>2090</v>
      </c>
      <c r="K6" s="9">
        <f t="shared" si="4"/>
        <v>438.9</v>
      </c>
      <c r="L6" s="12">
        <f t="shared" si="5"/>
        <v>82610</v>
      </c>
      <c r="M6" s="12">
        <f t="shared" ref="M6:M10" si="7">L6+K6+H6</f>
        <v>99958.099999999991</v>
      </c>
      <c r="N6" s="3"/>
      <c r="O6" s="3"/>
      <c r="P6" s="3"/>
      <c r="Q6" s="3"/>
      <c r="R6" s="3"/>
    </row>
    <row r="7" spans="1:23" ht="13.5" customHeight="1" x14ac:dyDescent="0.15">
      <c r="A7" s="4" t="s">
        <v>26</v>
      </c>
      <c r="B7" s="10" t="s">
        <v>18</v>
      </c>
      <c r="C7" s="13">
        <v>500</v>
      </c>
      <c r="D7" s="11" t="s">
        <v>20</v>
      </c>
      <c r="E7" s="8">
        <v>9</v>
      </c>
      <c r="F7" s="9">
        <f t="shared" si="0"/>
        <v>219.6</v>
      </c>
      <c r="G7" s="9">
        <f t="shared" si="1"/>
        <v>109800</v>
      </c>
      <c r="H7" s="12">
        <f t="shared" si="2"/>
        <v>23058</v>
      </c>
      <c r="I7" s="9">
        <v>38</v>
      </c>
      <c r="J7" s="9">
        <f t="shared" si="3"/>
        <v>19000</v>
      </c>
      <c r="K7" s="9">
        <f t="shared" si="4"/>
        <v>3990</v>
      </c>
      <c r="L7" s="12">
        <f t="shared" si="5"/>
        <v>128800</v>
      </c>
      <c r="M7" s="12">
        <f t="shared" si="7"/>
        <v>155848</v>
      </c>
      <c r="N7" s="3"/>
      <c r="O7" s="3"/>
      <c r="P7" s="3"/>
      <c r="Q7" s="3"/>
      <c r="R7" s="3"/>
    </row>
    <row r="8" spans="1:23" ht="13.5" customHeight="1" x14ac:dyDescent="0.15">
      <c r="A8" s="4" t="s">
        <v>27</v>
      </c>
      <c r="B8" s="10" t="s">
        <v>18</v>
      </c>
      <c r="C8" s="13">
        <v>100</v>
      </c>
      <c r="D8" s="14" t="s">
        <v>20</v>
      </c>
      <c r="E8" s="8">
        <v>11</v>
      </c>
      <c r="F8" s="9">
        <f t="shared" si="0"/>
        <v>268.39999999999998</v>
      </c>
      <c r="G8" s="9">
        <f t="shared" si="1"/>
        <v>26839.999999999996</v>
      </c>
      <c r="H8" s="12">
        <f t="shared" si="2"/>
        <v>5636.3999999999987</v>
      </c>
      <c r="I8" s="9">
        <v>38</v>
      </c>
      <c r="J8" s="9">
        <f t="shared" si="3"/>
        <v>3800</v>
      </c>
      <c r="K8" s="15">
        <f t="shared" si="4"/>
        <v>798</v>
      </c>
      <c r="L8" s="12">
        <f t="shared" si="5"/>
        <v>30639.999999999996</v>
      </c>
      <c r="M8" s="12">
        <f t="shared" si="7"/>
        <v>37074.399999999994</v>
      </c>
      <c r="N8" s="3"/>
      <c r="O8" s="3"/>
      <c r="P8" s="3"/>
      <c r="Q8" s="3"/>
      <c r="R8" s="3"/>
    </row>
    <row r="9" spans="1:23" ht="13.5" customHeight="1" x14ac:dyDescent="0.15">
      <c r="A9" s="4"/>
      <c r="B9" s="10"/>
      <c r="C9" s="10"/>
      <c r="D9" s="14" t="s">
        <v>20</v>
      </c>
      <c r="E9" s="8">
        <v>0</v>
      </c>
      <c r="F9" s="9">
        <f t="shared" si="0"/>
        <v>0</v>
      </c>
      <c r="G9" s="9">
        <f t="shared" si="1"/>
        <v>0</v>
      </c>
      <c r="H9" s="15">
        <f t="shared" si="2"/>
        <v>0</v>
      </c>
      <c r="I9" s="9">
        <v>0</v>
      </c>
      <c r="J9" s="9">
        <f t="shared" si="3"/>
        <v>0</v>
      </c>
      <c r="K9" s="15">
        <f t="shared" si="4"/>
        <v>0</v>
      </c>
      <c r="L9" s="15">
        <f t="shared" si="5"/>
        <v>0</v>
      </c>
      <c r="M9" s="12">
        <f t="shared" si="7"/>
        <v>0</v>
      </c>
      <c r="N9" s="3"/>
      <c r="O9" s="3"/>
      <c r="P9" s="3"/>
      <c r="Q9" s="3"/>
      <c r="R9" s="3"/>
    </row>
    <row r="10" spans="1:23" ht="13.5" customHeight="1" x14ac:dyDescent="0.15">
      <c r="A10" s="4"/>
      <c r="B10" s="10"/>
      <c r="C10" s="10"/>
      <c r="D10" s="14" t="s">
        <v>20</v>
      </c>
      <c r="E10" s="8">
        <v>0</v>
      </c>
      <c r="F10" s="9">
        <f t="shared" si="0"/>
        <v>0</v>
      </c>
      <c r="G10" s="9">
        <f t="shared" si="1"/>
        <v>0</v>
      </c>
      <c r="H10" s="15">
        <f t="shared" si="2"/>
        <v>0</v>
      </c>
      <c r="I10" s="9">
        <v>0</v>
      </c>
      <c r="J10" s="9">
        <f t="shared" si="3"/>
        <v>0</v>
      </c>
      <c r="K10" s="15">
        <f t="shared" si="4"/>
        <v>0</v>
      </c>
      <c r="L10" s="15">
        <f t="shared" si="5"/>
        <v>0</v>
      </c>
      <c r="M10" s="12">
        <f t="shared" si="7"/>
        <v>0</v>
      </c>
      <c r="N10" s="3"/>
      <c r="O10" s="3"/>
      <c r="P10" s="3"/>
      <c r="Q10" s="3"/>
      <c r="R10" s="3"/>
    </row>
    <row r="11" spans="1:23" ht="13.5" customHeight="1" x14ac:dyDescent="0.15">
      <c r="A11" s="16" t="s">
        <v>28</v>
      </c>
      <c r="B11" s="10"/>
      <c r="C11" s="10"/>
      <c r="D11" s="10"/>
      <c r="E11" s="8"/>
      <c r="F11" s="9"/>
      <c r="G11" s="17">
        <f t="shared" ref="G11:H11" si="8">SUM(G2:G10)</f>
        <v>787729.6</v>
      </c>
      <c r="H11" s="17">
        <f t="shared" si="8"/>
        <v>165423.21599999999</v>
      </c>
      <c r="I11" s="9"/>
      <c r="J11" s="17">
        <f t="shared" ref="J11:K11" si="9">SUM(J2:J10)</f>
        <v>85880</v>
      </c>
      <c r="K11" s="17">
        <f t="shared" si="9"/>
        <v>18034.8</v>
      </c>
      <c r="L11" s="17">
        <f t="shared" si="5"/>
        <v>873609.6</v>
      </c>
      <c r="M11" s="17">
        <f>SUM(M2:M10)</f>
        <v>872578.91599999997</v>
      </c>
      <c r="N11" s="18"/>
      <c r="O11" s="3"/>
      <c r="P11" s="3"/>
      <c r="Q11" s="3"/>
      <c r="R11" s="3"/>
    </row>
    <row r="12" spans="1:23" ht="13.5" customHeight="1" x14ac:dyDescent="0.15">
      <c r="A12" s="16" t="s">
        <v>29</v>
      </c>
      <c r="B12" s="3"/>
      <c r="C12" s="3">
        <f>SUM(C2:C11)</f>
        <v>2260</v>
      </c>
      <c r="D12" s="3"/>
      <c r="E12" s="3"/>
      <c r="F12" s="3"/>
      <c r="G12" s="17">
        <f>G11*12</f>
        <v>9452755.1999999993</v>
      </c>
      <c r="H12" s="17">
        <f>H11*12</f>
        <v>1985078.5919999997</v>
      </c>
      <c r="I12" s="16"/>
      <c r="J12" s="17">
        <f>J11*12</f>
        <v>1030560</v>
      </c>
      <c r="K12" s="17">
        <f>K11*12</f>
        <v>216417.59999999998</v>
      </c>
      <c r="L12" s="17">
        <f t="shared" si="5"/>
        <v>10483315.199999999</v>
      </c>
      <c r="M12" s="17">
        <f>M11*12</f>
        <v>10470946.991999999</v>
      </c>
      <c r="N12" s="3"/>
      <c r="O12" s="3"/>
      <c r="P12" s="3"/>
      <c r="Q12" s="3"/>
      <c r="R12" s="3"/>
    </row>
    <row r="13" spans="1:23" ht="13.5" customHeight="1" x14ac:dyDescent="0.15">
      <c r="I13" s="21"/>
    </row>
    <row r="14" spans="1:23" ht="13.5" customHeight="1" x14ac:dyDescent="0.15">
      <c r="A14" s="21" t="s">
        <v>30</v>
      </c>
      <c r="I14" s="21"/>
    </row>
    <row r="15" spans="1:23" ht="13.5" customHeight="1" x14ac:dyDescent="0.15">
      <c r="A15" s="21" t="s">
        <v>31</v>
      </c>
      <c r="B15" s="21" t="str">
        <f>IF(C12=Businessplan_prodej!J17,"OK","ERROR")</f>
        <v>OK</v>
      </c>
      <c r="F15" s="19"/>
      <c r="I15" s="21"/>
      <c r="L15" s="461"/>
    </row>
    <row r="16" spans="1:23" ht="13.5" customHeight="1" x14ac:dyDescent="0.15">
      <c r="A16" s="21" t="s">
        <v>32</v>
      </c>
      <c r="B16" s="21" t="str">
        <f>IF(L12=Businessplan_prodej!J18,"OK","ERROR")</f>
        <v>ERROR</v>
      </c>
      <c r="I16" s="21"/>
    </row>
    <row r="17" spans="1:2" ht="13.5" customHeight="1" x14ac:dyDescent="0.15">
      <c r="A17" s="21" t="s">
        <v>33</v>
      </c>
      <c r="B17" s="404">
        <f>IF(C12/Businessplan_prodej!D8&gt;=35%,C12/Businessplan_prodej!D8,"False")</f>
        <v>0.40292387234801214</v>
      </c>
    </row>
    <row r="18" spans="1:2" ht="13.5" customHeight="1" x14ac:dyDescent="0.15">
      <c r="A18" s="21" t="s">
        <v>34</v>
      </c>
      <c r="B18" s="404">
        <v>0.35</v>
      </c>
    </row>
    <row r="19" spans="1:2" ht="13.5" customHeight="1" x14ac:dyDescent="0.15">
      <c r="A19" s="21" t="s">
        <v>35</v>
      </c>
      <c r="B19" s="20">
        <v>24.4</v>
      </c>
    </row>
  </sheetData>
  <conditionalFormatting sqref="A2:D10">
    <cfRule type="cellIs" dxfId="15" priority="1" operator="equal">
      <formula>0</formula>
    </cfRule>
  </conditionalFormatting>
  <conditionalFormatting sqref="G2:H10 J2:K10 E2:F11 I2:I11 L3:L10 M4:M10">
    <cfRule type="cellIs" dxfId="14" priority="2" operator="equal">
      <formula>0</formula>
    </cfRule>
  </conditionalFormatting>
  <conditionalFormatting sqref="H5">
    <cfRule type="cellIs" dxfId="13" priority="3" operator="notEqual">
      <formula>0</formula>
    </cfRule>
  </conditionalFormatting>
  <dataValidations count="1">
    <dataValidation type="list" allowBlank="1" showErrorMessage="1" sqref="B2:B11" xr:uid="{00000000-0002-0000-0000-000000000000}">
      <formula1>$W$1:$W$3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1000000}">
          <x14:formula1>
            <xm:f>'Stavba pro najemce'!$A$2:$A$130</xm:f>
          </x14:formula1>
          <xm:sqref>A2:A10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B5:H58"/>
  <sheetViews>
    <sheetView workbookViewId="0"/>
  </sheetViews>
  <sheetFormatPr baseColWidth="10" defaultColWidth="12.6640625" defaultRowHeight="15" customHeight="1" x14ac:dyDescent="0.15"/>
  <cols>
    <col min="2" max="2" width="42.6640625" customWidth="1"/>
    <col min="3" max="3" width="36.6640625" customWidth="1"/>
    <col min="7" max="7" width="16.83203125" customWidth="1"/>
    <col min="8" max="8" width="48.83203125" customWidth="1"/>
  </cols>
  <sheetData>
    <row r="5" spans="2:8" x14ac:dyDescent="0.2">
      <c r="B5" s="546" t="s">
        <v>364</v>
      </c>
      <c r="C5" s="494"/>
      <c r="G5" s="496" t="s">
        <v>365</v>
      </c>
      <c r="H5" s="494"/>
    </row>
    <row r="6" spans="2:8" ht="16" x14ac:dyDescent="0.2">
      <c r="B6" s="96" t="s">
        <v>366</v>
      </c>
      <c r="C6" s="305">
        <v>0.09</v>
      </c>
      <c r="G6" s="306" t="s">
        <v>367</v>
      </c>
      <c r="H6" s="307" t="s">
        <v>368</v>
      </c>
    </row>
    <row r="7" spans="2:8" ht="16" x14ac:dyDescent="0.2">
      <c r="B7" s="308" t="s">
        <v>369</v>
      </c>
      <c r="C7" s="309">
        <f>Businessplan_prodej!J18</f>
        <v>387408</v>
      </c>
      <c r="G7" s="310">
        <f>IF(((Businessplan_prodej!$J$18-Businessplan_prodej!$N$19)/H7-Businessplan_prodej!$C$108+Businessplan_prodej!$J$28+Businessplan_prodej!$N$24+Businessplan_prodej!$N$25+Businessplan_prodej!$N$26)&gt;0,((Businessplan_prodej!$J$18-Businessplan_prodej!$N$19)/H7-Businessplan_prodej!$C$108+Businessplan_prodej!$J$28+Businessplan_prodej!$N$24+Businessplan_prodej!$N$25+Businessplan_prodej!$N$26),0)</f>
        <v>0</v>
      </c>
      <c r="H7" s="311">
        <f>Businessplan_prodej!$N$23</f>
        <v>7.0000000000000007E-2</v>
      </c>
    </row>
    <row r="8" spans="2:8" ht="16" x14ac:dyDescent="0.2">
      <c r="B8" s="308" t="s">
        <v>370</v>
      </c>
      <c r="C8" s="309">
        <f>Businessplan_prodej!C33+Businessplan_prodej!C65+Businessplan_prodej!C85</f>
        <v>88488885.118000001</v>
      </c>
      <c r="G8" s="310">
        <f>IF(((Businessplan_prodej!$J$18-Businessplan_prodej!$N$19)/H8-Businessplan_prodej!$C$108+Businessplan_prodej!$J$28+Businessplan_prodej!$N$24+Businessplan_prodej!$N$25+Businessplan_prodej!$N$26)&gt;0,((Businessplan_prodej!$J$18-Businessplan_prodej!$N$19)/H8-Businessplan_prodej!$C$108+Businessplan_prodej!$J$28+Businessplan_prodej!$N$24+Businessplan_prodej!$N$25+Businessplan_prodej!$N$26),0)</f>
        <v>0</v>
      </c>
      <c r="H8" s="312">
        <f t="shared" ref="H8:H10" si="0">H7+0.5%</f>
        <v>7.5000000000000011E-2</v>
      </c>
    </row>
    <row r="9" spans="2:8" ht="16" x14ac:dyDescent="0.2">
      <c r="B9" s="308" t="s">
        <v>371</v>
      </c>
      <c r="C9" s="309">
        <f>C7/C6</f>
        <v>4304533.333333334</v>
      </c>
      <c r="G9" s="310">
        <f>IF(((Businessplan_prodej!$J$18-Businessplan_prodej!$N$19)/H9-Businessplan_prodej!$C$108+Businessplan_prodej!$J$28+Businessplan_prodej!$N$24+Businessplan_prodej!$N$25+Businessplan_prodej!$N$26)&gt;0,((Businessplan_prodej!$J$18-Businessplan_prodej!$N$19)/H9-Businessplan_prodej!$C$108+Businessplan_prodej!$J$28+Businessplan_prodej!$N$24+Businessplan_prodej!$N$25+Businessplan_prodej!$N$26),0)</f>
        <v>0</v>
      </c>
      <c r="H9" s="313">
        <f t="shared" si="0"/>
        <v>8.0000000000000016E-2</v>
      </c>
    </row>
    <row r="10" spans="2:8" ht="16" x14ac:dyDescent="0.2">
      <c r="B10" s="314" t="s">
        <v>372</v>
      </c>
      <c r="C10" s="315">
        <f>C9-C8</f>
        <v>-84184351.784666672</v>
      </c>
      <c r="G10" s="310">
        <f>IF(((Businessplan_prodej!$J$18-Businessplan_prodej!$N$19)/H10-Businessplan_prodej!$C$108+Businessplan_prodej!$J$28+Businessplan_prodej!$N$24+Businessplan_prodej!$N$25+Businessplan_prodej!$N$26)&gt;0,((Businessplan_prodej!$J$18-Businessplan_prodej!$N$19)/H10-Businessplan_prodej!$C$108+Businessplan_prodej!$J$28+Businessplan_prodej!$N$24+Businessplan_prodej!$N$25+Businessplan_prodej!$N$26),0)</f>
        <v>0</v>
      </c>
      <c r="H10" s="435">
        <f t="shared" si="0"/>
        <v>8.500000000000002E-2</v>
      </c>
    </row>
    <row r="11" spans="2:8" ht="19" x14ac:dyDescent="0.25">
      <c r="B11" s="436" t="s">
        <v>373</v>
      </c>
      <c r="C11" s="316">
        <f>C9-C8-Businessplan_prodej!C96</f>
        <v>-91894217.419805363</v>
      </c>
      <c r="G11" s="317">
        <f>(Businessplan_prodej!$J$18-Businessplan_prodej!$N$19)/H11-Businessplan_prodej!$C$108+Businessplan_prodej!$N$24+Businessplan_prodej!$N$25+Businessplan_prodej!$N$26</f>
        <v>1.4901161193847656E-8</v>
      </c>
      <c r="H11" s="318">
        <f>(Businessplan_prodej!$J$18-Businessplan_prodej!$N$19)/(Businessplan_prodej!$C$108-Businessplan_prodej!$N$24-Businessplan_prodej!$N$25-Businessplan_prodej!$N$26)</f>
        <v>-4.4406410490502512E-3</v>
      </c>
    </row>
    <row r="12" spans="2:8" x14ac:dyDescent="0.15">
      <c r="B12" s="29"/>
      <c r="C12" s="29"/>
      <c r="G12" s="29"/>
      <c r="H12" s="38"/>
    </row>
    <row r="13" spans="2:8" x14ac:dyDescent="0.15">
      <c r="B13" s="29"/>
      <c r="C13" s="29"/>
      <c r="G13" s="29"/>
      <c r="H13" s="29"/>
    </row>
    <row r="14" spans="2:8" x14ac:dyDescent="0.15">
      <c r="B14" s="29"/>
      <c r="C14" s="29"/>
      <c r="G14" s="29"/>
      <c r="H14" s="38"/>
    </row>
    <row r="15" spans="2:8" x14ac:dyDescent="0.15">
      <c r="B15" s="497" t="s">
        <v>374</v>
      </c>
      <c r="C15" s="494"/>
      <c r="G15" s="547" t="s">
        <v>375</v>
      </c>
      <c r="H15" s="548"/>
    </row>
    <row r="16" spans="2:8" ht="16" x14ac:dyDescent="0.15">
      <c r="B16" s="319" t="s">
        <v>376</v>
      </c>
      <c r="C16" s="320">
        <v>0.2</v>
      </c>
      <c r="G16" s="321" t="s">
        <v>367</v>
      </c>
      <c r="H16" s="322" t="s">
        <v>377</v>
      </c>
    </row>
    <row r="17" spans="2:8" ht="16" x14ac:dyDescent="0.15">
      <c r="B17" s="319" t="s">
        <v>378</v>
      </c>
      <c r="C17" s="309">
        <f>(Businessplan_prodej!J18-Businessplan_prodej!N19)/Businessplan_prodej!N23*C16</f>
        <v>-1372662.8571428573</v>
      </c>
      <c r="G17" s="323">
        <f>Businessplan_prodej!$J$30-Businessplan_prodej!$C$16-Businessplan_prodej!$C$33-Businessplan_prodej!$C$65*(1+H17)-Businessplan_prodej!$C$85-Businessplan_prodej!$C$96+Businessplan_prodej!$N$24+Businessplan_prodej!$N$25+Businessplan_prodej!$N$26</f>
        <v>-102560115.59833048</v>
      </c>
      <c r="H17" s="324">
        <v>0</v>
      </c>
    </row>
    <row r="18" spans="2:8" ht="16" x14ac:dyDescent="0.15">
      <c r="B18" s="96" t="s">
        <v>370</v>
      </c>
      <c r="C18" s="309">
        <f>Businessplan_prodej!C33+Businessplan_prodej!C65+Businessplan_prodej!C85</f>
        <v>88488885.118000001</v>
      </c>
      <c r="G18" s="323">
        <f>Businessplan_prodej!$J$30-Businessplan_prodej!$C$16-Businessplan_prodej!$C$33-Businessplan_prodej!$C$65*(1+H18)-Businessplan_prodej!$C$85-Businessplan_prodej!$C$96+Businessplan_prodej!$N$24+Businessplan_prodej!$N$25+Businessplan_prodej!$N$26</f>
        <v>-109739872.66833048</v>
      </c>
      <c r="H18" s="325">
        <v>0.1</v>
      </c>
    </row>
    <row r="19" spans="2:8" ht="16" x14ac:dyDescent="0.15">
      <c r="B19" s="326" t="s">
        <v>379</v>
      </c>
      <c r="C19" s="309">
        <f>Businessplan_prodej!J30+Businessplan_prodej!N24+Businessplan_prodej!N25+Businessplan_prodej!N26</f>
        <v>5629669.3208430903</v>
      </c>
      <c r="G19" s="323">
        <f>Businessplan_prodej!$J$30-Businessplan_prodej!$C$16-Businessplan_prodej!$C$33-Businessplan_prodej!$C$65*(1+H19)-Businessplan_prodej!$C$85-Businessplan_prodej!$C$96+Businessplan_prodej!$N$24+Businessplan_prodej!$N$25+Businessplan_prodej!$N$26</f>
        <v>-120509508.27333046</v>
      </c>
      <c r="H19" s="327">
        <v>0.25</v>
      </c>
    </row>
    <row r="20" spans="2:8" ht="16" x14ac:dyDescent="0.15">
      <c r="B20" s="328" t="s">
        <v>372</v>
      </c>
      <c r="C20" s="315">
        <f>C19-C18-C17</f>
        <v>-81486552.940014064</v>
      </c>
      <c r="G20" s="329">
        <f>Businessplan_prodej!$J$30-Businessplan_prodej!$C$16-Businessplan_prodej!$C$33-Businessplan_prodej!$C$65*(1+H20)-Businessplan_prodej!$C$85-Businessplan_prodej!$C$96+Businessplan_prodej!$N$24+Businessplan_prodej!$N$25+Businessplan_prodej!$N$26</f>
        <v>-9.3132257461547852E-9</v>
      </c>
      <c r="H20" s="330">
        <f>(Businessplan_prodej!$J$30-Businessplan_prodej!$C$16-Businessplan_prodej!$C$33-Businessplan_prodej!$C$85-Businessplan_prodej!$C$96+Businessplan_prodej!$N$24+Businessplan_prodej!$N$25+Businessplan_prodej!$N$26)/Businessplan_prodej!$C$65-1</f>
        <v>-1.4284621972360196</v>
      </c>
    </row>
    <row r="21" spans="2:8" ht="19" x14ac:dyDescent="0.15">
      <c r="B21" s="331" t="s">
        <v>373</v>
      </c>
      <c r="C21" s="316">
        <f>C20-Businessplan_prodej!C96</f>
        <v>-89196418.575152755</v>
      </c>
      <c r="G21" s="29"/>
      <c r="H21" s="29"/>
    </row>
    <row r="22" spans="2:8" x14ac:dyDescent="0.15">
      <c r="G22" s="29"/>
      <c r="H22" s="29"/>
    </row>
    <row r="23" spans="2:8" x14ac:dyDescent="0.15">
      <c r="B23" s="497" t="s">
        <v>380</v>
      </c>
      <c r="C23" s="494"/>
      <c r="G23" s="29"/>
      <c r="H23" s="29"/>
    </row>
    <row r="24" spans="2:8" ht="16" x14ac:dyDescent="0.15">
      <c r="B24" s="332" t="str">
        <f>Businessplan_prodej!B8</f>
        <v>Nákup nemovitosti/pozemků</v>
      </c>
      <c r="C24" s="309">
        <f>Businessplan_prodej!C16</f>
        <v>11991034.166034875</v>
      </c>
      <c r="G24" s="547" t="s">
        <v>381</v>
      </c>
      <c r="H24" s="548"/>
    </row>
    <row r="25" spans="2:8" ht="16" x14ac:dyDescent="0.15">
      <c r="B25" s="319" t="s">
        <v>382</v>
      </c>
      <c r="C25" s="309">
        <v>0.25</v>
      </c>
      <c r="G25" s="321" t="s">
        <v>367</v>
      </c>
      <c r="H25" s="322" t="s">
        <v>383</v>
      </c>
    </row>
    <row r="26" spans="2:8" ht="16" x14ac:dyDescent="0.15">
      <c r="B26" s="96" t="s">
        <v>384</v>
      </c>
      <c r="C26" s="309">
        <f>Businessplan_prodej!M39*C25</f>
        <v>4356496.6273494624</v>
      </c>
      <c r="G26" s="323">
        <f>Businessplan_prodej!$J$30-Businessplan_prodej!$C$16-Businessplan_prodej!$C$33-Businessplan_prodej!$C$65-Businessplan_prodej!$C$85+Businessplan_prodej!$N$24+Businessplan_prodej!$N$25+Businessplan_prodej!$N$26-Businessplan_prodej!$F$91-Businessplan_prodej!$F$94-Businessplan_prodej!$D$101*(Businessplan_prodej!$E$93/12*(SUM(Businessplan_prodej!$R$12:$R$13)+H26))</f>
        <v>-97731005.005536973</v>
      </c>
      <c r="H26" s="333">
        <v>0</v>
      </c>
    </row>
    <row r="27" spans="2:8" ht="16" x14ac:dyDescent="0.15">
      <c r="B27" s="334" t="str">
        <f>Businessplan_prodej!B25</f>
        <v>B. Architecture &amp; Engineering</v>
      </c>
      <c r="C27" s="315">
        <f>Businessplan_prodej!C33</f>
        <v>5414000</v>
      </c>
      <c r="G27" s="323">
        <f>Businessplan_prodej!$J$30-Businessplan_prodej!$C$16-Businessplan_prodej!$C$33-Businessplan_prodej!$C$65-Businessplan_prodej!$C$85+Businessplan_prodej!$N$24+Businessplan_prodej!$N$25+Businessplan_prodej!$N$26-Businessplan_prodej!$F$91-Businessplan_prodej!$F$94-Businessplan_prodej!$D$101*(Businessplan_prodej!$E$93/12*(SUM(Businessplan_prodej!$R$12:$R$13)+H27))</f>
        <v>-99363803.693902552</v>
      </c>
      <c r="H27" s="333">
        <v>6</v>
      </c>
    </row>
    <row r="28" spans="2:8" ht="19" x14ac:dyDescent="0.15">
      <c r="B28" s="331" t="s">
        <v>380</v>
      </c>
      <c r="C28" s="316">
        <f>C24+C26+C27</f>
        <v>21761530.793384336</v>
      </c>
      <c r="G28" s="323">
        <f>Businessplan_prodej!$J$30-Businessplan_prodej!$C$16-Businessplan_prodej!$C$33-Businessplan_prodej!$C$65-Businessplan_prodej!$C$85+Businessplan_prodej!$N$24+Businessplan_prodej!$N$25+Businessplan_prodej!$N$26-Businessplan_prodej!$F$91-Businessplan_prodej!$F$94-Businessplan_prodej!$D$101*(Businessplan_prodej!$E$93/12*(SUM(Businessplan_prodej!$R$12:$R$13)+H28))</f>
        <v>-100996602.38226812</v>
      </c>
      <c r="H28" s="333">
        <v>12</v>
      </c>
    </row>
    <row r="29" spans="2:8" ht="16" x14ac:dyDescent="0.15">
      <c r="B29" s="29"/>
      <c r="C29" s="29"/>
      <c r="G29" s="323">
        <f>Businessplan_prodej!$J$30-Businessplan_prodej!$C$16-Businessplan_prodej!$C$33-Businessplan_prodej!$C$65-Businessplan_prodej!$C$85+Businessplan_prodej!$N$24+Businessplan_prodej!$N$25+Businessplan_prodej!$N$26-Businessplan_prodej!$F$91-Businessplan_prodej!$F$94-Businessplan_prodej!$D$101*(Businessplan_prodej!$E$93/12*(SUM(Businessplan_prodej!$R$12:$R$13)+H29))</f>
        <v>-104262199.75899924</v>
      </c>
      <c r="H29" s="335">
        <v>24</v>
      </c>
    </row>
    <row r="30" spans="2:8" ht="16" x14ac:dyDescent="0.15">
      <c r="B30" s="29"/>
      <c r="C30" s="29"/>
      <c r="G30" s="329">
        <f>Businessplan_prodej!$J$30-Businessplan_prodej!$C$16-Businessplan_prodej!$C$33-Businessplan_prodej!$C$65-Businessplan_prodej!$C$85+Businessplan_prodej!$N$24+Businessplan_prodej!$N$25+Businessplan_prodej!$N$26-Businessplan_prodej!$F$91-Businessplan_prodej!$F$94-Businessplan_prodej!$D$101*(Businessplan_prodej!$E$93/12*(SUM(Businessplan_prodej!$R$12:$R$13)+H30))</f>
        <v>0</v>
      </c>
      <c r="H30" s="336">
        <f>((Businessplan_prodej!$J$30-Businessplan_prodej!$C$16-Businessplan_prodej!$C$33-Businessplan_prodej!$C$65-Businessplan_prodej!$C$85+Businessplan_prodej!$N$24+Businessplan_prodej!$N$25+Businessplan_prodej!$N$26-Businessplan_prodej!$F$91-Businessplan_prodej!$F$94)/Businessplan_prodej!$D$101/Businessplan_prodej!$E$93*12)-SUM(Businessplan_prodej!$R$12:$R$13)</f>
        <v>-359.12941026440615</v>
      </c>
    </row>
    <row r="33" spans="2:3" hidden="1" x14ac:dyDescent="0.15">
      <c r="B33" s="496" t="s">
        <v>365</v>
      </c>
      <c r="C33" s="494"/>
    </row>
    <row r="34" spans="2:3" ht="16" hidden="1" x14ac:dyDescent="0.15">
      <c r="B34" s="306" t="s">
        <v>367</v>
      </c>
      <c r="C34" s="307" t="s">
        <v>368</v>
      </c>
    </row>
    <row r="35" spans="2:3" ht="16" hidden="1" x14ac:dyDescent="0.15">
      <c r="B35" s="310">
        <f>IF(((Businessplan_prodej!$J$18-Businessplan_prodej!$N$19)/C35-Businessplan_prodej!$C$108+Businessplan_prodej!$J$28+Businessplan_prodej!$N$24+Businessplan_prodej!$N$25+Businessplan_prodej!$N$26)&gt;0,((Businessplan_prodej!$J$18-Businessplan_prodej!$N$19)/C35-Businessplan_prodej!$C$108+Businessplan_prodej!$J$28+Businessplan_prodej!$N$24+Businessplan_prodej!$N$25+Businessplan_prodej!$N$26),0)</f>
        <v>0</v>
      </c>
      <c r="C35" s="337">
        <f>Businessplan_prodej!$N$23</f>
        <v>7.0000000000000007E-2</v>
      </c>
    </row>
    <row r="36" spans="2:3" ht="16" hidden="1" x14ac:dyDescent="0.15">
      <c r="B36" s="310">
        <f>IF(((Businessplan_prodej!$J$18-Businessplan_prodej!$N$19)/C36-Businessplan_prodej!$C$108+Businessplan_prodej!$J$28+Businessplan_prodej!$N$24+Businessplan_prodej!$N$25+Businessplan_prodej!$N$26)&gt;0,((Businessplan_prodej!$J$18-Businessplan_prodej!$N$19)/C36-Businessplan_prodej!$C$108+Businessplan_prodej!$J$28+Businessplan_prodej!$N$24+Businessplan_prodej!$N$25+Businessplan_prodej!$N$26),0)</f>
        <v>0</v>
      </c>
      <c r="C36" s="338">
        <f t="shared" ref="C36:C38" si="1">C35+0.5%</f>
        <v>7.5000000000000011E-2</v>
      </c>
    </row>
    <row r="37" spans="2:3" ht="16" hidden="1" x14ac:dyDescent="0.15">
      <c r="B37" s="310">
        <f>IF(((Businessplan_prodej!$J$18-Businessplan_prodej!$N$19)/C37-Businessplan_prodej!$C$108+Businessplan_prodej!$J$28+Businessplan_prodej!$N$24+Businessplan_prodej!$N$25+Businessplan_prodej!$N$26)&gt;0,((Businessplan_prodej!$J$18-Businessplan_prodej!$N$19)/C37-Businessplan_prodej!$C$108+Businessplan_prodej!$J$28+Businessplan_prodej!$N$24+Businessplan_prodej!$N$25+Businessplan_prodej!$N$26),0)</f>
        <v>0</v>
      </c>
      <c r="C37" s="104">
        <f t="shared" si="1"/>
        <v>8.0000000000000016E-2</v>
      </c>
    </row>
    <row r="38" spans="2:3" ht="16" hidden="1" x14ac:dyDescent="0.15">
      <c r="B38" s="310">
        <f>IF(((Businessplan_prodej!$J$18-Businessplan_prodej!$N$19)/C38-Businessplan_prodej!$C$108+Businessplan_prodej!$J$28+Businessplan_prodej!$N$24+Businessplan_prodej!$N$25+Businessplan_prodej!$N$26)&gt;0,((Businessplan_prodej!$J$18-Businessplan_prodej!$N$19)/C38-Businessplan_prodej!$C$108+Businessplan_prodej!$J$28+Businessplan_prodej!$N$24+Businessplan_prodej!$N$25+Businessplan_prodej!$N$26),0)</f>
        <v>0</v>
      </c>
      <c r="C38" s="437">
        <f t="shared" si="1"/>
        <v>8.500000000000002E-2</v>
      </c>
    </row>
    <row r="39" spans="2:3" ht="16" hidden="1" x14ac:dyDescent="0.15">
      <c r="B39" s="317">
        <f>(Businessplan_prodej!$J$18-Businessplan_prodej!$N$19)/C39-Businessplan_prodej!$C$108+Businessplan_prodej!$N$24+Businessplan_prodej!$N$25+Businessplan_prodej!$N$26</f>
        <v>1.4901161193847656E-8</v>
      </c>
      <c r="C39" s="318">
        <f>(Businessplan_prodej!$J$18-Businessplan_prodej!$N$19)/(Businessplan_prodej!$C$108-Businessplan_prodej!$N$24-Businessplan_prodej!$N$25-Businessplan_prodej!$N$26)</f>
        <v>-4.4406410490502512E-3</v>
      </c>
    </row>
    <row r="40" spans="2:3" hidden="1" x14ac:dyDescent="0.15">
      <c r="B40" s="29"/>
      <c r="C40" s="38"/>
    </row>
    <row r="41" spans="2:3" hidden="1" x14ac:dyDescent="0.15">
      <c r="B41" s="29"/>
      <c r="C41" s="29"/>
    </row>
    <row r="42" spans="2:3" hidden="1" x14ac:dyDescent="0.15">
      <c r="B42" s="29"/>
      <c r="C42" s="38"/>
    </row>
    <row r="43" spans="2:3" hidden="1" x14ac:dyDescent="0.15">
      <c r="B43" s="544" t="s">
        <v>375</v>
      </c>
      <c r="C43" s="545"/>
    </row>
    <row r="44" spans="2:3" ht="16" hidden="1" x14ac:dyDescent="0.15">
      <c r="B44" s="339" t="s">
        <v>367</v>
      </c>
      <c r="C44" s="339" t="s">
        <v>377</v>
      </c>
    </row>
    <row r="45" spans="2:3" ht="16" hidden="1" x14ac:dyDescent="0.15">
      <c r="B45" s="340">
        <f>Businessplan_prodej!$J$30-Businessplan_prodej!$C$16-Businessplan_prodej!$C$33-Businessplan_prodej!$C$65*(1+C45)-Businessplan_prodej!$C$85-Businessplan_prodej!$C$96+Businessplan_prodej!$N$24+Businessplan_prodej!$N$25+Businessplan_prodej!$N$26</f>
        <v>-102560115.59833048</v>
      </c>
      <c r="C45" s="341">
        <v>0</v>
      </c>
    </row>
    <row r="46" spans="2:3" ht="16" hidden="1" x14ac:dyDescent="0.15">
      <c r="B46" s="340">
        <f>Businessplan_prodej!$J$30-Businessplan_prodej!$C$16-Businessplan_prodej!$C$33-Businessplan_prodej!$C$65*(1+C46)-Businessplan_prodej!$C$85-Businessplan_prodej!$C$96+Businessplan_prodej!$N$24+Businessplan_prodej!$N$25+Businessplan_prodej!$N$26</f>
        <v>-109739872.66833048</v>
      </c>
      <c r="C46" s="342">
        <v>0.1</v>
      </c>
    </row>
    <row r="47" spans="2:3" ht="16" hidden="1" x14ac:dyDescent="0.15">
      <c r="B47" s="340">
        <f>Businessplan_prodej!$J$30-Businessplan_prodej!$C$16-Businessplan_prodej!$C$33-Businessplan_prodej!$C$65*(1+C47)-Businessplan_prodej!$C$85-Businessplan_prodej!$C$96+Businessplan_prodej!$N$24+Businessplan_prodej!$N$25+Businessplan_prodej!$N$26</f>
        <v>-120509508.27333046</v>
      </c>
      <c r="C47" s="343">
        <v>0.25</v>
      </c>
    </row>
    <row r="48" spans="2:3" ht="16" hidden="1" x14ac:dyDescent="0.15">
      <c r="B48" s="340">
        <f>Businessplan_prodej!$J$30-Businessplan_prodej!$C$16-Businessplan_prodej!$C$33-Businessplan_prodej!$C$65*(1+C48)-Businessplan_prodej!$C$85-Businessplan_prodej!$C$96+Businessplan_prodej!$N$24+Businessplan_prodej!$N$25+Businessplan_prodej!$N$26</f>
        <v>-9.3132257461547852E-9</v>
      </c>
      <c r="C48" s="341">
        <f>(Businessplan_prodej!$J$30-Businessplan_prodej!$C$16-Businessplan_prodej!$C$33-Businessplan_prodej!$C$85-Businessplan_prodej!$C$96+Businessplan_prodej!$N$24+Businessplan_prodej!$N$25+Businessplan_prodej!$N$26)/Businessplan_prodej!$C$65-1</f>
        <v>-1.4284621972360196</v>
      </c>
    </row>
    <row r="52" spans="2:3" hidden="1" x14ac:dyDescent="0.15">
      <c r="B52" s="496" t="s">
        <v>381</v>
      </c>
      <c r="C52" s="494"/>
    </row>
    <row r="53" spans="2:3" ht="16" hidden="1" x14ac:dyDescent="0.15">
      <c r="B53" s="306" t="s">
        <v>367</v>
      </c>
      <c r="C53" s="307" t="s">
        <v>383</v>
      </c>
    </row>
    <row r="54" spans="2:3" ht="16" hidden="1" x14ac:dyDescent="0.15">
      <c r="B54" s="310">
        <f>Businessplan_prodej!$J$30-Businessplan_prodej!$C$16-Businessplan_prodej!$C$33-Businessplan_prodej!$C$65-Businessplan_prodej!$C$85+Businessplan_prodej!$N$24+Businessplan_prodej!$N$25+Businessplan_prodej!$N$26-Businessplan_prodej!$F$91-Businessplan_prodej!$F$94-Businessplan_prodej!$D$101*(Businessplan_prodej!$E$93/12*(SUM(Businessplan_prodej!$R$12:$R$13)+C54))</f>
        <v>-97731005.005536973</v>
      </c>
      <c r="C54" s="344">
        <v>0</v>
      </c>
    </row>
    <row r="55" spans="2:3" ht="16" hidden="1" x14ac:dyDescent="0.15">
      <c r="B55" s="310">
        <f>Businessplan_prodej!$J$30-Businessplan_prodej!$C$16-Businessplan_prodej!$C$33-Businessplan_prodej!$C$65-Businessplan_prodej!$C$85+Businessplan_prodej!$N$24+Businessplan_prodej!$N$25+Businessplan_prodej!$N$26-Businessplan_prodej!$F$91-Businessplan_prodej!$F$94-Businessplan_prodej!$D$101*(Businessplan_prodej!$E$93/12*(SUM(Businessplan_prodej!$R$12:$R$13)+C55))</f>
        <v>-99363803.693902552</v>
      </c>
      <c r="C55" s="344">
        <v>6</v>
      </c>
    </row>
    <row r="56" spans="2:3" ht="16" hidden="1" x14ac:dyDescent="0.15">
      <c r="B56" s="310">
        <f>Businessplan_prodej!$J$30-Businessplan_prodej!$C$16-Businessplan_prodej!$C$33-Businessplan_prodej!$C$65-Businessplan_prodej!$C$85+Businessplan_prodej!$N$24+Businessplan_prodej!$N$25+Businessplan_prodej!$N$26-Businessplan_prodej!$F$91-Businessplan_prodej!$F$94-Businessplan_prodej!$D$101*(Businessplan_prodej!$E$93/12*(SUM(Businessplan_prodej!$R$12:$R$13)+C56))</f>
        <v>-100996602.38226812</v>
      </c>
      <c r="C56" s="344">
        <v>12</v>
      </c>
    </row>
    <row r="57" spans="2:3" ht="16" hidden="1" x14ac:dyDescent="0.15">
      <c r="B57" s="310">
        <f>Businessplan_prodej!$J$30-Businessplan_prodej!$C$16-Businessplan_prodej!$C$33-Businessplan_prodej!$C$65-Businessplan_prodej!$C$85+Businessplan_prodej!$N$24+Businessplan_prodej!$N$25+Businessplan_prodej!$N$26-Businessplan_prodej!$F$91-Businessplan_prodej!$F$94-Businessplan_prodej!$D$101*(Businessplan_prodej!$E$93/12*(SUM(Businessplan_prodej!$R$12:$R$13)+C57))</f>
        <v>-104262199.75899924</v>
      </c>
      <c r="C57" s="438">
        <v>24</v>
      </c>
    </row>
    <row r="58" spans="2:3" ht="16" hidden="1" x14ac:dyDescent="0.15">
      <c r="B58" s="310">
        <f>Businessplan_prodej!$J$30-Businessplan_prodej!$C$16-Businessplan_prodej!$C$33-Businessplan_prodej!$C$65-Businessplan_prodej!$C$85+Businessplan_prodej!$N$24+Businessplan_prodej!$N$25+Businessplan_prodej!$N$26-Businessplan_prodej!$F$91-Businessplan_prodej!$F$94-Businessplan_prodej!$D$101*(Businessplan_prodej!$E$93/12*(SUM(Businessplan_prodej!$R$12:$R$13)+C58))</f>
        <v>0</v>
      </c>
      <c r="C58" s="345">
        <f>((Businessplan_prodej!$J$30-Businessplan_prodej!$C$16-Businessplan_prodej!$C$33-Businessplan_prodej!$C$65-Businessplan_prodej!$C$85+Businessplan_prodej!$N$24+Businessplan_prodej!$N$25+Businessplan_prodej!$N$26-Businessplan_prodej!$F$91-Businessplan_prodej!$F$94)/Businessplan_prodej!$D$101/Businessplan_prodej!$E$93*12)-SUM(Businessplan_prodej!$R$12:$R$13)</f>
        <v>-359.12941026440615</v>
      </c>
    </row>
  </sheetData>
  <mergeCells count="9">
    <mergeCell ref="B43:C43"/>
    <mergeCell ref="B52:C52"/>
    <mergeCell ref="B5:C5"/>
    <mergeCell ref="G5:H5"/>
    <mergeCell ref="B15:C15"/>
    <mergeCell ref="G15:H15"/>
    <mergeCell ref="B23:C23"/>
    <mergeCell ref="G24:H24"/>
    <mergeCell ref="B33:C33"/>
  </mergeCells>
  <conditionalFormatting sqref="C3 C6:C11 C16:C22 C24:C29">
    <cfRule type="cellIs" dxfId="5" priority="1" operator="lessThan">
      <formula>0</formula>
    </cfRule>
  </conditionalFormatting>
  <conditionalFormatting sqref="C13:C14">
    <cfRule type="cellIs" dxfId="4" priority="2" operator="lessThan">
      <formula>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R61"/>
  <sheetViews>
    <sheetView workbookViewId="0"/>
  </sheetViews>
  <sheetFormatPr baseColWidth="10" defaultColWidth="12.6640625" defaultRowHeight="15" customHeight="1" x14ac:dyDescent="0.15"/>
  <cols>
    <col min="1" max="1" width="4.33203125" customWidth="1"/>
    <col min="2" max="2" width="48.5" customWidth="1"/>
    <col min="3" max="3" width="8" customWidth="1"/>
    <col min="4" max="4" width="7.83203125" customWidth="1"/>
    <col min="5" max="5" width="16.6640625" customWidth="1"/>
    <col min="6" max="6" width="22.6640625" customWidth="1"/>
    <col min="7" max="7" width="4" customWidth="1"/>
    <col min="8" max="8" width="4.33203125" customWidth="1"/>
    <col min="9" max="9" width="36.1640625" customWidth="1"/>
    <col min="10" max="10" width="8.6640625" customWidth="1"/>
    <col min="11" max="11" width="14.5" customWidth="1"/>
    <col min="12" max="12" width="9.6640625" customWidth="1"/>
    <col min="13" max="13" width="12.83203125" customWidth="1"/>
    <col min="14" max="14" width="20.1640625" customWidth="1"/>
    <col min="15" max="16" width="4.33203125" customWidth="1"/>
    <col min="17" max="17" width="40.83203125" customWidth="1"/>
    <col min="18" max="18" width="77" customWidth="1"/>
    <col min="19" max="27" width="7" customWidth="1"/>
  </cols>
  <sheetData>
    <row r="1" spans="1:18" ht="30" customHeight="1" x14ac:dyDescent="0.15">
      <c r="A1" s="28"/>
      <c r="B1" s="549" t="s">
        <v>385</v>
      </c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29"/>
      <c r="P1" s="29"/>
      <c r="Q1" s="29"/>
      <c r="R1" s="29"/>
    </row>
    <row r="2" spans="1:18" ht="18" customHeight="1" x14ac:dyDescent="0.15">
      <c r="A2" s="30"/>
      <c r="B2" s="31"/>
      <c r="C2" s="32"/>
      <c r="D2" s="33"/>
      <c r="E2" s="34"/>
      <c r="F2" s="35"/>
      <c r="G2" s="35"/>
      <c r="H2" s="36"/>
      <c r="I2" s="36"/>
      <c r="J2" s="32"/>
      <c r="K2" s="32"/>
      <c r="L2" s="33"/>
      <c r="M2" s="34"/>
      <c r="N2" s="37"/>
      <c r="O2" s="36"/>
      <c r="P2" s="36"/>
      <c r="Q2" s="36"/>
      <c r="R2" s="36"/>
    </row>
    <row r="3" spans="1:18" ht="18" customHeight="1" x14ac:dyDescent="0.15">
      <c r="A3" s="30"/>
      <c r="B3" s="29"/>
      <c r="C3" s="38"/>
      <c r="D3" s="39"/>
      <c r="F3" s="439"/>
      <c r="G3" s="40"/>
      <c r="H3" s="29"/>
      <c r="I3" s="29"/>
      <c r="J3" s="38"/>
      <c r="K3" s="38"/>
      <c r="L3" s="39"/>
      <c r="M3" s="41"/>
      <c r="N3" s="40"/>
      <c r="O3" s="29"/>
      <c r="P3" s="29"/>
      <c r="Q3" s="29"/>
      <c r="R3" s="29"/>
    </row>
    <row r="4" spans="1:18" ht="30" customHeight="1" x14ac:dyDescent="0.15">
      <c r="A4" s="30"/>
      <c r="B4" s="492" t="s">
        <v>118</v>
      </c>
      <c r="C4" s="493"/>
      <c r="D4" s="493"/>
      <c r="E4" s="493"/>
      <c r="F4" s="494"/>
      <c r="G4" s="42"/>
      <c r="H4" s="29"/>
      <c r="I4" s="495" t="s">
        <v>119</v>
      </c>
      <c r="J4" s="493"/>
      <c r="K4" s="493"/>
      <c r="L4" s="493"/>
      <c r="M4" s="493"/>
      <c r="N4" s="494"/>
      <c r="O4" s="29"/>
      <c r="P4" s="29"/>
      <c r="Q4" s="495" t="s">
        <v>120</v>
      </c>
      <c r="R4" s="494"/>
    </row>
    <row r="5" spans="1:18" ht="18" customHeight="1" x14ac:dyDescent="0.15">
      <c r="A5" s="30"/>
      <c r="B5" s="29"/>
      <c r="C5" s="38"/>
      <c r="D5" s="39"/>
      <c r="E5" s="38"/>
      <c r="F5" s="38"/>
      <c r="G5" s="43"/>
      <c r="H5" s="29"/>
      <c r="I5" s="29"/>
      <c r="J5" s="38"/>
      <c r="K5" s="38"/>
      <c r="L5" s="39"/>
      <c r="M5" s="41"/>
      <c r="N5" s="40"/>
      <c r="O5" s="29"/>
      <c r="P5" s="29"/>
    </row>
    <row r="6" spans="1:18" ht="18" customHeight="1" x14ac:dyDescent="0.15">
      <c r="A6" s="30" t="s">
        <v>386</v>
      </c>
      <c r="B6" s="496" t="s">
        <v>121</v>
      </c>
      <c r="C6" s="493"/>
      <c r="D6" s="493"/>
      <c r="E6" s="493"/>
      <c r="F6" s="494"/>
      <c r="G6" s="44"/>
      <c r="H6" s="29"/>
      <c r="I6" s="497" t="s">
        <v>119</v>
      </c>
      <c r="J6" s="493"/>
      <c r="K6" s="493"/>
      <c r="L6" s="493"/>
      <c r="M6" s="493"/>
      <c r="N6" s="494"/>
      <c r="O6" s="29"/>
      <c r="P6" s="29"/>
      <c r="Q6" s="497" t="s">
        <v>122</v>
      </c>
      <c r="R6" s="494"/>
    </row>
    <row r="7" spans="1:18" ht="18" customHeight="1" x14ac:dyDescent="0.2">
      <c r="A7" s="30"/>
      <c r="B7" s="45"/>
      <c r="C7" s="46" t="s">
        <v>123</v>
      </c>
      <c r="D7" s="46" t="s">
        <v>124</v>
      </c>
      <c r="E7" s="47" t="s">
        <v>125</v>
      </c>
      <c r="F7" s="48" t="s">
        <v>135</v>
      </c>
      <c r="G7" s="43"/>
      <c r="H7" s="29"/>
      <c r="I7" s="49"/>
      <c r="J7" s="47" t="s">
        <v>126</v>
      </c>
      <c r="K7" s="47" t="s">
        <v>127</v>
      </c>
      <c r="L7" s="47" t="s">
        <v>128</v>
      </c>
      <c r="M7" s="47" t="s">
        <v>387</v>
      </c>
      <c r="N7" s="50" t="s">
        <v>388</v>
      </c>
      <c r="O7" s="29"/>
      <c r="P7" s="29"/>
      <c r="Q7" s="51" t="s">
        <v>389</v>
      </c>
      <c r="R7" s="52">
        <v>0</v>
      </c>
    </row>
    <row r="8" spans="1:18" ht="18" customHeight="1" x14ac:dyDescent="0.2">
      <c r="A8" s="30"/>
      <c r="B8" s="440" t="s">
        <v>390</v>
      </c>
      <c r="C8" s="53" t="s">
        <v>132</v>
      </c>
      <c r="D8" s="53">
        <v>6432</v>
      </c>
      <c r="E8" s="346">
        <v>10</v>
      </c>
      <c r="F8" s="65">
        <f>((E8*D8)*SUM(R7:R13))</f>
        <v>771840</v>
      </c>
      <c r="G8" s="56"/>
      <c r="H8" s="29"/>
      <c r="I8" s="57" t="str">
        <f>Rentroll!A2</f>
        <v>Penny</v>
      </c>
      <c r="J8" s="58">
        <f>Rentroll!C2</f>
        <v>1304</v>
      </c>
      <c r="K8" s="58" t="str">
        <f>Rentroll!B2</f>
        <v>shell and core</v>
      </c>
      <c r="L8" s="60">
        <f>Rentroll!F2</f>
        <v>329.4</v>
      </c>
      <c r="M8" s="60">
        <f>Rentroll!I2</f>
        <v>38</v>
      </c>
      <c r="N8" s="347">
        <f t="shared" ref="N8:N16" si="0">IF(J8&gt;0,J8,1)*(L8)</f>
        <v>429537.6</v>
      </c>
      <c r="O8" s="29"/>
      <c r="P8" s="29"/>
      <c r="Q8" s="62" t="s">
        <v>133</v>
      </c>
      <c r="R8" s="63">
        <v>6</v>
      </c>
    </row>
    <row r="9" spans="1:18" ht="18" customHeight="1" x14ac:dyDescent="0.2">
      <c r="A9" s="30"/>
      <c r="B9" s="348" t="s">
        <v>391</v>
      </c>
      <c r="C9" s="349" t="s">
        <v>144</v>
      </c>
      <c r="D9" s="350">
        <v>0.02</v>
      </c>
      <c r="E9" s="351">
        <f>E8*D9</f>
        <v>0.2</v>
      </c>
      <c r="F9" s="352">
        <f>F8*D9</f>
        <v>15436.800000000001</v>
      </c>
      <c r="G9" s="66"/>
      <c r="H9" s="29"/>
      <c r="I9" s="57">
        <f>Rentroll!A3</f>
        <v>0</v>
      </c>
      <c r="J9" s="58">
        <f>Rentroll!C3</f>
        <v>0</v>
      </c>
      <c r="K9" s="58">
        <f>Rentroll!B3</f>
        <v>0</v>
      </c>
      <c r="L9" s="60">
        <f>Rentroll!F3</f>
        <v>0</v>
      </c>
      <c r="M9" s="60">
        <f>Rentroll!I3</f>
        <v>0</v>
      </c>
      <c r="N9" s="347">
        <f t="shared" si="0"/>
        <v>0</v>
      </c>
      <c r="O9" s="29"/>
      <c r="P9" s="29"/>
      <c r="Q9" s="57" t="s">
        <v>136</v>
      </c>
      <c r="R9" s="69">
        <v>0</v>
      </c>
    </row>
    <row r="10" spans="1:18" ht="18" customHeight="1" x14ac:dyDescent="0.2">
      <c r="A10" s="30"/>
      <c r="B10" s="71" t="s">
        <v>146</v>
      </c>
      <c r="C10" s="498">
        <f>SUM(F8:F9)</f>
        <v>787276.80000000005</v>
      </c>
      <c r="D10" s="493"/>
      <c r="E10" s="493"/>
      <c r="F10" s="494"/>
      <c r="G10" s="66"/>
      <c r="H10" s="29"/>
      <c r="I10" s="57" t="str">
        <f>Rentroll!A4</f>
        <v>Elektra</v>
      </c>
      <c r="J10" s="58">
        <f>Rentroll!C4</f>
        <v>1</v>
      </c>
      <c r="K10" s="58" t="str">
        <f>Rentroll!B4</f>
        <v>pozemek</v>
      </c>
      <c r="L10" s="60">
        <f>Rentroll!F4</f>
        <v>31232</v>
      </c>
      <c r="M10" s="60">
        <f>Rentroll!I4</f>
        <v>38</v>
      </c>
      <c r="N10" s="347">
        <f t="shared" si="0"/>
        <v>31232</v>
      </c>
      <c r="O10" s="29"/>
      <c r="P10" s="29"/>
      <c r="Q10" s="57" t="s">
        <v>392</v>
      </c>
      <c r="R10" s="67">
        <v>0</v>
      </c>
    </row>
    <row r="11" spans="1:18" ht="18" customHeight="1" x14ac:dyDescent="0.2">
      <c r="B11" s="75" t="s">
        <v>147</v>
      </c>
      <c r="C11" s="21"/>
      <c r="D11" s="21"/>
      <c r="E11" s="21"/>
      <c r="F11" s="76">
        <f>C10/J17</f>
        <v>348.35256637168146</v>
      </c>
      <c r="G11" s="66"/>
      <c r="H11" s="29"/>
      <c r="I11" s="57" t="str">
        <f>Rentroll!A5</f>
        <v>Teta drogerie</v>
      </c>
      <c r="J11" s="58">
        <f>Rentroll!C5</f>
        <v>300</v>
      </c>
      <c r="K11" s="58" t="str">
        <f>Rentroll!B5</f>
        <v>full fit-out</v>
      </c>
      <c r="L11" s="60">
        <f>Rentroll!F5</f>
        <v>366</v>
      </c>
      <c r="M11" s="60">
        <f>Rentroll!I5</f>
        <v>38</v>
      </c>
      <c r="N11" s="347">
        <f t="shared" si="0"/>
        <v>109800</v>
      </c>
      <c r="O11" s="29"/>
      <c r="P11" s="29"/>
      <c r="Q11" s="68" t="s">
        <v>133</v>
      </c>
      <c r="R11" s="63">
        <v>0</v>
      </c>
    </row>
    <row r="12" spans="1:18" ht="18" customHeight="1" x14ac:dyDescent="0.2">
      <c r="B12" s="21"/>
      <c r="C12" s="21"/>
      <c r="D12" s="39"/>
      <c r="E12" s="41"/>
      <c r="F12" s="40"/>
      <c r="G12" s="72"/>
      <c r="H12" s="29"/>
      <c r="I12" s="57" t="str">
        <f>Rentroll!A6</f>
        <v>Trafika</v>
      </c>
      <c r="J12" s="58">
        <f>Rentroll!C6</f>
        <v>55</v>
      </c>
      <c r="K12" s="58" t="str">
        <f>Rentroll!B6</f>
        <v>full fit-out</v>
      </c>
      <c r="L12" s="60">
        <f>Rentroll!F6</f>
        <v>1464</v>
      </c>
      <c r="M12" s="60">
        <f>Rentroll!I6</f>
        <v>38</v>
      </c>
      <c r="N12" s="347">
        <f t="shared" si="0"/>
        <v>80520</v>
      </c>
      <c r="O12" s="29"/>
      <c r="P12" s="29"/>
      <c r="Q12" s="68" t="s">
        <v>136</v>
      </c>
      <c r="R12" s="69">
        <v>3</v>
      </c>
    </row>
    <row r="13" spans="1:18" ht="18" customHeight="1" x14ac:dyDescent="0.2">
      <c r="A13" s="30" t="s">
        <v>393</v>
      </c>
      <c r="B13" s="496" t="s">
        <v>394</v>
      </c>
      <c r="C13" s="493"/>
      <c r="D13" s="493"/>
      <c r="E13" s="493"/>
      <c r="F13" s="494"/>
      <c r="G13" s="77"/>
      <c r="H13" s="29"/>
      <c r="I13" s="57" t="str">
        <f>Rentroll!A7</f>
        <v>Sinsay</v>
      </c>
      <c r="J13" s="58">
        <f>Rentroll!C7</f>
        <v>500</v>
      </c>
      <c r="K13" s="58" t="str">
        <f>Rentroll!B7</f>
        <v>shell and core</v>
      </c>
      <c r="L13" s="60">
        <f>Rentroll!F7</f>
        <v>219.6</v>
      </c>
      <c r="M13" s="60">
        <f>Rentroll!I7</f>
        <v>38</v>
      </c>
      <c r="N13" s="347">
        <f t="shared" si="0"/>
        <v>109800</v>
      </c>
      <c r="O13" s="29"/>
      <c r="P13" s="29"/>
      <c r="Q13" s="57" t="s">
        <v>138</v>
      </c>
      <c r="R13" s="67">
        <v>3</v>
      </c>
    </row>
    <row r="14" spans="1:18" ht="18" customHeight="1" x14ac:dyDescent="0.2">
      <c r="A14" s="30"/>
      <c r="B14" s="80"/>
      <c r="C14" s="81" t="s">
        <v>123</v>
      </c>
      <c r="D14" s="46" t="s">
        <v>159</v>
      </c>
      <c r="E14" s="81" t="s">
        <v>160</v>
      </c>
      <c r="F14" s="82"/>
      <c r="G14" s="77"/>
      <c r="H14" s="29"/>
      <c r="I14" s="57" t="str">
        <f>Rentroll!A8</f>
        <v>Volná plocha</v>
      </c>
      <c r="J14" s="58">
        <f>Rentroll!C8</f>
        <v>100</v>
      </c>
      <c r="K14" s="58" t="str">
        <f>Rentroll!B8</f>
        <v>shell and core</v>
      </c>
      <c r="L14" s="60">
        <f>Rentroll!F8</f>
        <v>268.39999999999998</v>
      </c>
      <c r="M14" s="60">
        <f>Rentroll!I8</f>
        <v>38</v>
      </c>
      <c r="N14" s="347">
        <f t="shared" si="0"/>
        <v>26839.999999999996</v>
      </c>
      <c r="O14" s="29"/>
      <c r="P14" s="29"/>
      <c r="Q14" s="57" t="s">
        <v>139</v>
      </c>
      <c r="R14" s="67">
        <v>9</v>
      </c>
    </row>
    <row r="15" spans="1:18" ht="18" customHeight="1" x14ac:dyDescent="0.2">
      <c r="A15" s="30"/>
      <c r="B15" s="353" t="s">
        <v>173</v>
      </c>
      <c r="C15" s="90">
        <v>1</v>
      </c>
      <c r="D15" s="91" t="s">
        <v>132</v>
      </c>
      <c r="E15" s="54">
        <v>20000</v>
      </c>
      <c r="F15" s="55">
        <f>(E15*J17)</f>
        <v>45200000</v>
      </c>
      <c r="G15" s="77"/>
      <c r="H15" s="29"/>
      <c r="I15" s="57">
        <f>Rentroll!A9</f>
        <v>0</v>
      </c>
      <c r="J15" s="58">
        <f>Rentroll!C9</f>
        <v>0</v>
      </c>
      <c r="K15" s="58">
        <f>Rentroll!B9</f>
        <v>0</v>
      </c>
      <c r="L15" s="60">
        <f>Rentroll!F9</f>
        <v>0</v>
      </c>
      <c r="M15" s="60">
        <f>Rentroll!I9</f>
        <v>0</v>
      </c>
      <c r="N15" s="347">
        <f t="shared" si="0"/>
        <v>0</v>
      </c>
      <c r="O15" s="29"/>
      <c r="P15" s="29"/>
      <c r="Q15" s="354"/>
      <c r="R15" s="355"/>
    </row>
    <row r="16" spans="1:18" ht="18" customHeight="1" x14ac:dyDescent="0.2">
      <c r="A16" s="30"/>
      <c r="B16" s="441" t="s">
        <v>395</v>
      </c>
      <c r="C16" s="90">
        <v>1</v>
      </c>
      <c r="D16" s="91" t="s">
        <v>132</v>
      </c>
      <c r="E16" s="54">
        <v>10000</v>
      </c>
      <c r="F16" s="356">
        <f>SUMIF(K8:K15,"full fit-out",J8:J15)*E16</f>
        <v>3550000</v>
      </c>
      <c r="G16" s="77"/>
      <c r="H16" s="29"/>
      <c r="I16" s="57">
        <f>Rentroll!A10</f>
        <v>0</v>
      </c>
      <c r="J16" s="58">
        <f>Rentroll!C10</f>
        <v>0</v>
      </c>
      <c r="K16" s="58">
        <f>Rentroll!B10</f>
        <v>0</v>
      </c>
      <c r="L16" s="60">
        <f>Rentroll!F10</f>
        <v>0</v>
      </c>
      <c r="M16" s="60">
        <f>Rentroll!I10</f>
        <v>0</v>
      </c>
      <c r="N16" s="347">
        <f t="shared" si="0"/>
        <v>0</v>
      </c>
      <c r="O16" s="29"/>
      <c r="P16" s="29"/>
      <c r="Q16" s="73" t="s">
        <v>142</v>
      </c>
      <c r="R16" s="74">
        <v>3</v>
      </c>
    </row>
    <row r="17" spans="1:18" ht="18" customHeight="1" x14ac:dyDescent="0.15">
      <c r="A17" s="30"/>
      <c r="B17" s="441" t="s">
        <v>176</v>
      </c>
      <c r="C17" s="90">
        <v>1</v>
      </c>
      <c r="D17" s="357" t="s">
        <v>132</v>
      </c>
      <c r="E17" s="54">
        <v>1500</v>
      </c>
      <c r="F17" s="356">
        <f>D8*E17</f>
        <v>9648000</v>
      </c>
      <c r="G17" s="77"/>
      <c r="H17" s="29"/>
      <c r="I17" s="83" t="s">
        <v>148</v>
      </c>
      <c r="J17" s="358">
        <f>SUM(J8:J16)</f>
        <v>2260</v>
      </c>
      <c r="K17" s="358" t="s">
        <v>396</v>
      </c>
      <c r="L17" s="359">
        <f t="shared" ref="L17:M17" si="1">SUM(L8:L16)</f>
        <v>33879.4</v>
      </c>
      <c r="M17" s="360">
        <f t="shared" si="1"/>
        <v>228</v>
      </c>
      <c r="N17" s="361"/>
      <c r="O17" s="29"/>
      <c r="P17" s="29"/>
      <c r="Q17" s="78" t="s">
        <v>145</v>
      </c>
      <c r="R17" s="79">
        <f>SUM(R7:R16)</f>
        <v>24</v>
      </c>
    </row>
    <row r="18" spans="1:18" ht="18" customHeight="1" x14ac:dyDescent="0.15">
      <c r="B18" s="441" t="s">
        <v>397</v>
      </c>
      <c r="C18" s="362">
        <v>1</v>
      </c>
      <c r="D18" s="357" t="s">
        <v>132</v>
      </c>
      <c r="E18" s="363">
        <v>600</v>
      </c>
      <c r="F18" s="356">
        <f>D8*E18</f>
        <v>3859200</v>
      </c>
      <c r="G18" s="95"/>
      <c r="H18" s="29"/>
      <c r="I18" s="94" t="s">
        <v>149</v>
      </c>
      <c r="J18" s="550">
        <f>SUM(N8:N16)*12</f>
        <v>9452755.1999999993</v>
      </c>
      <c r="K18" s="551"/>
      <c r="L18" s="551"/>
      <c r="M18" s="551"/>
      <c r="N18" s="468"/>
      <c r="O18" s="29"/>
      <c r="P18" s="29"/>
      <c r="Q18" s="29"/>
      <c r="R18" s="29"/>
    </row>
    <row r="19" spans="1:18" ht="18" customHeight="1" x14ac:dyDescent="0.15">
      <c r="A19" s="30"/>
      <c r="B19" s="441" t="s">
        <v>398</v>
      </c>
      <c r="C19" s="362">
        <v>1</v>
      </c>
      <c r="D19" s="357" t="s">
        <v>132</v>
      </c>
      <c r="E19" s="363"/>
      <c r="F19" s="356">
        <f t="shared" ref="F19:F21" si="2">E19</f>
        <v>0</v>
      </c>
      <c r="G19" s="56"/>
      <c r="H19" s="29"/>
      <c r="I19" s="364" t="s">
        <v>399</v>
      </c>
      <c r="J19" s="442"/>
      <c r="K19" s="442"/>
      <c r="L19" s="442">
        <v>15</v>
      </c>
      <c r="M19" s="442"/>
      <c r="N19" s="365">
        <f>-L19 * D8 * 12</f>
        <v>-1157760</v>
      </c>
      <c r="O19" s="29"/>
      <c r="P19" s="29"/>
      <c r="Q19" s="29"/>
      <c r="R19" s="29"/>
    </row>
    <row r="20" spans="1:18" ht="18" customHeight="1" x14ac:dyDescent="0.15">
      <c r="A20" s="30"/>
      <c r="B20" s="441" t="s">
        <v>400</v>
      </c>
      <c r="C20" s="362">
        <v>1</v>
      </c>
      <c r="D20" s="357" t="s">
        <v>132</v>
      </c>
      <c r="E20" s="363">
        <v>2000000</v>
      </c>
      <c r="F20" s="356">
        <f t="shared" si="2"/>
        <v>2000000</v>
      </c>
      <c r="G20" s="95"/>
      <c r="H20" s="29"/>
      <c r="I20" s="366" t="s">
        <v>401</v>
      </c>
      <c r="J20" s="367"/>
      <c r="K20" s="367" t="s">
        <v>402</v>
      </c>
      <c r="L20" s="368"/>
      <c r="M20" s="369"/>
      <c r="N20" s="370">
        <f>(J18+N19)/C47</f>
        <v>9.9565956928468577E-2</v>
      </c>
      <c r="O20" s="29"/>
      <c r="P20" s="29"/>
      <c r="Q20" s="29"/>
      <c r="R20" s="29"/>
    </row>
    <row r="21" spans="1:18" ht="18" customHeight="1" x14ac:dyDescent="0.15">
      <c r="A21" s="30"/>
      <c r="B21" s="441" t="s">
        <v>403</v>
      </c>
      <c r="C21" s="362">
        <v>1</v>
      </c>
      <c r="D21" s="357" t="s">
        <v>132</v>
      </c>
      <c r="E21" s="363">
        <v>1000000</v>
      </c>
      <c r="F21" s="356">
        <f t="shared" si="2"/>
        <v>1000000</v>
      </c>
      <c r="G21" s="105"/>
      <c r="H21" s="29"/>
      <c r="I21" s="371" t="s">
        <v>404</v>
      </c>
      <c r="J21" s="101"/>
      <c r="K21" s="97"/>
      <c r="L21" s="97"/>
      <c r="M21" s="372">
        <v>0.06</v>
      </c>
      <c r="N21" s="373">
        <f>N20/M21</f>
        <v>1.6594326154744763</v>
      </c>
      <c r="O21" s="29"/>
      <c r="P21" s="29"/>
      <c r="Q21" s="497" t="s">
        <v>405</v>
      </c>
      <c r="R21" s="494"/>
    </row>
    <row r="22" spans="1:18" ht="18" customHeight="1" x14ac:dyDescent="0.15">
      <c r="B22" s="374" t="s">
        <v>406</v>
      </c>
      <c r="C22" s="375">
        <v>1</v>
      </c>
      <c r="D22" s="91" t="s">
        <v>144</v>
      </c>
      <c r="E22" s="376">
        <v>0.05</v>
      </c>
      <c r="F22" s="377">
        <f>SUM(F15:F17)*E22</f>
        <v>2919900</v>
      </c>
      <c r="G22" s="105"/>
      <c r="H22" s="29"/>
      <c r="I22" s="96" t="s">
        <v>151</v>
      </c>
      <c r="J22" s="97"/>
      <c r="K22" s="97"/>
      <c r="L22" s="97"/>
      <c r="M22" s="98">
        <v>15</v>
      </c>
      <c r="N22" s="99">
        <f>J17*M22*12</f>
        <v>406800</v>
      </c>
      <c r="O22" s="378"/>
      <c r="P22" s="29"/>
      <c r="Q22" s="379" t="s">
        <v>407</v>
      </c>
      <c r="R22" s="320">
        <v>0.255</v>
      </c>
    </row>
    <row r="23" spans="1:18" ht="18" customHeight="1" x14ac:dyDescent="0.15">
      <c r="A23" s="30"/>
      <c r="B23" s="71" t="s">
        <v>146</v>
      </c>
      <c r="C23" s="498">
        <f>SUM(F15:F22)</f>
        <v>68177100</v>
      </c>
      <c r="D23" s="493"/>
      <c r="E23" s="493"/>
      <c r="F23" s="494"/>
      <c r="G23" s="105"/>
      <c r="H23" s="29"/>
      <c r="I23" s="100" t="s">
        <v>155</v>
      </c>
      <c r="J23" s="97"/>
      <c r="K23" s="97"/>
      <c r="L23" s="102"/>
      <c r="M23" s="103"/>
      <c r="N23" s="104">
        <f>(Rentroll!L12-N22+N19)/C47</f>
        <v>0.10705303314687332</v>
      </c>
      <c r="O23" s="29"/>
      <c r="P23" s="29"/>
      <c r="Q23" s="96" t="s">
        <v>408</v>
      </c>
      <c r="R23" s="380">
        <f>R22*(C23+C44)</f>
        <v>21043692.229821</v>
      </c>
    </row>
    <row r="24" spans="1:18" ht="18" customHeight="1" x14ac:dyDescent="0.15">
      <c r="B24" s="75" t="s">
        <v>147</v>
      </c>
      <c r="C24" s="156"/>
      <c r="D24" s="156"/>
      <c r="E24" s="156"/>
      <c r="F24" s="381">
        <f>C23/J17</f>
        <v>30166.858407079646</v>
      </c>
      <c r="G24" s="105"/>
      <c r="H24" s="29"/>
      <c r="I24" s="106" t="s">
        <v>156</v>
      </c>
      <c r="J24" s="107"/>
      <c r="K24" s="107"/>
      <c r="L24" s="108"/>
      <c r="M24" s="109"/>
      <c r="N24" s="110">
        <v>7.1999999999999995E-2</v>
      </c>
      <c r="O24" s="29"/>
      <c r="P24" s="29"/>
      <c r="Q24" s="328" t="s">
        <v>372</v>
      </c>
      <c r="R24" s="382">
        <f>J26-R23-C23-C44+N25</f>
        <v>8610104.0544613414</v>
      </c>
    </row>
    <row r="25" spans="1:18" ht="18" customHeight="1" x14ac:dyDescent="0.15">
      <c r="B25" s="29"/>
      <c r="C25" s="38"/>
      <c r="D25" s="39"/>
      <c r="E25" s="41"/>
      <c r="F25" s="40"/>
      <c r="G25" s="105"/>
      <c r="H25" s="29"/>
      <c r="I25" s="111" t="s">
        <v>161</v>
      </c>
      <c r="J25" s="112"/>
      <c r="K25" s="112"/>
      <c r="L25" s="113"/>
      <c r="M25" s="114">
        <v>0.5</v>
      </c>
      <c r="N25" s="383">
        <f>(J26 - C47) * 0.19 * -M25</f>
        <v>-3030187.1281843344</v>
      </c>
      <c r="O25" s="29"/>
      <c r="P25" s="29"/>
      <c r="Q25" s="331" t="s">
        <v>373</v>
      </c>
      <c r="R25" s="316">
        <f>R24-F39</f>
        <v>8598294.9024613407</v>
      </c>
    </row>
    <row r="26" spans="1:18" ht="29.25" customHeight="1" x14ac:dyDescent="0.15">
      <c r="A26" s="30" t="s">
        <v>409</v>
      </c>
      <c r="B26" s="496" t="s">
        <v>410</v>
      </c>
      <c r="C26" s="493"/>
      <c r="D26" s="493"/>
      <c r="E26" s="493"/>
      <c r="F26" s="494"/>
      <c r="G26" s="105"/>
      <c r="H26" s="29"/>
      <c r="I26" s="123" t="s">
        <v>411</v>
      </c>
      <c r="J26" s="552">
        <f>(J18+N19)/N24</f>
        <v>115208266.66666667</v>
      </c>
      <c r="K26" s="493"/>
      <c r="L26" s="493"/>
      <c r="M26" s="493"/>
      <c r="N26" s="494"/>
      <c r="O26" s="29"/>
      <c r="P26" s="29"/>
    </row>
    <row r="27" spans="1:18" ht="18" customHeight="1" x14ac:dyDescent="0.15">
      <c r="A27" s="30"/>
      <c r="B27" s="384"/>
      <c r="C27" s="385" t="s">
        <v>123</v>
      </c>
      <c r="D27" s="386" t="s">
        <v>159</v>
      </c>
      <c r="E27" s="387" t="s">
        <v>412</v>
      </c>
      <c r="F27" s="388"/>
      <c r="G27" s="105"/>
      <c r="H27" s="29"/>
      <c r="I27" s="29"/>
      <c r="J27" s="38"/>
      <c r="K27" s="38"/>
      <c r="L27" s="39"/>
      <c r="M27" s="41"/>
      <c r="N27" s="40"/>
      <c r="O27" s="29"/>
      <c r="P27" s="29"/>
      <c r="Q27" s="497" t="s">
        <v>380</v>
      </c>
      <c r="R27" s="494"/>
    </row>
    <row r="28" spans="1:18" ht="27" customHeight="1" x14ac:dyDescent="0.15">
      <c r="A28" s="30"/>
      <c r="B28" s="389" t="s">
        <v>413</v>
      </c>
      <c r="C28" s="390">
        <v>1</v>
      </c>
      <c r="D28" s="391" t="s">
        <v>132</v>
      </c>
      <c r="E28" s="150">
        <v>0.05</v>
      </c>
      <c r="F28" s="388">
        <f t="shared" ref="F28:F30" si="3">E28*$C$23</f>
        <v>3408855</v>
      </c>
      <c r="G28" s="105"/>
      <c r="H28" s="29"/>
      <c r="I28" s="128"/>
      <c r="J28" s="129"/>
      <c r="K28" s="129"/>
      <c r="L28" s="129"/>
      <c r="M28" s="129"/>
      <c r="N28" s="130"/>
      <c r="O28" s="29"/>
      <c r="P28" s="29"/>
      <c r="Q28" s="379" t="str">
        <f>B8</f>
        <v>Pozemek</v>
      </c>
      <c r="R28" s="392">
        <f>C10</f>
        <v>787276.80000000005</v>
      </c>
    </row>
    <row r="29" spans="1:18" ht="27" customHeight="1" x14ac:dyDescent="0.15">
      <c r="A29" s="30"/>
      <c r="B29" s="389" t="s">
        <v>414</v>
      </c>
      <c r="C29" s="390">
        <v>1</v>
      </c>
      <c r="D29" s="391" t="s">
        <v>132</v>
      </c>
      <c r="E29" s="150">
        <v>0.03</v>
      </c>
      <c r="F29" s="388">
        <f t="shared" si="3"/>
        <v>2045313</v>
      </c>
      <c r="G29" s="105"/>
      <c r="H29" s="29"/>
      <c r="I29" s="393" t="s">
        <v>169</v>
      </c>
      <c r="J29" s="443"/>
      <c r="K29" s="443"/>
      <c r="L29" s="443"/>
      <c r="M29" s="553">
        <f>J26-C47+N25</f>
        <v>28866519.484282345</v>
      </c>
      <c r="N29" s="468"/>
      <c r="O29" s="29"/>
      <c r="P29" s="29"/>
      <c r="Q29" s="96" t="s">
        <v>415</v>
      </c>
      <c r="R29" s="380">
        <f>M29*25%</f>
        <v>7216629.8710705861</v>
      </c>
    </row>
    <row r="30" spans="1:18" ht="18" customHeight="1" x14ac:dyDescent="0.15">
      <c r="A30" s="30"/>
      <c r="B30" s="389" t="s">
        <v>416</v>
      </c>
      <c r="C30" s="394">
        <v>1</v>
      </c>
      <c r="D30" s="390" t="s">
        <v>132</v>
      </c>
      <c r="E30" s="150">
        <f>0.7%</f>
        <v>6.9999999999999993E-3</v>
      </c>
      <c r="F30" s="388">
        <f t="shared" si="3"/>
        <v>477239.69999999995</v>
      </c>
      <c r="G30" s="105"/>
      <c r="H30" s="29"/>
      <c r="I30" s="393"/>
      <c r="J30" s="443"/>
      <c r="K30" s="443"/>
      <c r="L30" s="443"/>
      <c r="M30" s="551"/>
      <c r="N30" s="468"/>
      <c r="O30" s="29"/>
      <c r="P30" s="29"/>
      <c r="Q30" s="328" t="str">
        <f>B28</f>
        <v>Architekt, projektant</v>
      </c>
      <c r="R30" s="382">
        <f>F28</f>
        <v>3408855</v>
      </c>
    </row>
    <row r="31" spans="1:18" ht="18" customHeight="1" x14ac:dyDescent="0.15">
      <c r="A31" s="30"/>
      <c r="B31" s="389" t="s">
        <v>245</v>
      </c>
      <c r="C31" s="390">
        <v>1</v>
      </c>
      <c r="D31" s="390" t="s">
        <v>417</v>
      </c>
      <c r="E31" s="150">
        <v>0.15</v>
      </c>
      <c r="F31" s="388">
        <f>E31*$J$18</f>
        <v>1417913.2799999998</v>
      </c>
      <c r="G31" s="105"/>
      <c r="H31" s="29"/>
      <c r="I31" s="132" t="s">
        <v>415</v>
      </c>
      <c r="J31" s="133"/>
      <c r="K31" s="133"/>
      <c r="L31" s="133"/>
      <c r="M31" s="133"/>
      <c r="N31" s="409">
        <f>M29/J26</f>
        <v>0.25055944611858588</v>
      </c>
      <c r="O31" s="29"/>
      <c r="P31" s="29"/>
      <c r="Q31" s="331" t="s">
        <v>373</v>
      </c>
      <c r="R31" s="316">
        <f>SUM(R28:R30)</f>
        <v>11412761.671070587</v>
      </c>
    </row>
    <row r="32" spans="1:18" ht="18" customHeight="1" x14ac:dyDescent="0.15">
      <c r="A32" s="30"/>
      <c r="B32" s="389" t="s">
        <v>157</v>
      </c>
      <c r="C32" s="390">
        <v>1</v>
      </c>
      <c r="D32" s="390" t="s">
        <v>417</v>
      </c>
      <c r="E32" s="150">
        <v>0.01</v>
      </c>
      <c r="F32" s="388">
        <f>E32*$J$26</f>
        <v>1152082.6666666667</v>
      </c>
      <c r="G32" s="105"/>
      <c r="H32" s="29"/>
      <c r="I32" s="132" t="s">
        <v>418</v>
      </c>
      <c r="J32" s="133"/>
      <c r="K32" s="134" t="s">
        <v>419</v>
      </c>
      <c r="L32" s="133"/>
      <c r="M32" s="133"/>
      <c r="N32" s="409">
        <f>M29/C47</f>
        <v>0.34648876417033431</v>
      </c>
      <c r="O32" s="29"/>
      <c r="P32" s="29"/>
      <c r="Q32" s="29"/>
      <c r="R32" s="29"/>
    </row>
    <row r="33" spans="1:18" ht="18" customHeight="1" x14ac:dyDescent="0.15">
      <c r="A33" s="30"/>
      <c r="B33" s="389" t="s">
        <v>420</v>
      </c>
      <c r="C33" s="390">
        <v>1</v>
      </c>
      <c r="D33" s="390" t="s">
        <v>417</v>
      </c>
      <c r="E33" s="150">
        <f>0.5%</f>
        <v>5.0000000000000001E-3</v>
      </c>
      <c r="F33" s="388">
        <f t="shared" ref="F33:F38" si="4">E33*$C$23</f>
        <v>340885.5</v>
      </c>
      <c r="G33" s="40"/>
      <c r="H33" s="131"/>
      <c r="I33" s="135" t="s">
        <v>174</v>
      </c>
      <c r="J33" s="136"/>
      <c r="K33" s="136"/>
      <c r="L33" s="136"/>
      <c r="M33" s="136"/>
      <c r="N33" s="410">
        <f>M29/(C47*E41)</f>
        <v>0.98996789762952653</v>
      </c>
      <c r="O33" s="29"/>
      <c r="P33" s="29"/>
      <c r="Q33" s="29"/>
      <c r="R33" s="29"/>
    </row>
    <row r="34" spans="1:18" ht="18" customHeight="1" x14ac:dyDescent="0.15">
      <c r="A34" s="30"/>
      <c r="B34" s="389" t="s">
        <v>421</v>
      </c>
      <c r="C34" s="390">
        <v>1</v>
      </c>
      <c r="D34" s="390" t="s">
        <v>417</v>
      </c>
      <c r="E34" s="150">
        <f>0.2%</f>
        <v>2E-3</v>
      </c>
      <c r="F34" s="388">
        <f t="shared" si="4"/>
        <v>136354.20000000001</v>
      </c>
      <c r="G34" s="40"/>
      <c r="H34" s="131"/>
      <c r="I34" s="29"/>
      <c r="J34" s="38"/>
      <c r="K34" s="38"/>
      <c r="L34" s="39"/>
      <c r="M34" s="41"/>
      <c r="N34" s="40"/>
      <c r="O34" s="29"/>
      <c r="P34" s="29"/>
      <c r="Q34" s="29"/>
      <c r="R34" s="29"/>
    </row>
    <row r="35" spans="1:18" ht="24.75" customHeight="1" x14ac:dyDescent="0.15">
      <c r="A35" s="30"/>
      <c r="B35" s="389" t="s">
        <v>422</v>
      </c>
      <c r="C35" s="394">
        <v>1</v>
      </c>
      <c r="D35" s="390" t="s">
        <v>132</v>
      </c>
      <c r="E35" s="150">
        <v>0</v>
      </c>
      <c r="F35" s="388">
        <f t="shared" si="4"/>
        <v>0</v>
      </c>
      <c r="G35" s="40"/>
      <c r="H35" s="131"/>
      <c r="I35" s="29"/>
      <c r="J35" s="38"/>
      <c r="K35" s="38"/>
      <c r="L35" s="39"/>
      <c r="M35" s="41"/>
      <c r="N35" s="40"/>
      <c r="O35" s="29"/>
      <c r="P35" s="29"/>
      <c r="Q35" s="29"/>
      <c r="R35" s="29"/>
    </row>
    <row r="36" spans="1:18" ht="18" customHeight="1" x14ac:dyDescent="0.15">
      <c r="A36" s="30"/>
      <c r="B36" s="389" t="s">
        <v>423</v>
      </c>
      <c r="C36" s="394">
        <v>1</v>
      </c>
      <c r="D36" s="390" t="s">
        <v>132</v>
      </c>
      <c r="E36" s="150">
        <v>0</v>
      </c>
      <c r="F36" s="388">
        <f t="shared" si="4"/>
        <v>0</v>
      </c>
      <c r="G36" s="40"/>
      <c r="H36" s="29"/>
      <c r="I36" s="139"/>
      <c r="J36" s="29"/>
      <c r="K36" s="29"/>
      <c r="L36" s="29"/>
      <c r="M36" s="29"/>
      <c r="N36" s="138"/>
      <c r="O36" s="29"/>
      <c r="P36" s="29"/>
      <c r="Q36" s="29"/>
      <c r="R36" s="29"/>
    </row>
    <row r="37" spans="1:18" ht="18" customHeight="1" x14ac:dyDescent="0.15">
      <c r="A37" s="30"/>
      <c r="B37" s="389" t="s">
        <v>424</v>
      </c>
      <c r="C37" s="394">
        <v>1</v>
      </c>
      <c r="D37" s="390" t="s">
        <v>132</v>
      </c>
      <c r="E37" s="150">
        <f>0.1%</f>
        <v>1E-3</v>
      </c>
      <c r="F37" s="388">
        <f t="shared" si="4"/>
        <v>68177.100000000006</v>
      </c>
      <c r="G37" s="40"/>
      <c r="H37" s="29"/>
      <c r="I37" s="395"/>
      <c r="J37" s="29"/>
      <c r="K37" s="29"/>
      <c r="L37" s="139"/>
      <c r="M37" s="139"/>
      <c r="N37" s="138"/>
      <c r="O37" s="29"/>
      <c r="P37" s="29"/>
      <c r="Q37" s="496" t="s">
        <v>365</v>
      </c>
      <c r="R37" s="494"/>
    </row>
    <row r="38" spans="1:18" ht="18" customHeight="1" x14ac:dyDescent="0.15">
      <c r="A38" s="30"/>
      <c r="B38" s="389" t="s">
        <v>425</v>
      </c>
      <c r="C38" s="394">
        <v>1</v>
      </c>
      <c r="D38" s="390" t="s">
        <v>132</v>
      </c>
      <c r="E38" s="150">
        <f>0.3%</f>
        <v>3.0000000000000001E-3</v>
      </c>
      <c r="F38" s="388">
        <f t="shared" si="4"/>
        <v>204531.30000000002</v>
      </c>
      <c r="G38" s="40"/>
      <c r="H38" s="29"/>
      <c r="I38" s="395"/>
      <c r="J38" s="29"/>
      <c r="K38" s="29"/>
      <c r="L38" s="29"/>
      <c r="M38" s="29"/>
      <c r="N38" s="396"/>
      <c r="O38" s="29"/>
      <c r="P38" s="29"/>
      <c r="Q38" s="306" t="s">
        <v>367</v>
      </c>
      <c r="R38" s="307" t="s">
        <v>368</v>
      </c>
    </row>
    <row r="39" spans="1:18" ht="18" customHeight="1" x14ac:dyDescent="0.15">
      <c r="A39" s="30"/>
      <c r="B39" s="397" t="s">
        <v>426</v>
      </c>
      <c r="C39" s="398">
        <v>0.15</v>
      </c>
      <c r="D39" s="390" t="s">
        <v>427</v>
      </c>
      <c r="E39" s="399">
        <v>0.1</v>
      </c>
      <c r="F39" s="388">
        <f>((C10*E39)*C39/12)*SUM(R7:R13)</f>
        <v>11809.152</v>
      </c>
      <c r="G39" s="40"/>
      <c r="H39" s="29"/>
      <c r="I39" s="400"/>
      <c r="J39" s="29"/>
      <c r="K39" s="29"/>
      <c r="L39" s="29"/>
      <c r="M39" s="75"/>
      <c r="N39" s="401"/>
      <c r="O39" s="29"/>
      <c r="P39" s="29"/>
      <c r="Q39" s="310">
        <f t="shared" ref="Q39:Q42" si="5">IF((($J$18+$N$19)/R39-$C$47+$N$24)&gt;0,($J$18/R39-$C$47+$N$24),0)</f>
        <v>47976706.684466675</v>
      </c>
      <c r="R39" s="337">
        <f>N24</f>
        <v>7.1999999999999995E-2</v>
      </c>
    </row>
    <row r="40" spans="1:18" ht="18" customHeight="1" x14ac:dyDescent="0.15">
      <c r="A40" s="30"/>
      <c r="B40" s="397" t="s">
        <v>428</v>
      </c>
      <c r="C40" s="398">
        <v>0.1</v>
      </c>
      <c r="D40" s="390" t="s">
        <v>427</v>
      </c>
      <c r="E40" s="399">
        <v>0.65</v>
      </c>
      <c r="F40" s="388">
        <f>((C23*E40+SUM(F28:F38)*E40)*C40/12)*SUM(R14:R16)</f>
        <v>5032849.3635333329</v>
      </c>
      <c r="G40" s="40"/>
      <c r="H40" s="29"/>
      <c r="I40" s="395"/>
      <c r="J40" s="29"/>
      <c r="K40" s="29"/>
      <c r="L40" s="29"/>
      <c r="N40" s="40"/>
      <c r="O40" s="29"/>
      <c r="P40" s="29"/>
      <c r="Q40" s="310">
        <f t="shared" si="5"/>
        <v>39451494.563254535</v>
      </c>
      <c r="R40" s="338">
        <f t="shared" ref="R40:R42" si="6">R39+0.5%</f>
        <v>7.6999999999999999E-2</v>
      </c>
    </row>
    <row r="41" spans="1:18" ht="18" customHeight="1" x14ac:dyDescent="0.15">
      <c r="A41" s="30"/>
      <c r="B41" s="389" t="s">
        <v>429</v>
      </c>
      <c r="C41" s="398">
        <v>0</v>
      </c>
      <c r="D41" s="390" t="s">
        <v>427</v>
      </c>
      <c r="E41" s="399">
        <f>100%-E40</f>
        <v>0.35</v>
      </c>
      <c r="F41" s="388">
        <f>(((C23*E41+SUM(F28:F38)*E41)*C41/12)*SUM(R14:R16))</f>
        <v>0</v>
      </c>
      <c r="G41" s="40"/>
      <c r="H41" s="29"/>
      <c r="I41" s="29"/>
      <c r="J41" s="29"/>
      <c r="K41" s="29"/>
      <c r="L41" s="29"/>
      <c r="N41" s="40"/>
      <c r="O41" s="29"/>
      <c r="P41" s="29"/>
      <c r="Q41" s="310">
        <f t="shared" si="5"/>
        <v>31965942.456824381</v>
      </c>
      <c r="R41" s="104">
        <f t="shared" si="6"/>
        <v>8.2000000000000003E-2</v>
      </c>
    </row>
    <row r="42" spans="1:18" ht="18" customHeight="1" x14ac:dyDescent="0.15">
      <c r="A42" s="30"/>
      <c r="B42" s="397" t="s">
        <v>430</v>
      </c>
      <c r="C42" s="398">
        <v>0.1</v>
      </c>
      <c r="D42" s="390" t="s">
        <v>427</v>
      </c>
      <c r="E42" s="399">
        <f t="shared" ref="E42:E43" si="7">E40</f>
        <v>0.65</v>
      </c>
      <c r="F42" s="388">
        <f>(((C10*E42)*C42/12)*SUM(R14:R16))</f>
        <v>51172.991999999998</v>
      </c>
      <c r="G42" s="40"/>
      <c r="H42" s="29"/>
      <c r="I42" s="29"/>
      <c r="J42" s="38"/>
      <c r="K42" s="38"/>
      <c r="L42" s="39"/>
      <c r="N42" s="40"/>
      <c r="O42" s="29"/>
      <c r="P42" s="29"/>
      <c r="Q42" s="310">
        <f t="shared" si="5"/>
        <v>25340798.638489638</v>
      </c>
      <c r="R42" s="437">
        <f t="shared" si="6"/>
        <v>8.7000000000000008E-2</v>
      </c>
    </row>
    <row r="43" spans="1:18" ht="18" customHeight="1" x14ac:dyDescent="0.15">
      <c r="A43" s="30"/>
      <c r="B43" s="389" t="s">
        <v>431</v>
      </c>
      <c r="C43" s="398">
        <v>0</v>
      </c>
      <c r="D43" s="390" t="s">
        <v>427</v>
      </c>
      <c r="E43" s="399">
        <f t="shared" si="7"/>
        <v>0.35</v>
      </c>
      <c r="F43" s="388">
        <f>(((C10*E43)*C43/12)*SUM(R14:R16))</f>
        <v>0</v>
      </c>
      <c r="G43" s="40"/>
      <c r="H43" s="29"/>
      <c r="I43" s="29"/>
      <c r="J43" s="38"/>
      <c r="K43" s="38"/>
      <c r="L43" s="39"/>
      <c r="M43" s="75"/>
      <c r="N43" s="40"/>
      <c r="O43" s="29"/>
      <c r="P43" s="29"/>
      <c r="Q43" s="317">
        <f>($J$18+$N$19)/R43-$C$47+$N$24</f>
        <v>3.0994415228802197E-9</v>
      </c>
      <c r="R43" s="318">
        <f>(J18+N19)/($C$47-$N$24)</f>
        <v>9.9565957014516038E-2</v>
      </c>
    </row>
    <row r="44" spans="1:18" ht="18" customHeight="1" x14ac:dyDescent="0.15">
      <c r="A44" s="30"/>
      <c r="B44" s="71" t="s">
        <v>146</v>
      </c>
      <c r="C44" s="498">
        <f>SUM(F28:F43)</f>
        <v>14347183.2542</v>
      </c>
      <c r="D44" s="493"/>
      <c r="E44" s="493"/>
      <c r="F44" s="494"/>
      <c r="G44" s="40"/>
      <c r="H44" s="29"/>
      <c r="I44" s="29"/>
      <c r="J44" s="38"/>
      <c r="K44" s="38"/>
      <c r="L44" s="39"/>
      <c r="M44" s="41"/>
      <c r="N44" s="40"/>
      <c r="O44" s="29"/>
      <c r="P44" s="29"/>
      <c r="Q44" s="29"/>
      <c r="R44" s="38"/>
    </row>
    <row r="45" spans="1:18" ht="18" customHeight="1" x14ac:dyDescent="0.15">
      <c r="A45" s="30"/>
      <c r="B45" s="402" t="s">
        <v>147</v>
      </c>
      <c r="C45" s="156"/>
      <c r="D45" s="156"/>
      <c r="E45" s="156"/>
      <c r="F45" s="381">
        <f>C44/J17</f>
        <v>6348.311174424779</v>
      </c>
      <c r="G45" s="40"/>
      <c r="H45" s="29"/>
      <c r="I45" s="29"/>
      <c r="J45" s="38"/>
      <c r="K45" s="38"/>
      <c r="L45" s="39"/>
      <c r="M45" s="41"/>
      <c r="N45" s="40"/>
      <c r="O45" s="29"/>
      <c r="P45" s="29"/>
      <c r="Q45" s="29"/>
      <c r="R45" s="29"/>
    </row>
    <row r="46" spans="1:18" ht="18" customHeight="1" x14ac:dyDescent="0.15">
      <c r="A46" s="30"/>
      <c r="B46" s="29"/>
      <c r="C46" s="38"/>
      <c r="D46" s="39"/>
      <c r="E46" s="41"/>
      <c r="F46" s="40"/>
      <c r="G46" s="40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38"/>
    </row>
    <row r="47" spans="1:18" ht="18" customHeight="1" x14ac:dyDescent="0.15">
      <c r="A47" s="30"/>
      <c r="B47" s="166" t="s">
        <v>432</v>
      </c>
      <c r="C47" s="527">
        <f>SUM(C44,C23,C10)</f>
        <v>83311560.054199994</v>
      </c>
      <c r="D47" s="493"/>
      <c r="E47" s="493"/>
      <c r="F47" s="494"/>
      <c r="G47" s="40"/>
      <c r="H47" s="29"/>
      <c r="I47" s="29"/>
      <c r="J47" s="38"/>
      <c r="K47" s="38"/>
      <c r="L47" s="554"/>
      <c r="M47" s="469"/>
      <c r="N47" s="469"/>
      <c r="O47" s="29"/>
      <c r="P47" s="29"/>
      <c r="Q47" s="496" t="s">
        <v>375</v>
      </c>
      <c r="R47" s="494"/>
    </row>
    <row r="48" spans="1:18" ht="18" customHeight="1" x14ac:dyDescent="0.15">
      <c r="A48" s="30"/>
      <c r="B48" s="29"/>
      <c r="C48" s="38"/>
      <c r="D48" s="39"/>
      <c r="E48" s="41"/>
      <c r="F48" s="40"/>
      <c r="G48" s="40"/>
      <c r="H48" s="29"/>
      <c r="I48" s="29"/>
      <c r="J48" s="38"/>
      <c r="K48" s="38"/>
      <c r="L48" s="39"/>
      <c r="M48" s="41"/>
      <c r="N48" s="40"/>
      <c r="O48" s="29"/>
      <c r="P48" s="29"/>
      <c r="Q48" s="306" t="s">
        <v>367</v>
      </c>
      <c r="R48" s="307" t="s">
        <v>377</v>
      </c>
    </row>
    <row r="49" spans="2:18" ht="18" customHeight="1" x14ac:dyDescent="0.15">
      <c r="B49" s="167" t="s">
        <v>192</v>
      </c>
      <c r="C49" s="528">
        <f>C47/J17</f>
        <v>36863.522147876101</v>
      </c>
      <c r="D49" s="493"/>
      <c r="E49" s="493"/>
      <c r="F49" s="494"/>
      <c r="G49" s="40"/>
      <c r="H49" s="29"/>
      <c r="I49" s="29"/>
      <c r="J49" s="38"/>
      <c r="K49" s="38"/>
      <c r="L49" s="39"/>
      <c r="M49" s="41"/>
      <c r="N49" s="40"/>
      <c r="O49" s="29"/>
      <c r="P49" s="29"/>
      <c r="Q49" s="310">
        <f t="shared" ref="Q49:Q52" si="8">$J$26-$C$44-$C$10-$C$23*(1+R49)</f>
        <v>31896706.612466678</v>
      </c>
      <c r="R49" s="337">
        <v>0</v>
      </c>
    </row>
    <row r="50" spans="2:18" ht="18" customHeight="1" x14ac:dyDescent="0.15">
      <c r="B50" s="29"/>
      <c r="C50" s="38"/>
      <c r="D50" s="39"/>
      <c r="E50" s="41"/>
      <c r="F50" s="40"/>
      <c r="G50" s="40"/>
      <c r="H50" s="29"/>
      <c r="I50" s="29"/>
      <c r="J50" s="38"/>
      <c r="K50" s="38"/>
      <c r="L50" s="39"/>
      <c r="M50" s="41"/>
      <c r="N50" s="40"/>
      <c r="O50" s="29"/>
      <c r="P50" s="29"/>
      <c r="Q50" s="310">
        <f t="shared" si="8"/>
        <v>25078996.612466678</v>
      </c>
      <c r="R50" s="338">
        <v>0.1</v>
      </c>
    </row>
    <row r="51" spans="2:18" ht="18" customHeight="1" x14ac:dyDescent="0.15">
      <c r="G51" s="40"/>
      <c r="H51" s="29"/>
      <c r="I51" s="29"/>
      <c r="J51" s="38"/>
      <c r="K51" s="38"/>
      <c r="L51" s="39"/>
      <c r="M51" s="41"/>
      <c r="N51" s="40"/>
      <c r="O51" s="29"/>
      <c r="P51" s="29"/>
      <c r="Q51" s="310">
        <f t="shared" si="8"/>
        <v>14852431.612466678</v>
      </c>
      <c r="R51" s="104">
        <v>0.25</v>
      </c>
    </row>
    <row r="52" spans="2:18" ht="18" customHeight="1" x14ac:dyDescent="0.15">
      <c r="F52" s="439"/>
      <c r="G52" s="40"/>
      <c r="H52" s="29"/>
      <c r="I52" s="29"/>
      <c r="J52" s="38"/>
      <c r="K52" s="38"/>
      <c r="L52" s="39"/>
      <c r="M52" s="41"/>
      <c r="N52" s="40"/>
      <c r="O52" s="29"/>
      <c r="P52" s="29"/>
      <c r="Q52" s="317">
        <f t="shared" si="8"/>
        <v>-7.1999996900558472E-2</v>
      </c>
      <c r="R52" s="318">
        <f>(J26-C44-C10+N24)/C23-1</f>
        <v>0.46785073997671756</v>
      </c>
    </row>
    <row r="53" spans="2:18" ht="18" customHeight="1" x14ac:dyDescent="0.15">
      <c r="G53" s="40"/>
      <c r="H53" s="29"/>
      <c r="I53" s="29"/>
      <c r="J53" s="38"/>
      <c r="K53" s="38"/>
      <c r="L53" s="39"/>
      <c r="M53" s="41"/>
      <c r="N53" s="40"/>
      <c r="O53" s="29"/>
      <c r="P53" s="29"/>
      <c r="Q53" s="29"/>
      <c r="R53" s="29"/>
    </row>
    <row r="54" spans="2:18" ht="18" customHeight="1" x14ac:dyDescent="0.15">
      <c r="G54" s="40"/>
      <c r="H54" s="29"/>
      <c r="I54" s="29"/>
      <c r="J54" s="38"/>
      <c r="K54" s="38"/>
      <c r="L54" s="39"/>
      <c r="M54" s="41"/>
      <c r="N54" s="40"/>
      <c r="O54" s="29"/>
      <c r="P54" s="29"/>
      <c r="Q54" s="29"/>
      <c r="R54" s="29"/>
    </row>
    <row r="55" spans="2:18" ht="18" customHeight="1" x14ac:dyDescent="0.15">
      <c r="G55" s="40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</row>
    <row r="56" spans="2:18" ht="18" customHeight="1" x14ac:dyDescent="0.15">
      <c r="B56" s="29"/>
      <c r="C56" s="38"/>
      <c r="D56" s="39"/>
      <c r="E56" s="41"/>
      <c r="F56" s="40"/>
      <c r="G56" s="40"/>
      <c r="H56" s="29"/>
      <c r="I56" s="29"/>
      <c r="J56" s="29"/>
      <c r="K56" s="29"/>
      <c r="L56" s="29"/>
      <c r="M56" s="29"/>
      <c r="N56" s="29"/>
      <c r="O56" s="29"/>
      <c r="P56" s="29"/>
      <c r="Q56" s="496" t="s">
        <v>381</v>
      </c>
      <c r="R56" s="494"/>
    </row>
    <row r="57" spans="2:18" ht="18" customHeight="1" x14ac:dyDescent="0.15">
      <c r="B57" s="29"/>
      <c r="C57" s="38"/>
      <c r="D57" s="39"/>
      <c r="E57" s="41"/>
      <c r="F57" s="40"/>
      <c r="G57" s="40"/>
      <c r="H57" s="29"/>
      <c r="I57" s="29"/>
      <c r="J57" s="29"/>
      <c r="K57" s="29"/>
      <c r="L57" s="29"/>
      <c r="M57" s="29"/>
      <c r="N57" s="29"/>
      <c r="O57" s="29"/>
      <c r="P57" s="29"/>
      <c r="Q57" s="306" t="s">
        <v>367</v>
      </c>
      <c r="R57" s="307" t="s">
        <v>383</v>
      </c>
    </row>
    <row r="58" spans="2:18" ht="18" customHeight="1" x14ac:dyDescent="0.15">
      <c r="B58" s="29"/>
      <c r="C58" s="38"/>
      <c r="D58" s="39"/>
      <c r="E58" s="41"/>
      <c r="F58" s="40"/>
      <c r="G58" s="40"/>
      <c r="H58" s="29"/>
      <c r="I58" s="29"/>
      <c r="J58" s="29"/>
      <c r="K58" s="29"/>
      <c r="L58" s="29"/>
      <c r="M58" s="29"/>
      <c r="N58" s="29"/>
      <c r="O58" s="29"/>
      <c r="P58" s="29"/>
      <c r="Q58" s="310">
        <f t="shared" ref="Q58:Q61" si="9">$J$26 + -$C$10 - $C$23 - SUM($F$28:$F$38) - (($C$10 * $E$39) * $C$39 / 12) * (SUM($R$7:$R$13) + R58) - (($C$23 * $E$40 + SUM($F$28:$F$38) * $E$40) * $C$40 / 12) * (SUM($R$14:$R$16) + R58) - (($C$10 * $E$42) * $C$42 / 12) * (SUM($R$14:$R$16) + R58)</f>
        <v>31896706.612466671</v>
      </c>
      <c r="R58" s="344">
        <v>0</v>
      </c>
    </row>
    <row r="59" spans="2:18" ht="18" customHeight="1" x14ac:dyDescent="0.15">
      <c r="B59" s="29"/>
      <c r="C59" s="38"/>
      <c r="D59" s="39"/>
      <c r="E59" s="41"/>
      <c r="F59" s="40"/>
      <c r="G59" s="40"/>
      <c r="H59" s="29"/>
      <c r="I59" s="29"/>
      <c r="J59" s="29"/>
      <c r="K59" s="29"/>
      <c r="L59" s="29"/>
      <c r="M59" s="29"/>
      <c r="N59" s="29"/>
      <c r="O59" s="29"/>
      <c r="P59" s="29"/>
      <c r="Q59" s="310">
        <f t="shared" si="9"/>
        <v>29348790.858700003</v>
      </c>
      <c r="R59" s="344">
        <v>6</v>
      </c>
    </row>
    <row r="60" spans="2:18" ht="18" customHeight="1" x14ac:dyDescent="0.15">
      <c r="B60" s="29"/>
      <c r="C60" s="38"/>
      <c r="D60" s="39"/>
      <c r="E60" s="41"/>
      <c r="F60" s="40"/>
      <c r="G60" s="40"/>
      <c r="H60" s="29"/>
      <c r="I60" s="29"/>
      <c r="J60" s="29"/>
      <c r="K60" s="29"/>
      <c r="L60" s="29"/>
      <c r="M60" s="29"/>
      <c r="N60" s="29"/>
      <c r="O60" s="29"/>
      <c r="P60" s="29"/>
      <c r="Q60" s="310">
        <f t="shared" si="9"/>
        <v>26800875.10493334</v>
      </c>
      <c r="R60" s="344">
        <v>12</v>
      </c>
    </row>
    <row r="61" spans="2:18" ht="18" customHeight="1" x14ac:dyDescent="0.15">
      <c r="B61" s="29"/>
      <c r="C61" s="38"/>
      <c r="D61" s="39"/>
      <c r="E61" s="41"/>
      <c r="F61" s="40"/>
      <c r="G61" s="40"/>
      <c r="H61" s="29"/>
      <c r="I61" s="29"/>
      <c r="J61" s="29"/>
      <c r="K61" s="29"/>
      <c r="L61" s="29"/>
      <c r="M61" s="29"/>
      <c r="N61" s="29"/>
      <c r="O61" s="29"/>
      <c r="P61" s="29"/>
      <c r="Q61" s="317">
        <f t="shared" si="9"/>
        <v>21705043.597400006</v>
      </c>
      <c r="R61" s="403">
        <v>24</v>
      </c>
    </row>
  </sheetData>
  <mergeCells count="23">
    <mergeCell ref="B26:F26"/>
    <mergeCell ref="Q27:R27"/>
    <mergeCell ref="Q47:R47"/>
    <mergeCell ref="Q56:R56"/>
    <mergeCell ref="J26:N26"/>
    <mergeCell ref="M29:N30"/>
    <mergeCell ref="Q37:R37"/>
    <mergeCell ref="C44:F44"/>
    <mergeCell ref="C47:F47"/>
    <mergeCell ref="L47:N47"/>
    <mergeCell ref="C49:F49"/>
    <mergeCell ref="C10:F10"/>
    <mergeCell ref="B13:F13"/>
    <mergeCell ref="J18:N18"/>
    <mergeCell ref="Q21:R21"/>
    <mergeCell ref="C23:F23"/>
    <mergeCell ref="B1:N1"/>
    <mergeCell ref="B4:F4"/>
    <mergeCell ref="I4:N4"/>
    <mergeCell ref="Q4:R4"/>
    <mergeCell ref="B6:F6"/>
    <mergeCell ref="I6:N6"/>
    <mergeCell ref="Q6:R6"/>
  </mergeCells>
  <conditionalFormatting sqref="I29 M29">
    <cfRule type="cellIs" dxfId="3" priority="1" operator="lessThan">
      <formula>0</formula>
    </cfRule>
  </conditionalFormatting>
  <conditionalFormatting sqref="I31:M33">
    <cfRule type="cellIs" dxfId="2" priority="2" operator="lessThan">
      <formula>0</formula>
    </cfRule>
  </conditionalFormatting>
  <conditionalFormatting sqref="R24:R25">
    <cfRule type="cellIs" dxfId="1" priority="3" operator="lessThan">
      <formula>0</formula>
    </cfRule>
  </conditionalFormatting>
  <conditionalFormatting sqref="R30:R31">
    <cfRule type="cellIs" dxfId="0" priority="4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E86"/>
  <sheetViews>
    <sheetView topLeftCell="A39" workbookViewId="0">
      <selection activeCell="B52" sqref="B52"/>
    </sheetView>
  </sheetViews>
  <sheetFormatPr baseColWidth="10" defaultColWidth="12.6640625" defaultRowHeight="15" customHeight="1" x14ac:dyDescent="0.15"/>
  <cols>
    <col min="1" max="1" width="20" customWidth="1"/>
    <col min="2" max="2" width="25.33203125" customWidth="1"/>
    <col min="3" max="3" width="24.83203125" customWidth="1"/>
    <col min="4" max="4" width="20.1640625" customWidth="1"/>
    <col min="5" max="5" width="24.83203125" customWidth="1"/>
  </cols>
  <sheetData>
    <row r="1" spans="1:5" ht="15" customHeight="1" x14ac:dyDescent="0.2">
      <c r="A1" s="22"/>
      <c r="B1" s="22" t="s">
        <v>36</v>
      </c>
      <c r="C1" s="22" t="s">
        <v>37</v>
      </c>
      <c r="D1" s="22" t="s">
        <v>38</v>
      </c>
      <c r="E1" s="22" t="s">
        <v>37</v>
      </c>
    </row>
    <row r="2" spans="1:5" ht="15" customHeight="1" x14ac:dyDescent="0.2">
      <c r="A2" s="444" t="s">
        <v>39</v>
      </c>
      <c r="B2" s="23">
        <v>14000</v>
      </c>
      <c r="C2" s="24">
        <f t="array" ref="C2">IF(ISNUMBER(MATCH(A2, Rentroll!A:A, 0)), INDEX(Rentroll!C:C, MATCH(A2, Rentroll!A:A, 0)) * B2, 0)</f>
        <v>0</v>
      </c>
      <c r="D2" s="446">
        <v>9500</v>
      </c>
      <c r="E2" s="24">
        <f t="array" ref="E2">IFERROR(IF(AND(ISNUMBER(MATCH(A2, Rentroll!A:A, 0)), INDEX(Rentroll!B:B, MATCH(A2, Rentroll!A:A, 0)) = "full fit-out"), INDEX(Rentroll!C:C, MATCH(A2, Rentroll!A:A, 0)) * D2, 0), 0)</f>
        <v>0</v>
      </c>
    </row>
    <row r="3" spans="1:5" ht="15" customHeight="1" x14ac:dyDescent="0.2">
      <c r="A3" s="445"/>
      <c r="B3" s="23">
        <v>14000</v>
      </c>
      <c r="C3" s="24">
        <f t="array" ref="C3">IF(ISNUMBER(MATCH(A3, Rentroll!A:A, 0)), INDEX(Rentroll!C:C, MATCH(A3, Rentroll!A:A, 0)) * B3, 0)</f>
        <v>0</v>
      </c>
      <c r="D3" s="447">
        <v>9500</v>
      </c>
      <c r="E3" s="24">
        <f t="array" ref="E3">IFERROR(IF(AND(ISNUMBER(MATCH(A3, Rentroll!A:A, 0)), INDEX(Rentroll!B:B, MATCH(A3, Rentroll!A:A, 0)) = "full fit-out"), INDEX(Rentroll!C:C, MATCH(A3, Rentroll!A:A, 0)) * D3, 0), 0)</f>
        <v>0</v>
      </c>
    </row>
    <row r="4" spans="1:5" ht="15" customHeight="1" x14ac:dyDescent="0.2">
      <c r="A4" s="445" t="s">
        <v>40</v>
      </c>
      <c r="B4" s="23">
        <v>14000</v>
      </c>
      <c r="C4" s="24">
        <f t="array" ref="C4">IF(ISNUMBER(MATCH(A4, Rentroll!A:A, 0)), INDEX(Rentroll!C:C, MATCH(A4, Rentroll!A:A, 0)) * B4, 0)</f>
        <v>0</v>
      </c>
      <c r="D4" s="447">
        <v>9500</v>
      </c>
      <c r="E4" s="24">
        <f t="array" ref="E4">IFERROR(IF(AND(ISNUMBER(MATCH(A4, Rentroll!A:A, 0)), INDEX(Rentroll!B:B, MATCH(A4, Rentroll!A:A, 0)) = "full fit-out"), INDEX(Rentroll!C:C, MATCH(A4, Rentroll!A:A, 0)) * D4, 0), 0)</f>
        <v>0</v>
      </c>
    </row>
    <row r="5" spans="1:5" ht="15" customHeight="1" x14ac:dyDescent="0.2">
      <c r="A5" s="445" t="s">
        <v>41</v>
      </c>
      <c r="B5" s="23">
        <v>14000</v>
      </c>
      <c r="C5" s="24">
        <f t="array" ref="C5">IF(ISNUMBER(MATCH(A5, Rentroll!A:A, 0)), INDEX(Rentroll!C:C, MATCH(A5, Rentroll!A:A, 0)) * B5, 0)</f>
        <v>0</v>
      </c>
      <c r="D5" s="447">
        <v>10500</v>
      </c>
      <c r="E5" s="24">
        <f t="array" ref="E5">IFERROR(IF(AND(ISNUMBER(MATCH(A5, Rentroll!A:A, 0)), INDEX(Rentroll!B:B, MATCH(A5, Rentroll!A:A, 0)) = "full fit-out"), INDEX(Rentroll!C:C, MATCH(A5, Rentroll!A:A, 0)) * D5, 0), 0)</f>
        <v>0</v>
      </c>
    </row>
    <row r="6" spans="1:5" ht="15" customHeight="1" x14ac:dyDescent="0.2">
      <c r="A6" s="445" t="s">
        <v>42</v>
      </c>
      <c r="B6" s="23">
        <v>14000</v>
      </c>
      <c r="C6" s="24">
        <f t="array" ref="C6">IF(ISNUMBER(MATCH(A6, Rentroll!A:A, 0)), INDEX(Rentroll!C:C, MATCH(A6, Rentroll!A:A, 0)) * B6, 0)</f>
        <v>0</v>
      </c>
      <c r="D6" s="447">
        <v>9500</v>
      </c>
      <c r="E6" s="24">
        <f t="array" ref="E6">IFERROR(IF(AND(ISNUMBER(MATCH(A6, Rentroll!A:A, 0)), INDEX(Rentroll!B:B, MATCH(A6, Rentroll!A:A, 0)) = "full fit-out"), INDEX(Rentroll!C:C, MATCH(A6, Rentroll!A:A, 0)) * D6, 0), 0)</f>
        <v>0</v>
      </c>
    </row>
    <row r="7" spans="1:5" ht="15" customHeight="1" x14ac:dyDescent="0.2">
      <c r="A7" s="445" t="s">
        <v>43</v>
      </c>
      <c r="B7" s="23">
        <v>14000</v>
      </c>
      <c r="C7" s="24">
        <f t="array" ref="C7">IF(ISNUMBER(MATCH(A7, Rentroll!A:A, 0)), INDEX(Rentroll!C:C, MATCH(A7, Rentroll!A:A, 0)) * B7, 0)</f>
        <v>0</v>
      </c>
      <c r="D7" s="447">
        <v>9500</v>
      </c>
      <c r="E7" s="24">
        <f t="array" ref="E7">IFERROR(IF(AND(ISNUMBER(MATCH(A7, Rentroll!A:A, 0)), INDEX(Rentroll!B:B, MATCH(A7, Rentroll!A:A, 0)) = "full fit-out"), INDEX(Rentroll!C:C, MATCH(A7, Rentroll!A:A, 0)) * D7, 0), 0)</f>
        <v>0</v>
      </c>
    </row>
    <row r="8" spans="1:5" ht="15" customHeight="1" x14ac:dyDescent="0.2">
      <c r="A8" s="445" t="s">
        <v>44</v>
      </c>
      <c r="B8" s="23">
        <v>14000</v>
      </c>
      <c r="C8" s="24">
        <f t="array" ref="C8">IF(ISNUMBER(MATCH(A8, Rentroll!A:A, 0)), INDEX(Rentroll!C:C, MATCH(A8, Rentroll!A:A, 0)) * B8, 0)</f>
        <v>0</v>
      </c>
      <c r="D8" s="447">
        <v>9500</v>
      </c>
      <c r="E8" s="24">
        <f t="array" ref="E8">IFERROR(IF(AND(ISNUMBER(MATCH(A8, Rentroll!A:A, 0)), INDEX(Rentroll!B:B, MATCH(A8, Rentroll!A:A, 0)) = "full fit-out"), INDEX(Rentroll!C:C, MATCH(A8, Rentroll!A:A, 0)) * D8, 0), 0)</f>
        <v>0</v>
      </c>
    </row>
    <row r="9" spans="1:5" ht="15" customHeight="1" x14ac:dyDescent="0.2">
      <c r="A9" s="445" t="s">
        <v>45</v>
      </c>
      <c r="B9" s="23">
        <v>14000</v>
      </c>
      <c r="C9" s="24">
        <f t="array" ref="C9">IF(ISNUMBER(MATCH(A9, Rentroll!A:A, 0)), INDEX(Rentroll!C:C, MATCH(A9, Rentroll!A:A, 0)) * B9, 0)</f>
        <v>0</v>
      </c>
      <c r="D9" s="447">
        <v>9500</v>
      </c>
      <c r="E9" s="24">
        <f t="array" ref="E9">IFERROR(IF(AND(ISNUMBER(MATCH(A9, Rentroll!A:A, 0)), INDEX(Rentroll!B:B, MATCH(A9, Rentroll!A:A, 0)) = "full fit-out"), INDEX(Rentroll!C:C, MATCH(A9, Rentroll!A:A, 0)) * D9, 0), 0)</f>
        <v>0</v>
      </c>
    </row>
    <row r="10" spans="1:5" ht="15" customHeight="1" x14ac:dyDescent="0.2">
      <c r="A10" s="445" t="s">
        <v>46</v>
      </c>
      <c r="B10" s="23">
        <v>14000</v>
      </c>
      <c r="C10" s="24">
        <f t="array" ref="C10">IF(ISNUMBER(MATCH(A10, Rentroll!A:A, 0)), INDEX(Rentroll!C:C, MATCH(A10, Rentroll!A:A, 0)) * B10, 0)</f>
        <v>0</v>
      </c>
      <c r="D10" s="447">
        <v>9500</v>
      </c>
      <c r="E10" s="24">
        <f t="array" ref="E10">IFERROR(IF(AND(ISNUMBER(MATCH(A10, Rentroll!A:A, 0)), INDEX(Rentroll!B:B, MATCH(A10, Rentroll!A:A, 0)) = "full fit-out"), INDEX(Rentroll!C:C, MATCH(A10, Rentroll!A:A, 0)) * D10, 0), 0)</f>
        <v>0</v>
      </c>
    </row>
    <row r="11" spans="1:5" ht="15" customHeight="1" x14ac:dyDescent="0.2">
      <c r="A11" s="445" t="s">
        <v>47</v>
      </c>
      <c r="B11" s="23">
        <v>14000</v>
      </c>
      <c r="C11" s="24">
        <f t="array" ref="C11">IF(ISNUMBER(MATCH(A11, Rentroll!A:A, 0)), INDEX(Rentroll!C:C, MATCH(A11, Rentroll!A:A, 0)) * B11, 0)</f>
        <v>0</v>
      </c>
      <c r="D11" s="447">
        <v>9500</v>
      </c>
      <c r="E11" s="24">
        <f t="array" ref="E11">IFERROR(IF(AND(ISNUMBER(MATCH(A11, Rentroll!A:A, 0)), INDEX(Rentroll!B:B, MATCH(A11, Rentroll!A:A, 0)) = "full fit-out"), INDEX(Rentroll!C:C, MATCH(A11, Rentroll!A:A, 0)) * D11, 0), 0)</f>
        <v>0</v>
      </c>
    </row>
    <row r="12" spans="1:5" ht="15" customHeight="1" x14ac:dyDescent="0.2">
      <c r="A12" s="445" t="s">
        <v>48</v>
      </c>
      <c r="B12" s="23">
        <v>14000</v>
      </c>
      <c r="C12" s="24">
        <f t="array" ref="C12">IF(ISNUMBER(MATCH(A12, Rentroll!A:A, 0)), INDEX(Rentroll!C:C, MATCH(A12, Rentroll!A:A, 0)) * B12, 0)</f>
        <v>0</v>
      </c>
      <c r="D12" s="447">
        <v>12500</v>
      </c>
      <c r="E12" s="24">
        <f t="array" ref="E12">IFERROR(IF(AND(ISNUMBER(MATCH(A12, Rentroll!A:A, 0)), INDEX(Rentroll!B:B, MATCH(A12, Rentroll!A:A, 0)) = "full fit-out"), INDEX(Rentroll!C:C, MATCH(A12, Rentroll!A:A, 0)) * D12, 0), 0)</f>
        <v>0</v>
      </c>
    </row>
    <row r="13" spans="1:5" ht="15" customHeight="1" x14ac:dyDescent="0.2">
      <c r="A13" s="445" t="s">
        <v>49</v>
      </c>
      <c r="B13" s="23">
        <v>14000</v>
      </c>
      <c r="C13" s="24">
        <f t="array" ref="C13">IF(ISNUMBER(MATCH(A13, Rentroll!A:A, 0)), INDEX(Rentroll!C:C, MATCH(A13, Rentroll!A:A, 0)) * B13, 0)</f>
        <v>0</v>
      </c>
      <c r="D13" s="447">
        <v>9500</v>
      </c>
      <c r="E13" s="24">
        <f t="array" ref="E13">IFERROR(IF(AND(ISNUMBER(MATCH(A13, Rentroll!A:A, 0)), INDEX(Rentroll!B:B, MATCH(A13, Rentroll!A:A, 0)) = "full fit-out"), INDEX(Rentroll!C:C, MATCH(A13, Rentroll!A:A, 0)) * D13, 0), 0)</f>
        <v>0</v>
      </c>
    </row>
    <row r="14" spans="1:5" ht="15" customHeight="1" x14ac:dyDescent="0.2">
      <c r="A14" s="445" t="s">
        <v>50</v>
      </c>
      <c r="B14" s="23">
        <v>14000</v>
      </c>
      <c r="C14" s="24">
        <f t="array" ref="C14">IF(ISNUMBER(MATCH(A14, Rentroll!A:A, 0)), INDEX(Rentroll!C:C, MATCH(A14, Rentroll!A:A, 0)) * B14, 0)</f>
        <v>0</v>
      </c>
      <c r="D14" s="447">
        <v>9500</v>
      </c>
      <c r="E14" s="24">
        <f t="array" ref="E14">IFERROR(IF(AND(ISNUMBER(MATCH(A14, Rentroll!A:A, 0)), INDEX(Rentroll!B:B, MATCH(A14, Rentroll!A:A, 0)) = "full fit-out"), INDEX(Rentroll!C:C, MATCH(A14, Rentroll!A:A, 0)) * D14, 0), 0)</f>
        <v>0</v>
      </c>
    </row>
    <row r="15" spans="1:5" ht="15" customHeight="1" x14ac:dyDescent="0.2">
      <c r="A15" s="445" t="s">
        <v>51</v>
      </c>
      <c r="B15" s="23">
        <v>14000</v>
      </c>
      <c r="C15" s="24">
        <f t="array" ref="C15">IF(ISNUMBER(MATCH(A15, Rentroll!A:A, 0)), INDEX(Rentroll!C:C, MATCH(A15, Rentroll!A:A, 0)) * B15, 0)</f>
        <v>0</v>
      </c>
      <c r="D15" s="447">
        <v>9500</v>
      </c>
      <c r="E15" s="24">
        <f t="array" ref="E15">IFERROR(IF(AND(ISNUMBER(MATCH(A15, Rentroll!A:A, 0)), INDEX(Rentroll!B:B, MATCH(A15, Rentroll!A:A, 0)) = "full fit-out"), INDEX(Rentroll!C:C, MATCH(A15, Rentroll!A:A, 0)) * D15, 0), 0)</f>
        <v>0</v>
      </c>
    </row>
    <row r="16" spans="1:5" ht="15" customHeight="1" x14ac:dyDescent="0.2">
      <c r="A16" s="445" t="s">
        <v>52</v>
      </c>
      <c r="B16" s="23">
        <v>14000</v>
      </c>
      <c r="C16" s="24">
        <f t="array" ref="C16">IF(ISNUMBER(MATCH(A16, Rentroll!A:A, 0)), INDEX(Rentroll!C:C, MATCH(A16, Rentroll!A:A, 0)) * B16, 0)</f>
        <v>0</v>
      </c>
      <c r="D16" s="447">
        <v>9500</v>
      </c>
      <c r="E16" s="24">
        <f t="array" ref="E16">IFERROR(IF(AND(ISNUMBER(MATCH(A16, Rentroll!A:A, 0)), INDEX(Rentroll!B:B, MATCH(A16, Rentroll!A:A, 0)) = "full fit-out"), INDEX(Rentroll!C:C, MATCH(A16, Rentroll!A:A, 0)) * D16, 0), 0)</f>
        <v>0</v>
      </c>
    </row>
    <row r="17" spans="1:5" ht="15" customHeight="1" x14ac:dyDescent="0.2">
      <c r="A17" s="445" t="s">
        <v>53</v>
      </c>
      <c r="B17" s="23">
        <v>14000</v>
      </c>
      <c r="C17" s="24">
        <f t="array" ref="C17">IF(ISNUMBER(MATCH(A17, Rentroll!A:A, 0)), INDEX(Rentroll!C:C, MATCH(A17, Rentroll!A:A, 0)) * B17, 0)</f>
        <v>0</v>
      </c>
      <c r="D17" s="447">
        <v>9500</v>
      </c>
      <c r="E17" s="24">
        <f t="array" ref="E17">IFERROR(IF(AND(ISNUMBER(MATCH(A17, Rentroll!A:A, 0)), INDEX(Rentroll!B:B, MATCH(A17, Rentroll!A:A, 0)) = "full fit-out"), INDEX(Rentroll!C:C, MATCH(A17, Rentroll!A:A, 0)) * D17, 0), 0)</f>
        <v>0</v>
      </c>
    </row>
    <row r="18" spans="1:5" ht="15" customHeight="1" x14ac:dyDescent="0.2">
      <c r="A18" s="445" t="s">
        <v>54</v>
      </c>
      <c r="B18" s="23">
        <v>14000</v>
      </c>
      <c r="C18" s="24">
        <f t="array" ref="C18">IF(ISNUMBER(MATCH(A18, Rentroll!A:A, 0)), INDEX(Rentroll!C:C, MATCH(A18, Rentroll!A:A, 0)) * B18, 0)</f>
        <v>0</v>
      </c>
      <c r="D18" s="447">
        <v>9500</v>
      </c>
      <c r="E18" s="24">
        <f t="array" ref="E18">IFERROR(IF(AND(ISNUMBER(MATCH(A18, Rentroll!A:A, 0)), INDEX(Rentroll!B:B, MATCH(A18, Rentroll!A:A, 0)) = "full fit-out"), INDEX(Rentroll!C:C, MATCH(A18, Rentroll!A:A, 0)) * D18, 0), 0)</f>
        <v>0</v>
      </c>
    </row>
    <row r="19" spans="1:5" ht="15" customHeight="1" x14ac:dyDescent="0.2">
      <c r="A19" s="445" t="s">
        <v>55</v>
      </c>
      <c r="B19" s="23">
        <v>14000</v>
      </c>
      <c r="C19" s="24">
        <f t="array" ref="C19">IF(ISNUMBER(MATCH(A19, Rentroll!A:A, 0)), INDEX(Rentroll!C:C, MATCH(A19, Rentroll!A:A, 0)) * B19, 0)</f>
        <v>0</v>
      </c>
      <c r="D19" s="447">
        <v>9500</v>
      </c>
      <c r="E19" s="24">
        <f t="array" ref="E19">IFERROR(IF(AND(ISNUMBER(MATCH(A19, Rentroll!A:A, 0)), INDEX(Rentroll!B:B, MATCH(A19, Rentroll!A:A, 0)) = "full fit-out"), INDEX(Rentroll!C:C, MATCH(A19, Rentroll!A:A, 0)) * D19, 0), 0)</f>
        <v>0</v>
      </c>
    </row>
    <row r="20" spans="1:5" ht="15" customHeight="1" x14ac:dyDescent="0.2">
      <c r="A20" s="445" t="s">
        <v>56</v>
      </c>
      <c r="B20" s="23">
        <v>14000</v>
      </c>
      <c r="C20" s="24">
        <f t="array" ref="C20">IF(ISNUMBER(MATCH(A20, Rentroll!A:A, 0)), INDEX(Rentroll!C:C, MATCH(A20, Rentroll!A:A, 0)) * B20, 0)</f>
        <v>0</v>
      </c>
      <c r="D20" s="447">
        <v>9500</v>
      </c>
      <c r="E20" s="24">
        <f t="array" ref="E20">IFERROR(IF(AND(ISNUMBER(MATCH(A20, Rentroll!A:A, 0)), INDEX(Rentroll!B:B, MATCH(A20, Rentroll!A:A, 0)) = "full fit-out"), INDEX(Rentroll!C:C, MATCH(A20, Rentroll!A:A, 0)) * D20, 0), 0)</f>
        <v>0</v>
      </c>
    </row>
    <row r="21" spans="1:5" ht="15" customHeight="1" x14ac:dyDescent="0.2">
      <c r="A21" s="445" t="s">
        <v>57</v>
      </c>
      <c r="B21" s="23">
        <v>14000</v>
      </c>
      <c r="C21" s="24">
        <f t="array" ref="C21">IF(ISNUMBER(MATCH(A21, Rentroll!A:A, 0)), INDEX(Rentroll!C:C, MATCH(A21, Rentroll!A:A, 0)) * B21, 0)</f>
        <v>0</v>
      </c>
      <c r="D21" s="447">
        <v>9500</v>
      </c>
      <c r="E21" s="24">
        <f t="array" ref="E21">IFERROR(IF(AND(ISNUMBER(MATCH(A21, Rentroll!A:A, 0)), INDEX(Rentroll!B:B, MATCH(A21, Rentroll!A:A, 0)) = "full fit-out"), INDEX(Rentroll!C:C, MATCH(A21, Rentroll!A:A, 0)) * D21, 0), 0)</f>
        <v>0</v>
      </c>
    </row>
    <row r="22" spans="1:5" ht="15" customHeight="1" x14ac:dyDescent="0.2">
      <c r="A22" s="445" t="s">
        <v>58</v>
      </c>
      <c r="B22" s="23">
        <v>14000</v>
      </c>
      <c r="C22" s="24">
        <f t="array" ref="C22">IF(ISNUMBER(MATCH(A22, Rentroll!A:A, 0)), INDEX(Rentroll!C:C, MATCH(A22, Rentroll!A:A, 0)) * B22, 0)</f>
        <v>0</v>
      </c>
      <c r="D22" s="447">
        <v>9500</v>
      </c>
      <c r="E22" s="24">
        <f t="array" ref="E22">IFERROR(IF(AND(ISNUMBER(MATCH(A22, Rentroll!A:A, 0)), INDEX(Rentroll!B:B, MATCH(A22, Rentroll!A:A, 0)) = "full fit-out"), INDEX(Rentroll!C:C, MATCH(A22, Rentroll!A:A, 0)) * D22, 0), 0)</f>
        <v>0</v>
      </c>
    </row>
    <row r="23" spans="1:5" ht="15" customHeight="1" x14ac:dyDescent="0.2">
      <c r="A23" s="445" t="s">
        <v>59</v>
      </c>
      <c r="B23" s="23">
        <v>14000</v>
      </c>
      <c r="C23" s="24">
        <f t="array" ref="C23">IF(ISNUMBER(MATCH(A23, Rentroll!A:A, 0)), INDEX(Rentroll!C:C, MATCH(A23, Rentroll!A:A, 0)) * B23, 0)</f>
        <v>0</v>
      </c>
      <c r="D23" s="447">
        <v>9500</v>
      </c>
      <c r="E23" s="24">
        <f t="array" ref="E23">IFERROR(IF(AND(ISNUMBER(MATCH(A23, Rentroll!A:A, 0)), INDEX(Rentroll!B:B, MATCH(A23, Rentroll!A:A, 0)) = "full fit-out"), INDEX(Rentroll!C:C, MATCH(A23, Rentroll!A:A, 0)) * D23, 0), 0)</f>
        <v>0</v>
      </c>
    </row>
    <row r="24" spans="1:5" ht="15" customHeight="1" x14ac:dyDescent="0.2">
      <c r="A24" s="445" t="s">
        <v>60</v>
      </c>
      <c r="B24" s="23">
        <v>14000</v>
      </c>
      <c r="C24" s="24">
        <f t="array" ref="C24">IF(ISNUMBER(MATCH(A24, Rentroll!A:A, 0)), INDEX(Rentroll!C:C, MATCH(A24, Rentroll!A:A, 0)) * B24, 0)</f>
        <v>0</v>
      </c>
      <c r="D24" s="447">
        <v>9500</v>
      </c>
      <c r="E24" s="24">
        <f t="array" ref="E24">IFERROR(IF(AND(ISNUMBER(MATCH(A24, Rentroll!A:A, 0)), INDEX(Rentroll!B:B, MATCH(A24, Rentroll!A:A, 0)) = "full fit-out"), INDEX(Rentroll!C:C, MATCH(A24, Rentroll!A:A, 0)) * D24, 0), 0)</f>
        <v>0</v>
      </c>
    </row>
    <row r="25" spans="1:5" ht="15" customHeight="1" x14ac:dyDescent="0.2">
      <c r="A25" s="445" t="s">
        <v>61</v>
      </c>
      <c r="B25" s="23">
        <v>14000</v>
      </c>
      <c r="C25" s="24">
        <f t="array" ref="C25">IF(ISNUMBER(MATCH(A25, Rentroll!A:A, 0)), INDEX(Rentroll!C:C, MATCH(A25, Rentroll!A:A, 0)) * B25, 0)</f>
        <v>0</v>
      </c>
      <c r="D25" s="447">
        <v>9500</v>
      </c>
      <c r="E25" s="24">
        <f t="array" ref="E25">IFERROR(IF(AND(ISNUMBER(MATCH(A25, Rentroll!A:A, 0)), INDEX(Rentroll!B:B, MATCH(A25, Rentroll!A:A, 0)) = "full fit-out"), INDEX(Rentroll!C:C, MATCH(A25, Rentroll!A:A, 0)) * D25, 0), 0)</f>
        <v>0</v>
      </c>
    </row>
    <row r="26" spans="1:5" ht="15" customHeight="1" x14ac:dyDescent="0.2">
      <c r="A26" s="445" t="s">
        <v>62</v>
      </c>
      <c r="B26" s="23">
        <v>14000</v>
      </c>
      <c r="C26" s="24">
        <f t="array" ref="C26">IF(ISNUMBER(MATCH(A26, Rentroll!A:A, 0)), INDEX(Rentroll!C:C, MATCH(A26, Rentroll!A:A, 0)) * B26, 0)</f>
        <v>0</v>
      </c>
      <c r="D26" s="447">
        <v>9500</v>
      </c>
      <c r="E26" s="24">
        <f t="array" ref="E26">IFERROR(IF(AND(ISNUMBER(MATCH(A26, Rentroll!A:A, 0)), INDEX(Rentroll!B:B, MATCH(A26, Rentroll!A:A, 0)) = "full fit-out"), INDEX(Rentroll!C:C, MATCH(A26, Rentroll!A:A, 0)) * D26, 0), 0)</f>
        <v>0</v>
      </c>
    </row>
    <row r="27" spans="1:5" ht="15" customHeight="1" x14ac:dyDescent="0.2">
      <c r="A27" s="445" t="s">
        <v>63</v>
      </c>
      <c r="B27" s="23">
        <v>14000</v>
      </c>
      <c r="C27" s="24">
        <f t="array" ref="C27">IF(ISNUMBER(MATCH(A27, Rentroll!A:A, 0)), INDEX(Rentroll!C:C, MATCH(A27, Rentroll!A:A, 0)) * B27, 0)</f>
        <v>0</v>
      </c>
      <c r="D27" s="447">
        <v>9500</v>
      </c>
      <c r="E27" s="24">
        <f t="array" ref="E27">IFERROR(IF(AND(ISNUMBER(MATCH(A27, Rentroll!A:A, 0)), INDEX(Rentroll!B:B, MATCH(A27, Rentroll!A:A, 0)) = "full fit-out"), INDEX(Rentroll!C:C, MATCH(A27, Rentroll!A:A, 0)) * D27, 0), 0)</f>
        <v>0</v>
      </c>
    </row>
    <row r="28" spans="1:5" ht="15" customHeight="1" x14ac:dyDescent="0.2">
      <c r="A28" s="445" t="s">
        <v>64</v>
      </c>
      <c r="B28" s="23">
        <v>14000</v>
      </c>
      <c r="C28" s="24">
        <f t="array" ref="C28">IF(ISNUMBER(MATCH(A28, Rentroll!A:A, 0)), INDEX(Rentroll!C:C, MATCH(A28, Rentroll!A:A, 0)) * B28, 0)</f>
        <v>0</v>
      </c>
      <c r="D28" s="447">
        <v>9500</v>
      </c>
      <c r="E28" s="24">
        <f t="array" ref="E28">IFERROR(IF(AND(ISNUMBER(MATCH(A28, Rentroll!A:A, 0)), INDEX(Rentroll!B:B, MATCH(A28, Rentroll!A:A, 0)) = "full fit-out"), INDEX(Rentroll!C:C, MATCH(A28, Rentroll!A:A, 0)) * D28, 0), 0)</f>
        <v>0</v>
      </c>
    </row>
    <row r="29" spans="1:5" ht="15" customHeight="1" x14ac:dyDescent="0.2">
      <c r="A29" s="445" t="s">
        <v>65</v>
      </c>
      <c r="B29" s="23">
        <v>14000</v>
      </c>
      <c r="C29" s="24">
        <f t="array" ref="C29">IF(ISNUMBER(MATCH(A29, Rentroll!A:A, 0)), INDEX(Rentroll!C:C, MATCH(A29, Rentroll!A:A, 0)) * B29, 0)</f>
        <v>0</v>
      </c>
      <c r="D29" s="447">
        <v>9500</v>
      </c>
      <c r="E29" s="24">
        <f t="array" ref="E29">IFERROR(IF(AND(ISNUMBER(MATCH(A29, Rentroll!A:A, 0)), INDEX(Rentroll!B:B, MATCH(A29, Rentroll!A:A, 0)) = "full fit-out"), INDEX(Rentroll!C:C, MATCH(A29, Rentroll!A:A, 0)) * D29, 0), 0)</f>
        <v>0</v>
      </c>
    </row>
    <row r="30" spans="1:5" ht="15" customHeight="1" x14ac:dyDescent="0.2">
      <c r="A30" s="445" t="s">
        <v>66</v>
      </c>
      <c r="B30" s="23">
        <v>14000</v>
      </c>
      <c r="C30" s="24">
        <f t="array" ref="C30">IF(ISNUMBER(MATCH(A30, Rentroll!A:A, 0)), INDEX(Rentroll!C:C, MATCH(A30, Rentroll!A:A, 0)) * B30, 0)</f>
        <v>0</v>
      </c>
      <c r="D30" s="447">
        <v>9500</v>
      </c>
      <c r="E30" s="24">
        <f t="array" ref="E30">IFERROR(IF(AND(ISNUMBER(MATCH(A30, Rentroll!A:A, 0)), INDEX(Rentroll!B:B, MATCH(A30, Rentroll!A:A, 0)) = "full fit-out"), INDEX(Rentroll!C:C, MATCH(A30, Rentroll!A:A, 0)) * D30, 0), 0)</f>
        <v>0</v>
      </c>
    </row>
    <row r="31" spans="1:5" ht="15" customHeight="1" x14ac:dyDescent="0.2">
      <c r="A31" s="445" t="s">
        <v>67</v>
      </c>
      <c r="B31" s="23">
        <v>14000</v>
      </c>
      <c r="C31" s="24">
        <f t="array" ref="C31">IF(ISNUMBER(MATCH(A31, Rentroll!A:A, 0)), INDEX(Rentroll!C:C, MATCH(A31, Rentroll!A:A, 0)) * B31, 0)</f>
        <v>0</v>
      </c>
      <c r="D31" s="447">
        <v>9500</v>
      </c>
      <c r="E31" s="24">
        <f t="array" ref="E31">IFERROR(IF(AND(ISNUMBER(MATCH(A31, Rentroll!A:A, 0)), INDEX(Rentroll!B:B, MATCH(A31, Rentroll!A:A, 0)) = "full fit-out"), INDEX(Rentroll!C:C, MATCH(A31, Rentroll!A:A, 0)) * D31, 0), 0)</f>
        <v>0</v>
      </c>
    </row>
    <row r="32" spans="1:5" ht="15" customHeight="1" x14ac:dyDescent="0.2">
      <c r="A32" s="445" t="s">
        <v>68</v>
      </c>
      <c r="B32" s="23">
        <v>14000</v>
      </c>
      <c r="C32" s="24">
        <f t="array" ref="C32">IF(ISNUMBER(MATCH(A32, Rentroll!A:A, 0)), INDEX(Rentroll!C:C, MATCH(A32, Rentroll!A:A, 0)) * B32, 0)</f>
        <v>0</v>
      </c>
      <c r="D32" s="447">
        <v>9500</v>
      </c>
      <c r="E32" s="24">
        <f t="array" ref="E32">IFERROR(IF(AND(ISNUMBER(MATCH(A32, Rentroll!A:A, 0)), INDEX(Rentroll!B:B, MATCH(A32, Rentroll!A:A, 0)) = "full fit-out"), INDEX(Rentroll!C:C, MATCH(A32, Rentroll!A:A, 0)) * D32, 0), 0)</f>
        <v>0</v>
      </c>
    </row>
    <row r="33" spans="1:5" ht="15" customHeight="1" x14ac:dyDescent="0.2">
      <c r="A33" s="445" t="s">
        <v>69</v>
      </c>
      <c r="B33" s="23">
        <v>14000</v>
      </c>
      <c r="C33" s="24">
        <f t="array" ref="C33">IF(ISNUMBER(MATCH(A33, Rentroll!A:A, 0)), INDEX(Rentroll!C:C, MATCH(A33, Rentroll!A:A, 0)) * B33, 0)</f>
        <v>0</v>
      </c>
      <c r="D33" s="447">
        <v>9500</v>
      </c>
      <c r="E33" s="24">
        <f t="array" ref="E33">IFERROR(IF(AND(ISNUMBER(MATCH(A33, Rentroll!A:A, 0)), INDEX(Rentroll!B:B, MATCH(A33, Rentroll!A:A, 0)) = "full fit-out"), INDEX(Rentroll!C:C, MATCH(A33, Rentroll!A:A, 0)) * D33, 0), 0)</f>
        <v>0</v>
      </c>
    </row>
    <row r="34" spans="1:5" ht="16" x14ac:dyDescent="0.2">
      <c r="A34" s="445" t="s">
        <v>70</v>
      </c>
      <c r="B34" s="23">
        <v>14000</v>
      </c>
      <c r="C34" s="24">
        <f t="array" ref="C34">IF(ISNUMBER(MATCH(A34, Rentroll!A:A, 0)), INDEX(Rentroll!C:C, MATCH(A34, Rentroll!A:A, 0)) * B34, 0)</f>
        <v>0</v>
      </c>
      <c r="D34" s="447">
        <v>9500</v>
      </c>
      <c r="E34" s="24">
        <f t="array" ref="E34">IFERROR(IF(AND(ISNUMBER(MATCH(A34, Rentroll!A:A, 0)), INDEX(Rentroll!B:B, MATCH(A34, Rentroll!A:A, 0)) = "full fit-out"), INDEX(Rentroll!C:C, MATCH(A34, Rentroll!A:A, 0)) * D34, 0), 0)</f>
        <v>0</v>
      </c>
    </row>
    <row r="35" spans="1:5" ht="16" x14ac:dyDescent="0.2">
      <c r="A35" s="445" t="s">
        <v>71</v>
      </c>
      <c r="B35" s="23">
        <v>14000</v>
      </c>
      <c r="C35" s="24">
        <f t="array" ref="C35">IF(ISNUMBER(MATCH(A35, Rentroll!A:A, 0)), INDEX(Rentroll!C:C, MATCH(A35, Rentroll!A:A, 0)) * B35, 0)</f>
        <v>0</v>
      </c>
      <c r="D35" s="447">
        <v>9500</v>
      </c>
      <c r="E35" s="24">
        <f t="array" ref="E35">IFERROR(IF(AND(ISNUMBER(MATCH(A35, Rentroll!A:A, 0)), INDEX(Rentroll!B:B, MATCH(A35, Rentroll!A:A, 0)) = "full fit-out"), INDEX(Rentroll!C:C, MATCH(A35, Rentroll!A:A, 0)) * D35, 0), 0)</f>
        <v>0</v>
      </c>
    </row>
    <row r="36" spans="1:5" ht="16" x14ac:dyDescent="0.2">
      <c r="A36" s="445" t="s">
        <v>72</v>
      </c>
      <c r="B36" s="23">
        <v>14000</v>
      </c>
      <c r="C36" s="24">
        <f t="array" ref="C36">IF(ISNUMBER(MATCH(A36, Rentroll!A:A, 0)), INDEX(Rentroll!C:C, MATCH(A36, Rentroll!A:A, 0)) * B36, 0)</f>
        <v>0</v>
      </c>
      <c r="D36" s="447">
        <v>9500</v>
      </c>
      <c r="E36" s="24">
        <f t="array" ref="E36">IFERROR(IF(AND(ISNUMBER(MATCH(A36, Rentroll!A:A, 0)), INDEX(Rentroll!B:B, MATCH(A36, Rentroll!A:A, 0)) = "full fit-out"), INDEX(Rentroll!C:C, MATCH(A36, Rentroll!A:A, 0)) * D36, 0), 0)</f>
        <v>0</v>
      </c>
    </row>
    <row r="37" spans="1:5" ht="16" x14ac:dyDescent="0.2">
      <c r="A37" s="445" t="s">
        <v>73</v>
      </c>
      <c r="B37" s="23">
        <v>14000</v>
      </c>
      <c r="C37" s="24">
        <f t="array" ref="C37">IF(ISNUMBER(MATCH(A37, Rentroll!A:A, 0)), INDEX(Rentroll!C:C, MATCH(A37, Rentroll!A:A, 0)) * B37, 0)</f>
        <v>0</v>
      </c>
      <c r="D37" s="447">
        <v>9500</v>
      </c>
      <c r="E37" s="24">
        <f t="array" ref="E37">IFERROR(IF(AND(ISNUMBER(MATCH(A37, Rentroll!A:A, 0)), INDEX(Rentroll!B:B, MATCH(A37, Rentroll!A:A, 0)) = "full fit-out"), INDEX(Rentroll!C:C, MATCH(A37, Rentroll!A:A, 0)) * D37, 0), 0)</f>
        <v>0</v>
      </c>
    </row>
    <row r="38" spans="1:5" ht="16" x14ac:dyDescent="0.2">
      <c r="A38" s="445" t="s">
        <v>74</v>
      </c>
      <c r="B38" s="23">
        <v>14000</v>
      </c>
      <c r="C38" s="24">
        <f t="array" ref="C38">IF(ISNUMBER(MATCH(A38, Rentroll!A:A, 0)), INDEX(Rentroll!C:C, MATCH(A38, Rentroll!A:A, 0)) * B38, 0)</f>
        <v>0</v>
      </c>
      <c r="D38" s="447">
        <v>9500</v>
      </c>
      <c r="E38" s="24">
        <f t="array" ref="E38">IFERROR(IF(AND(ISNUMBER(MATCH(A38, Rentroll!A:A, 0)), INDEX(Rentroll!B:B, MATCH(A38, Rentroll!A:A, 0)) = "full fit-out"), INDEX(Rentroll!C:C, MATCH(A38, Rentroll!A:A, 0)) * D38, 0), 0)</f>
        <v>0</v>
      </c>
    </row>
    <row r="39" spans="1:5" ht="16" x14ac:dyDescent="0.2">
      <c r="A39" s="445" t="s">
        <v>75</v>
      </c>
      <c r="B39" s="23">
        <v>14000</v>
      </c>
      <c r="C39" s="24">
        <f t="array" ref="C39">IF(ISNUMBER(MATCH(A39, Rentroll!A:A, 0)), INDEX(Rentroll!C:C, MATCH(A39, Rentroll!A:A, 0)) * B39, 0)</f>
        <v>0</v>
      </c>
      <c r="D39" s="447">
        <v>9500</v>
      </c>
      <c r="E39" s="24">
        <f t="array" ref="E39">IFERROR(IF(AND(ISNUMBER(MATCH(A39, Rentroll!A:A, 0)), INDEX(Rentroll!B:B, MATCH(A39, Rentroll!A:A, 0)) = "full fit-out"), INDEX(Rentroll!C:C, MATCH(A39, Rentroll!A:A, 0)) * D39, 0), 0)</f>
        <v>0</v>
      </c>
    </row>
    <row r="40" spans="1:5" ht="16" x14ac:dyDescent="0.2">
      <c r="A40" s="445" t="s">
        <v>76</v>
      </c>
      <c r="B40" s="23">
        <v>14000</v>
      </c>
      <c r="C40" s="24">
        <f t="array" ref="C40">IF(ISNUMBER(MATCH(A40, Rentroll!A:A, 0)), INDEX(Rentroll!C:C, MATCH(A40, Rentroll!A:A, 0)) * B40, 0)</f>
        <v>0</v>
      </c>
      <c r="D40" s="447">
        <v>9500</v>
      </c>
      <c r="E40" s="24">
        <f t="array" ref="E40">IFERROR(IF(AND(ISNUMBER(MATCH(A40, Rentroll!A:A, 0)), INDEX(Rentroll!B:B, MATCH(A40, Rentroll!A:A, 0)) = "full fit-out"), INDEX(Rentroll!C:C, MATCH(A40, Rentroll!A:A, 0)) * D40, 0), 0)</f>
        <v>0</v>
      </c>
    </row>
    <row r="41" spans="1:5" ht="16" x14ac:dyDescent="0.2">
      <c r="A41" s="445" t="s">
        <v>77</v>
      </c>
      <c r="B41" s="23">
        <v>14000</v>
      </c>
      <c r="C41" s="24">
        <f t="array" ref="C41">IF(ISNUMBER(MATCH(A41, Rentroll!A:A, 0)), INDEX(Rentroll!C:C, MATCH(A41, Rentroll!A:A, 0)) * B41, 0)</f>
        <v>0</v>
      </c>
      <c r="D41" s="447">
        <v>9500</v>
      </c>
      <c r="E41" s="24">
        <f t="array" ref="E41">IFERROR(IF(AND(ISNUMBER(MATCH(A41, Rentroll!A:A, 0)), INDEX(Rentroll!B:B, MATCH(A41, Rentroll!A:A, 0)) = "full fit-out"), INDEX(Rentroll!C:C, MATCH(A41, Rentroll!A:A, 0)) * D41, 0), 0)</f>
        <v>0</v>
      </c>
    </row>
    <row r="42" spans="1:5" ht="16" x14ac:dyDescent="0.2">
      <c r="A42" s="445" t="s">
        <v>78</v>
      </c>
      <c r="B42" s="23">
        <v>14000</v>
      </c>
      <c r="C42" s="24">
        <f t="array" ref="C42">IF(ISNUMBER(MATCH(A42, Rentroll!A:A, 0)), INDEX(Rentroll!C:C, MATCH(A42, Rentroll!A:A, 0)) * B42, 0)</f>
        <v>0</v>
      </c>
      <c r="D42" s="447">
        <v>9500</v>
      </c>
      <c r="E42" s="24">
        <f t="array" ref="E42">IFERROR(IF(AND(ISNUMBER(MATCH(A42, Rentroll!A:A, 0)), INDEX(Rentroll!B:B, MATCH(A42, Rentroll!A:A, 0)) = "full fit-out"), INDEX(Rentroll!C:C, MATCH(A42, Rentroll!A:A, 0)) * D42, 0), 0)</f>
        <v>0</v>
      </c>
    </row>
    <row r="43" spans="1:5" ht="16" x14ac:dyDescent="0.2">
      <c r="A43" s="445" t="s">
        <v>79</v>
      </c>
      <c r="B43" s="23">
        <v>14000</v>
      </c>
      <c r="C43" s="24">
        <f t="array" ref="C43">IF(ISNUMBER(MATCH(A43, Rentroll!A:A, 0)), INDEX(Rentroll!C:C, MATCH(A43, Rentroll!A:A, 0)) * B43, 0)</f>
        <v>0</v>
      </c>
      <c r="D43" s="447">
        <v>9500</v>
      </c>
      <c r="E43" s="24">
        <f t="array" ref="E43">IFERROR(IF(AND(ISNUMBER(MATCH(A43, Rentroll!A:A, 0)), INDEX(Rentroll!B:B, MATCH(A43, Rentroll!A:A, 0)) = "full fit-out"), INDEX(Rentroll!C:C, MATCH(A43, Rentroll!A:A, 0)) * D43, 0), 0)</f>
        <v>0</v>
      </c>
    </row>
    <row r="44" spans="1:5" ht="16" x14ac:dyDescent="0.2">
      <c r="A44" s="445" t="s">
        <v>80</v>
      </c>
      <c r="B44" s="23">
        <v>14000</v>
      </c>
      <c r="C44" s="24">
        <f t="array" ref="C44">IF(ISNUMBER(MATCH(A44, Rentroll!A:A, 0)), INDEX(Rentroll!C:C, MATCH(A44, Rentroll!A:A, 0)) * B44, 0)</f>
        <v>0</v>
      </c>
      <c r="D44" s="447">
        <v>9500</v>
      </c>
      <c r="E44" s="24">
        <f t="array" ref="E44">IFERROR(IF(AND(ISNUMBER(MATCH(A44, Rentroll!A:A, 0)), INDEX(Rentroll!B:B, MATCH(A44, Rentroll!A:A, 0)) = "full fit-out"), INDEX(Rentroll!C:C, MATCH(A44, Rentroll!A:A, 0)) * D44, 0), 0)</f>
        <v>0</v>
      </c>
    </row>
    <row r="45" spans="1:5" ht="16" x14ac:dyDescent="0.2">
      <c r="A45" s="445" t="s">
        <v>81</v>
      </c>
      <c r="B45" s="23">
        <v>14000</v>
      </c>
      <c r="C45" s="24">
        <f t="array" ref="C45">IF(ISNUMBER(MATCH(A45, Rentroll!A:A, 0)), INDEX(Rentroll!C:C, MATCH(A45, Rentroll!A:A, 0)) * B45, 0)</f>
        <v>0</v>
      </c>
      <c r="D45" s="447">
        <v>9500</v>
      </c>
      <c r="E45" s="24">
        <f t="array" ref="E45">IFERROR(IF(AND(ISNUMBER(MATCH(A45, Rentroll!A:A, 0)), INDEX(Rentroll!B:B, MATCH(A45, Rentroll!A:A, 0)) = "full fit-out"), INDEX(Rentroll!C:C, MATCH(A45, Rentroll!A:A, 0)) * D45, 0), 0)</f>
        <v>0</v>
      </c>
    </row>
    <row r="46" spans="1:5" ht="16" x14ac:dyDescent="0.2">
      <c r="A46" s="445" t="s">
        <v>82</v>
      </c>
      <c r="B46" s="23">
        <v>14000</v>
      </c>
      <c r="C46" s="24">
        <f t="array" ref="C46">IF(ISNUMBER(MATCH(A46, Rentroll!A:A, 0)), INDEX(Rentroll!C:C, MATCH(A46, Rentroll!A:A, 0)) * B46, 0)</f>
        <v>0</v>
      </c>
      <c r="D46" s="447">
        <v>9500</v>
      </c>
      <c r="E46" s="24">
        <f t="array" ref="E46">IFERROR(IF(AND(ISNUMBER(MATCH(A46, Rentroll!A:A, 0)), INDEX(Rentroll!B:B, MATCH(A46, Rentroll!A:A, 0)) = "full fit-out"), INDEX(Rentroll!C:C, MATCH(A46, Rentroll!A:A, 0)) * D46, 0), 0)</f>
        <v>0</v>
      </c>
    </row>
    <row r="47" spans="1:5" ht="16" x14ac:dyDescent="0.2">
      <c r="A47" s="445" t="s">
        <v>83</v>
      </c>
      <c r="B47" s="23">
        <v>14000</v>
      </c>
      <c r="C47" s="24">
        <f t="array" ref="C47">IF(ISNUMBER(MATCH(A47, Rentroll!A:A, 0)), INDEX(Rentroll!C:C, MATCH(A47, Rentroll!A:A, 0)) * B47, 0)</f>
        <v>0</v>
      </c>
      <c r="D47" s="447">
        <v>9500</v>
      </c>
      <c r="E47" s="24">
        <f t="array" ref="E47">IFERROR(IF(AND(ISNUMBER(MATCH(A47, Rentroll!A:A, 0)), INDEX(Rentroll!B:B, MATCH(A47, Rentroll!A:A, 0)) = "full fit-out"), INDEX(Rentroll!C:C, MATCH(A47, Rentroll!A:A, 0)) * D47, 0), 0)</f>
        <v>0</v>
      </c>
    </row>
    <row r="48" spans="1:5" ht="16" x14ac:dyDescent="0.2">
      <c r="A48" s="445" t="s">
        <v>84</v>
      </c>
      <c r="B48" s="23">
        <v>14000</v>
      </c>
      <c r="C48" s="24">
        <f t="array" ref="C48">IF(ISNUMBER(MATCH(A48, Rentroll!A:A, 0)), INDEX(Rentroll!C:C, MATCH(A48, Rentroll!A:A, 0)) * B48, 0)</f>
        <v>0</v>
      </c>
      <c r="D48" s="447">
        <v>9500</v>
      </c>
      <c r="E48" s="24">
        <f t="array" ref="E48">IFERROR(IF(AND(ISNUMBER(MATCH(A48, Rentroll!A:A, 0)), INDEX(Rentroll!B:B, MATCH(A48, Rentroll!A:A, 0)) = "full fit-out"), INDEX(Rentroll!C:C, MATCH(A48, Rentroll!A:A, 0)) * D48, 0), 0)</f>
        <v>0</v>
      </c>
    </row>
    <row r="49" spans="1:5" ht="16" x14ac:dyDescent="0.2">
      <c r="A49" s="445" t="s">
        <v>85</v>
      </c>
      <c r="B49" s="23">
        <v>14000</v>
      </c>
      <c r="C49" s="24">
        <f t="array" ref="C49">IF(ISNUMBER(MATCH(A49, Rentroll!A:A, 0)), INDEX(Rentroll!C:C, MATCH(A49, Rentroll!A:A, 0)) * B49, 0)</f>
        <v>0</v>
      </c>
      <c r="D49" s="447">
        <v>9500</v>
      </c>
      <c r="E49" s="24">
        <f t="array" ref="E49">IFERROR(IF(AND(ISNUMBER(MATCH(A49, Rentroll!A:A, 0)), INDEX(Rentroll!B:B, MATCH(A49, Rentroll!A:A, 0)) = "full fit-out"), INDEX(Rentroll!C:C, MATCH(A49, Rentroll!A:A, 0)) * D49, 0), 0)</f>
        <v>0</v>
      </c>
    </row>
    <row r="50" spans="1:5" ht="16" x14ac:dyDescent="0.2">
      <c r="A50" s="445" t="s">
        <v>86</v>
      </c>
      <c r="B50" s="23">
        <v>14000</v>
      </c>
      <c r="C50" s="24">
        <f t="array" ref="C50">IF(ISNUMBER(MATCH(A50, Rentroll!A:A, 0)), INDEX(Rentroll!C:C, MATCH(A50, Rentroll!A:A, 0)) * B50, 0)</f>
        <v>0</v>
      </c>
      <c r="D50" s="447">
        <v>9500</v>
      </c>
      <c r="E50" s="24">
        <f t="array" ref="E50">IFERROR(IF(AND(ISNUMBER(MATCH(A50, Rentroll!A:A, 0)), INDEX(Rentroll!B:B, MATCH(A50, Rentroll!A:A, 0)) = "full fit-out"), INDEX(Rentroll!C:C, MATCH(A50, Rentroll!A:A, 0)) * D50, 0), 0)</f>
        <v>0</v>
      </c>
    </row>
    <row r="51" spans="1:5" ht="16" x14ac:dyDescent="0.2">
      <c r="A51" s="445" t="s">
        <v>19</v>
      </c>
      <c r="B51" s="23">
        <v>16000</v>
      </c>
      <c r="C51" s="24">
        <f t="array" ref="C51">IF(ISNUMBER(MATCH(A51, Rentroll!A:A, 0)), INDEX(Rentroll!C:C, MATCH(A51, Rentroll!A:A, 0)) * B51, 0)</f>
        <v>20864000</v>
      </c>
      <c r="D51" s="447">
        <v>10500</v>
      </c>
      <c r="E51" s="24">
        <f t="array" ref="E51">IFERROR(IF(AND(ISNUMBER(MATCH(A51, Rentroll!A:A, 0)), INDEX(Rentroll!B:B, MATCH(A51, Rentroll!A:A, 0)) = "full fit-out"), INDEX(Rentroll!C:C, MATCH(A51, Rentroll!A:A, 0)) * D51, 0), 0)</f>
        <v>0</v>
      </c>
    </row>
    <row r="52" spans="1:5" ht="16" x14ac:dyDescent="0.2">
      <c r="A52" s="445" t="s">
        <v>87</v>
      </c>
      <c r="B52" s="23">
        <v>14000</v>
      </c>
      <c r="C52" s="24">
        <f t="array" ref="C52">IF(ISNUMBER(MATCH(A52, Rentroll!A:A, 0)), INDEX(Rentroll!C:C, MATCH(A52, Rentroll!A:A, 0)) * B52, 0)</f>
        <v>0</v>
      </c>
      <c r="D52" s="447">
        <v>10000</v>
      </c>
      <c r="E52" s="24">
        <f t="array" ref="E52">IFERROR(IF(AND(ISNUMBER(MATCH(A52, Rentroll!A:A, 0)), INDEX(Rentroll!B:B, MATCH(A52, Rentroll!A:A, 0)) = "full fit-out"), INDEX(Rentroll!C:C, MATCH(A52, Rentroll!A:A, 0)) * D52, 0), 0)</f>
        <v>0</v>
      </c>
    </row>
    <row r="53" spans="1:5" ht="16" x14ac:dyDescent="0.2">
      <c r="A53" s="445" t="s">
        <v>88</v>
      </c>
      <c r="B53" s="23">
        <v>14000</v>
      </c>
      <c r="C53" s="24">
        <f t="array" ref="C53">IF(ISNUMBER(MATCH(A53, Rentroll!A:A, 0)), INDEX(Rentroll!C:C, MATCH(A53, Rentroll!A:A, 0)) * B53, 0)</f>
        <v>0</v>
      </c>
      <c r="D53" s="447">
        <v>9500</v>
      </c>
      <c r="E53" s="24">
        <f t="array" ref="E53">IFERROR(IF(AND(ISNUMBER(MATCH(A53, Rentroll!A:A, 0)), INDEX(Rentroll!B:B, MATCH(A53, Rentroll!A:A, 0)) = "full fit-out"), INDEX(Rentroll!C:C, MATCH(A53, Rentroll!A:A, 0)) * D53, 0), 0)</f>
        <v>0</v>
      </c>
    </row>
    <row r="54" spans="1:5" ht="16" x14ac:dyDescent="0.2">
      <c r="A54" s="445" t="s">
        <v>89</v>
      </c>
      <c r="B54" s="23">
        <v>14000</v>
      </c>
      <c r="C54" s="24">
        <f t="array" ref="C54">IF(ISNUMBER(MATCH(A54, Rentroll!A:A, 0)), INDEX(Rentroll!C:C, MATCH(A54, Rentroll!A:A, 0)) * B54, 0)</f>
        <v>0</v>
      </c>
      <c r="D54" s="447">
        <v>9500</v>
      </c>
      <c r="E54" s="24">
        <f t="array" ref="E54">IFERROR(IF(AND(ISNUMBER(MATCH(A54, Rentroll!A:A, 0)), INDEX(Rentroll!B:B, MATCH(A54, Rentroll!A:A, 0)) = "full fit-out"), INDEX(Rentroll!C:C, MATCH(A54, Rentroll!A:A, 0)) * D54, 0), 0)</f>
        <v>0</v>
      </c>
    </row>
    <row r="55" spans="1:5" ht="16" x14ac:dyDescent="0.2">
      <c r="A55" s="445" t="s">
        <v>90</v>
      </c>
      <c r="B55" s="23">
        <v>14000</v>
      </c>
      <c r="C55" s="24">
        <f t="array" ref="C55">IF(ISNUMBER(MATCH(A55, Rentroll!A:A, 0)), INDEX(Rentroll!C:C, MATCH(A55, Rentroll!A:A, 0)) * B55, 0)</f>
        <v>0</v>
      </c>
      <c r="D55" s="447">
        <v>9500</v>
      </c>
      <c r="E55" s="24">
        <f t="array" ref="E55">IFERROR(IF(AND(ISNUMBER(MATCH(A55, Rentroll!A:A, 0)), INDEX(Rentroll!B:B, MATCH(A55, Rentroll!A:A, 0)) = "full fit-out"), INDEX(Rentroll!C:C, MATCH(A55, Rentroll!A:A, 0)) * D55, 0), 0)</f>
        <v>0</v>
      </c>
    </row>
    <row r="56" spans="1:5" ht="16" x14ac:dyDescent="0.2">
      <c r="A56" s="445" t="s">
        <v>91</v>
      </c>
      <c r="B56" s="23">
        <v>14000</v>
      </c>
      <c r="C56" s="24">
        <f t="array" ref="C56">IF(ISNUMBER(MATCH(A56, Rentroll!A:A, 0)), INDEX(Rentroll!C:C, MATCH(A56, Rentroll!A:A, 0)) * B56, 0)</f>
        <v>0</v>
      </c>
      <c r="D56" s="447">
        <v>9500</v>
      </c>
      <c r="E56" s="24">
        <f t="array" ref="E56">IFERROR(IF(AND(ISNUMBER(MATCH(A56, Rentroll!A:A, 0)), INDEX(Rentroll!B:B, MATCH(A56, Rentroll!A:A, 0)) = "full fit-out"), INDEX(Rentroll!C:C, MATCH(A56, Rentroll!A:A, 0)) * D56, 0), 0)</f>
        <v>0</v>
      </c>
    </row>
    <row r="57" spans="1:5" ht="16" x14ac:dyDescent="0.2">
      <c r="A57" s="445" t="s">
        <v>92</v>
      </c>
      <c r="B57" s="23">
        <v>14000</v>
      </c>
      <c r="C57" s="24">
        <f t="array" ref="C57">IF(ISNUMBER(MATCH(A57, Rentroll!A:A, 0)), INDEX(Rentroll!C:C, MATCH(A57, Rentroll!A:A, 0)) * B57, 0)</f>
        <v>0</v>
      </c>
      <c r="D57" s="447">
        <v>9500</v>
      </c>
      <c r="E57" s="24">
        <f t="array" ref="E57">IFERROR(IF(AND(ISNUMBER(MATCH(A57, Rentroll!A:A, 0)), INDEX(Rentroll!B:B, MATCH(A57, Rentroll!A:A, 0)) = "full fit-out"), INDEX(Rentroll!C:C, MATCH(A57, Rentroll!A:A, 0)) * D57, 0), 0)</f>
        <v>0</v>
      </c>
    </row>
    <row r="58" spans="1:5" ht="16" x14ac:dyDescent="0.2">
      <c r="A58" s="445" t="s">
        <v>93</v>
      </c>
      <c r="B58" s="23">
        <v>14000</v>
      </c>
      <c r="C58" s="24">
        <f t="array" ref="C58">IF(ISNUMBER(MATCH(A58, Rentroll!A:A, 0)), INDEX(Rentroll!C:C, MATCH(A58, Rentroll!A:A, 0)) * B58, 0)</f>
        <v>0</v>
      </c>
      <c r="D58" s="447">
        <v>9500</v>
      </c>
      <c r="E58" s="24">
        <f t="array" ref="E58">IFERROR(IF(AND(ISNUMBER(MATCH(A58, Rentroll!A:A, 0)), INDEX(Rentroll!B:B, MATCH(A58, Rentroll!A:A, 0)) = "full fit-out"), INDEX(Rentroll!C:C, MATCH(A58, Rentroll!A:A, 0)) * D58, 0), 0)</f>
        <v>0</v>
      </c>
    </row>
    <row r="59" spans="1:5" ht="16" x14ac:dyDescent="0.2">
      <c r="A59" s="445" t="s">
        <v>94</v>
      </c>
      <c r="B59" s="23">
        <v>14000</v>
      </c>
      <c r="C59" s="24">
        <f t="array" ref="C59">IF(ISNUMBER(MATCH(A59, Rentroll!A:A, 0)), INDEX(Rentroll!C:C, MATCH(A59, Rentroll!A:A, 0)) * B59, 0)</f>
        <v>0</v>
      </c>
      <c r="D59" s="447">
        <v>9500</v>
      </c>
      <c r="E59" s="24">
        <f t="array" ref="E59">IFERROR(IF(AND(ISNUMBER(MATCH(A59, Rentroll!A:A, 0)), INDEX(Rentroll!B:B, MATCH(A59, Rentroll!A:A, 0)) = "full fit-out"), INDEX(Rentroll!C:C, MATCH(A59, Rentroll!A:A, 0)) * D59, 0), 0)</f>
        <v>0</v>
      </c>
    </row>
    <row r="60" spans="1:5" ht="16" x14ac:dyDescent="0.2">
      <c r="A60" s="445" t="s">
        <v>26</v>
      </c>
      <c r="B60" s="23">
        <v>14000</v>
      </c>
      <c r="C60" s="24">
        <f t="array" ref="C60">IF(ISNUMBER(MATCH(A60, Rentroll!A:A, 0)), INDEX(Rentroll!C:C, MATCH(A60, Rentroll!A:A, 0)) * B60, 0)</f>
        <v>7000000</v>
      </c>
      <c r="D60" s="447">
        <v>9500</v>
      </c>
      <c r="E60" s="24">
        <f t="array" ref="E60">IFERROR(IF(AND(ISNUMBER(MATCH(A60, Rentroll!A:A, 0)), INDEX(Rentroll!B:B, MATCH(A60, Rentroll!A:A, 0)) = "full fit-out"), INDEX(Rentroll!C:C, MATCH(A60, Rentroll!A:A, 0)) * D60, 0), 0)</f>
        <v>0</v>
      </c>
    </row>
    <row r="61" spans="1:5" ht="16" x14ac:dyDescent="0.2">
      <c r="A61" s="445" t="s">
        <v>95</v>
      </c>
      <c r="B61" s="23">
        <v>14000</v>
      </c>
      <c r="C61" s="24">
        <f t="array" ref="C61">IF(ISNUMBER(MATCH(A61, Rentroll!A:A, 0)), INDEX(Rentroll!C:C, MATCH(A61, Rentroll!A:A, 0)) * B61, 0)</f>
        <v>0</v>
      </c>
      <c r="D61" s="447">
        <v>9500</v>
      </c>
      <c r="E61" s="24">
        <f t="array" ref="E61">IFERROR(IF(AND(ISNUMBER(MATCH(A61, Rentroll!A:A, 0)), INDEX(Rentroll!B:B, MATCH(A61, Rentroll!A:A, 0)) = "full fit-out"), INDEX(Rentroll!C:C, MATCH(A61, Rentroll!A:A, 0)) * D61, 0), 0)</f>
        <v>0</v>
      </c>
    </row>
    <row r="62" spans="1:5" ht="16" x14ac:dyDescent="0.2">
      <c r="A62" s="445" t="s">
        <v>96</v>
      </c>
      <c r="B62" s="23">
        <v>14000</v>
      </c>
      <c r="C62" s="24">
        <f t="array" ref="C62">IF(ISNUMBER(MATCH(A62, Rentroll!A:A, 0)), INDEX(Rentroll!C:C, MATCH(A62, Rentroll!A:A, 0)) * B62, 0)</f>
        <v>0</v>
      </c>
      <c r="D62" s="447">
        <v>9500</v>
      </c>
      <c r="E62" s="24">
        <f t="array" ref="E62">IFERROR(IF(AND(ISNUMBER(MATCH(A62, Rentroll!A:A, 0)), INDEX(Rentroll!B:B, MATCH(A62, Rentroll!A:A, 0)) = "full fit-out"), INDEX(Rentroll!C:C, MATCH(A62, Rentroll!A:A, 0)) * D62, 0), 0)</f>
        <v>0</v>
      </c>
    </row>
    <row r="63" spans="1:5" ht="16" x14ac:dyDescent="0.2">
      <c r="A63" s="445" t="s">
        <v>97</v>
      </c>
      <c r="B63" s="23">
        <v>14000</v>
      </c>
      <c r="C63" s="24">
        <f t="array" ref="C63">IF(ISNUMBER(MATCH(A63, Rentroll!A:A, 0)), INDEX(Rentroll!C:C, MATCH(A63, Rentroll!A:A, 0)) * B63, 0)</f>
        <v>0</v>
      </c>
      <c r="D63" s="447">
        <v>10500</v>
      </c>
      <c r="E63" s="24">
        <f t="array" ref="E63">IFERROR(IF(AND(ISNUMBER(MATCH(A63, Rentroll!A:A, 0)), INDEX(Rentroll!B:B, MATCH(A63, Rentroll!A:A, 0)) = "full fit-out"), INDEX(Rentroll!C:C, MATCH(A63, Rentroll!A:A, 0)) * D63, 0), 0)</f>
        <v>0</v>
      </c>
    </row>
    <row r="64" spans="1:5" ht="16" x14ac:dyDescent="0.2">
      <c r="A64" s="445" t="s">
        <v>98</v>
      </c>
      <c r="B64" s="23">
        <v>14000</v>
      </c>
      <c r="C64" s="24">
        <f t="array" ref="C64">IF(ISNUMBER(MATCH(A64, Rentroll!A:A, 0)), INDEX(Rentroll!C:C, MATCH(A64, Rentroll!A:A, 0)) * B64, 0)</f>
        <v>0</v>
      </c>
      <c r="D64" s="447">
        <v>10000</v>
      </c>
      <c r="E64" s="24">
        <f t="array" ref="E64">IFERROR(IF(AND(ISNUMBER(MATCH(A64, Rentroll!A:A, 0)), INDEX(Rentroll!B:B, MATCH(A64, Rentroll!A:A, 0)) = "full fit-out"), INDEX(Rentroll!C:C, MATCH(A64, Rentroll!A:A, 0)) * D64, 0), 0)</f>
        <v>0</v>
      </c>
    </row>
    <row r="65" spans="1:5" ht="16" x14ac:dyDescent="0.2">
      <c r="A65" s="445" t="s">
        <v>99</v>
      </c>
      <c r="B65" s="23">
        <v>14000</v>
      </c>
      <c r="C65" s="24">
        <f t="array" ref="C65">IF(ISNUMBER(MATCH(A65, Rentroll!A:A, 0)), INDEX(Rentroll!C:C, MATCH(A65, Rentroll!A:A, 0)) * B65, 0)</f>
        <v>0</v>
      </c>
      <c r="D65" s="447">
        <v>9500</v>
      </c>
      <c r="E65" s="24">
        <f t="array" ref="E65">IFERROR(IF(AND(ISNUMBER(MATCH(A65, Rentroll!A:A, 0)), INDEX(Rentroll!B:B, MATCH(A65, Rentroll!A:A, 0)) = "full fit-out"), INDEX(Rentroll!C:C, MATCH(A65, Rentroll!A:A, 0)) * D65, 0), 0)</f>
        <v>0</v>
      </c>
    </row>
    <row r="66" spans="1:5" ht="16" x14ac:dyDescent="0.2">
      <c r="A66" s="445" t="s">
        <v>100</v>
      </c>
      <c r="B66" s="23">
        <v>14000</v>
      </c>
      <c r="C66" s="24">
        <f t="array" ref="C66">IF(ISNUMBER(MATCH(A66, Rentroll!A:A, 0)), INDEX(Rentroll!C:C, MATCH(A66, Rentroll!A:A, 0)) * B66, 0)</f>
        <v>0</v>
      </c>
      <c r="D66" s="447">
        <v>9500</v>
      </c>
      <c r="E66" s="24">
        <f t="array" ref="E66">IFERROR(IF(AND(ISNUMBER(MATCH(A66, Rentroll!A:A, 0)), INDEX(Rentroll!B:B, MATCH(A66, Rentroll!A:A, 0)) = "full fit-out"), INDEX(Rentroll!C:C, MATCH(A66, Rentroll!A:A, 0)) * D66, 0), 0)</f>
        <v>0</v>
      </c>
    </row>
    <row r="67" spans="1:5" ht="16" x14ac:dyDescent="0.2">
      <c r="A67" s="445" t="s">
        <v>101</v>
      </c>
      <c r="B67" s="23">
        <v>14000</v>
      </c>
      <c r="C67" s="24">
        <f t="array" ref="C67">IF(ISNUMBER(MATCH(A67, Rentroll!A:A, 0)), INDEX(Rentroll!C:C, MATCH(A67, Rentroll!A:A, 0)) * B67, 0)</f>
        <v>0</v>
      </c>
      <c r="D67" s="447">
        <v>9500</v>
      </c>
      <c r="E67" s="24">
        <f t="array" ref="E67">IFERROR(IF(AND(ISNUMBER(MATCH(A67, Rentroll!A:A, 0)), INDEX(Rentroll!B:B, MATCH(A67, Rentroll!A:A, 0)) = "full fit-out"), INDEX(Rentroll!C:C, MATCH(A67, Rentroll!A:A, 0)) * D67, 0), 0)</f>
        <v>0</v>
      </c>
    </row>
    <row r="68" spans="1:5" ht="16" x14ac:dyDescent="0.2">
      <c r="A68" s="445" t="s">
        <v>24</v>
      </c>
      <c r="B68" s="23">
        <v>14000</v>
      </c>
      <c r="C68" s="24">
        <f t="array" ref="C68">IF(ISNUMBER(MATCH(A68, Rentroll!A:A, 0)), INDEX(Rentroll!C:C, MATCH(A68, Rentroll!A:A, 0)) * B68, 0)</f>
        <v>4200000</v>
      </c>
      <c r="D68" s="447">
        <v>9500</v>
      </c>
      <c r="E68" s="24">
        <f t="array" ref="E68">IFERROR(IF(AND(ISNUMBER(MATCH(A68, Rentroll!A:A, 0)), INDEX(Rentroll!B:B, MATCH(A68, Rentroll!A:A, 0)) = "full fit-out"), INDEX(Rentroll!C:C, MATCH(A68, Rentroll!A:A, 0)) * D68, 0), 0)</f>
        <v>2850000</v>
      </c>
    </row>
    <row r="69" spans="1:5" ht="16" x14ac:dyDescent="0.2">
      <c r="A69" s="445" t="s">
        <v>102</v>
      </c>
      <c r="B69" s="23">
        <v>14000</v>
      </c>
      <c r="C69" s="24">
        <f t="array" ref="C69">IF(ISNUMBER(MATCH(A69, Rentroll!A:A, 0)), INDEX(Rentroll!C:C, MATCH(A69, Rentroll!A:A, 0)) * B69, 0)</f>
        <v>0</v>
      </c>
      <c r="D69" s="447">
        <v>9500</v>
      </c>
      <c r="E69" s="24">
        <f t="array" ref="E69">IFERROR(IF(AND(ISNUMBER(MATCH(A69, Rentroll!A:A, 0)), INDEX(Rentroll!B:B, MATCH(A69, Rentroll!A:A, 0)) = "full fit-out"), INDEX(Rentroll!C:C, MATCH(A69, Rentroll!A:A, 0)) * D69, 0), 0)</f>
        <v>0</v>
      </c>
    </row>
    <row r="70" spans="1:5" ht="16" x14ac:dyDescent="0.2">
      <c r="A70" s="445" t="s">
        <v>103</v>
      </c>
      <c r="B70" s="23">
        <v>14000</v>
      </c>
      <c r="C70" s="24">
        <f t="array" ref="C70">IF(ISNUMBER(MATCH(A70, Rentroll!A:A, 0)), INDEX(Rentroll!C:C, MATCH(A70, Rentroll!A:A, 0)) * B70, 0)</f>
        <v>0</v>
      </c>
      <c r="D70" s="447">
        <v>9500</v>
      </c>
      <c r="E70" s="24">
        <f t="array" ref="E70">IFERROR(IF(AND(ISNUMBER(MATCH(A70, Rentroll!A:A, 0)), INDEX(Rentroll!B:B, MATCH(A70, Rentroll!A:A, 0)) = "full fit-out"), INDEX(Rentroll!C:C, MATCH(A70, Rentroll!A:A, 0)) * D70, 0), 0)</f>
        <v>0</v>
      </c>
    </row>
    <row r="71" spans="1:5" ht="16" x14ac:dyDescent="0.2">
      <c r="A71" s="445" t="s">
        <v>104</v>
      </c>
      <c r="B71" s="23">
        <v>14000</v>
      </c>
      <c r="C71" s="24">
        <f t="array" ref="C71">IF(ISNUMBER(MATCH(A71, Rentroll!A:A, 0)), INDEX(Rentroll!C:C, MATCH(A71, Rentroll!A:A, 0)) * B71, 0)</f>
        <v>0</v>
      </c>
      <c r="D71" s="447">
        <v>9500</v>
      </c>
      <c r="E71" s="24">
        <f t="array" ref="E71">IFERROR(IF(AND(ISNUMBER(MATCH(A71, Rentroll!A:A, 0)), INDEX(Rentroll!B:B, MATCH(A71, Rentroll!A:A, 0)) = "full fit-out"), INDEX(Rentroll!C:C, MATCH(A71, Rentroll!A:A, 0)) * D71, 0), 0)</f>
        <v>0</v>
      </c>
    </row>
    <row r="72" spans="1:5" ht="16" x14ac:dyDescent="0.2">
      <c r="A72" s="445" t="s">
        <v>105</v>
      </c>
      <c r="B72" s="23">
        <v>14000</v>
      </c>
      <c r="C72" s="24">
        <f t="array" ref="C72">IF(ISNUMBER(MATCH(A72, Rentroll!A:A, 0)), INDEX(Rentroll!C:C, MATCH(A72, Rentroll!A:A, 0)) * B72, 0)</f>
        <v>0</v>
      </c>
      <c r="D72" s="447">
        <v>9500</v>
      </c>
      <c r="E72" s="24">
        <f t="array" ref="E72">IFERROR(IF(AND(ISNUMBER(MATCH(A72, Rentroll!A:A, 0)), INDEX(Rentroll!B:B, MATCH(A72, Rentroll!A:A, 0)) = "full fit-out"), INDEX(Rentroll!C:C, MATCH(A72, Rentroll!A:A, 0)) * D72, 0), 0)</f>
        <v>0</v>
      </c>
    </row>
    <row r="73" spans="1:5" ht="16" x14ac:dyDescent="0.2">
      <c r="A73" s="445" t="s">
        <v>106</v>
      </c>
      <c r="B73" s="23">
        <v>14000</v>
      </c>
      <c r="C73" s="24">
        <f t="array" ref="C73">IF(ISNUMBER(MATCH(A73, Rentroll!A:A, 0)), INDEX(Rentroll!C:C, MATCH(A73, Rentroll!A:A, 0)) * B73, 0)</f>
        <v>0</v>
      </c>
      <c r="D73" s="447">
        <v>9500</v>
      </c>
      <c r="E73" s="24">
        <f t="array" ref="E73">IFERROR(IF(AND(ISNUMBER(MATCH(A73, Rentroll!A:A, 0)), INDEX(Rentroll!B:B, MATCH(A73, Rentroll!A:A, 0)) = "full fit-out"), INDEX(Rentroll!C:C, MATCH(A73, Rentroll!A:A, 0)) * D73, 0), 0)</f>
        <v>0</v>
      </c>
    </row>
    <row r="74" spans="1:5" ht="16" x14ac:dyDescent="0.2">
      <c r="A74" s="445" t="s">
        <v>25</v>
      </c>
      <c r="B74" s="23">
        <v>14000</v>
      </c>
      <c r="C74" s="24">
        <f t="array" ref="C74">IF(ISNUMBER(MATCH(A74, Rentroll!A:A, 0)), INDEX(Rentroll!C:C, MATCH(A74, Rentroll!A:A, 0)) * B74, 0)</f>
        <v>770000</v>
      </c>
      <c r="D74" s="448">
        <v>16000</v>
      </c>
      <c r="E74" s="24">
        <f t="array" ref="E74">IFERROR(IF(AND(ISNUMBER(MATCH(A74, Rentroll!A:A, 0)), INDEX(Rentroll!B:B, MATCH(A74, Rentroll!A:A, 0)) = "full fit-out"), INDEX(Rentroll!C:C, MATCH(A74, Rentroll!A:A, 0)) * D74, 0), 0)</f>
        <v>880000</v>
      </c>
    </row>
    <row r="75" spans="1:5" ht="16" x14ac:dyDescent="0.2">
      <c r="A75" s="445" t="s">
        <v>107</v>
      </c>
      <c r="B75" s="23">
        <v>14000</v>
      </c>
      <c r="C75" s="24">
        <f t="array" ref="C75">IF(ISNUMBER(MATCH(A75, Rentroll!A:A, 0)), INDEX(Rentroll!C:C, MATCH(A75, Rentroll!A:A, 0)) * B75, 0)</f>
        <v>0</v>
      </c>
      <c r="D75" s="448">
        <v>9500</v>
      </c>
      <c r="E75" s="24">
        <f t="array" ref="E75">IFERROR(IF(AND(ISNUMBER(MATCH(A75, Rentroll!A:A, 0)), INDEX(Rentroll!B:B, MATCH(A75, Rentroll!A:A, 0)) = "full fit-out"), INDEX(Rentroll!C:C, MATCH(A75, Rentroll!A:A, 0)) * D75, 0), 0)</f>
        <v>0</v>
      </c>
    </row>
    <row r="76" spans="1:5" ht="16" x14ac:dyDescent="0.2">
      <c r="A76" s="445" t="s">
        <v>108</v>
      </c>
      <c r="B76" s="23">
        <v>14000</v>
      </c>
      <c r="C76" s="25">
        <f t="array" ref="C76">IF(ISNUMBER(MATCH(A76, Rentroll!A:A, 0)), INDEX(Rentroll!C:C, MATCH(A76, Rentroll!A:A, 0)) * B76, 0)</f>
        <v>0</v>
      </c>
      <c r="D76" s="448">
        <v>7500</v>
      </c>
      <c r="E76" s="25">
        <f t="array" ref="E76">IFERROR(IF(AND(ISNUMBER(MATCH(A76, Rentroll!A:A, 0)), INDEX(Rentroll!B:B, MATCH(A76, Rentroll!A:A, 0)) = "full fit-out"), INDEX(Rentroll!C:C, MATCH(A76, Rentroll!A:A, 0)) * D76, 0), 0)</f>
        <v>0</v>
      </c>
    </row>
    <row r="77" spans="1:5" ht="16" x14ac:dyDescent="0.2">
      <c r="A77" s="445" t="s">
        <v>109</v>
      </c>
      <c r="B77" s="23">
        <v>14000</v>
      </c>
      <c r="C77" s="25">
        <f t="array" ref="C77">IF(ISNUMBER(MATCH(A77, Rentroll!A:A, 0)), INDEX(Rentroll!C:C, MATCH(A77, Rentroll!A:A, 0)) * B77, 0)</f>
        <v>0</v>
      </c>
      <c r="D77" s="448">
        <v>10000</v>
      </c>
      <c r="E77" s="25">
        <f t="array" ref="E77">IFERROR(IF(AND(ISNUMBER(MATCH(A77, Rentroll!A:A, 0)), INDEX(Rentroll!B:B, MATCH(A77, Rentroll!A:A, 0)) = "full fit-out"), INDEX(Rentroll!C:C, MATCH(A77, Rentroll!A:A, 0)) * D77, 0), 0)</f>
        <v>0</v>
      </c>
    </row>
    <row r="78" spans="1:5" ht="16" x14ac:dyDescent="0.2">
      <c r="A78" s="445" t="s">
        <v>110</v>
      </c>
      <c r="B78" s="23">
        <v>14000</v>
      </c>
      <c r="C78" s="25">
        <f t="array" ref="C78">IF(ISNUMBER(MATCH(A78, Rentroll!A:A, 0)), INDEX(Rentroll!C:C, MATCH(A78, Rentroll!A:A, 0)) * B78, 0)</f>
        <v>0</v>
      </c>
      <c r="D78" s="448">
        <v>10000</v>
      </c>
      <c r="E78" s="25">
        <f t="array" ref="E78">IFERROR(IF(AND(ISNUMBER(MATCH(A78, Rentroll!A:A, 0)), INDEX(Rentroll!B:B, MATCH(A78, Rentroll!A:A, 0)) = "full fit-out"), INDEX(Rentroll!C:C, MATCH(A78, Rentroll!A:A, 0)) * D78, 0), 0)</f>
        <v>0</v>
      </c>
    </row>
    <row r="79" spans="1:5" ht="16" x14ac:dyDescent="0.2">
      <c r="A79" s="445" t="s">
        <v>111</v>
      </c>
      <c r="B79" s="23">
        <v>14000</v>
      </c>
      <c r="C79" s="25">
        <f t="array" ref="C79">IF(ISNUMBER(MATCH(A79, Rentroll!A:A, 0)), INDEX(Rentroll!C:C, MATCH(A79, Rentroll!A:A, 0)) * B79, 0)</f>
        <v>0</v>
      </c>
      <c r="D79" s="448">
        <v>15000</v>
      </c>
      <c r="E79" s="25">
        <f t="array" ref="E79">IFERROR(IF(AND(ISNUMBER(MATCH(A79, Rentroll!A:A, 0)), INDEX(Rentroll!B:B, MATCH(A79, Rentroll!A:A, 0)) = "full fit-out"), INDEX(Rentroll!C:C, MATCH(A79, Rentroll!A:A, 0)) * D79, 0), 0)</f>
        <v>0</v>
      </c>
    </row>
    <row r="80" spans="1:5" ht="16" x14ac:dyDescent="0.2">
      <c r="A80" s="445" t="s">
        <v>112</v>
      </c>
      <c r="B80" s="23">
        <v>14000</v>
      </c>
      <c r="C80" s="25">
        <f t="array" ref="C80">IF(ISNUMBER(MATCH(A80, Rentroll!A:A, 0)), INDEX(Rentroll!C:C, MATCH(A80, Rentroll!A:A, 0)) * B80, 0)</f>
        <v>0</v>
      </c>
      <c r="D80" s="447">
        <v>9500</v>
      </c>
      <c r="E80" s="25">
        <f t="array" ref="E80">IFERROR(IF(AND(ISNUMBER(MATCH(A80, Rentroll!A:A, 0)), INDEX(Rentroll!B:B, MATCH(A80, Rentroll!A:A, 0)) = "full fit-out"), INDEX(Rentroll!C:C, MATCH(A80, Rentroll!A:A, 0)) * D80, 0), 0)</f>
        <v>0</v>
      </c>
    </row>
    <row r="81" spans="1:5" ht="16" x14ac:dyDescent="0.2">
      <c r="A81" s="445" t="s">
        <v>27</v>
      </c>
      <c r="B81" s="23">
        <v>14000</v>
      </c>
      <c r="C81" s="25">
        <f t="array" ref="C81">IF(ISNUMBER(MATCH(A81, Rentroll!A:A, 0)), INDEX(Rentroll!C:C, MATCH(A81, Rentroll!A:A, 0)) * B81, 0)</f>
        <v>1400000</v>
      </c>
      <c r="D81" s="447">
        <v>8500</v>
      </c>
      <c r="E81" s="25">
        <f t="array" ref="E81">IFERROR(IF(AND(ISNUMBER(MATCH(A81, Rentroll!A:A, 0)), INDEX(Rentroll!B:B, MATCH(A81, Rentroll!A:A, 0)) = "full fit-out"), INDEX(Rentroll!C:C, MATCH(A81, Rentroll!A:A, 0)) * D81, 0), 0)</f>
        <v>0</v>
      </c>
    </row>
    <row r="82" spans="1:5" ht="16" x14ac:dyDescent="0.2">
      <c r="A82" s="445" t="s">
        <v>113</v>
      </c>
      <c r="B82" s="23">
        <v>14000</v>
      </c>
      <c r="C82" s="25">
        <f t="array" ref="C82">IF(ISNUMBER(MATCH(A82, Rentroll!A:A, 0)), INDEX(Rentroll!C:C, MATCH(A82, Rentroll!A:A, 0)) * B82, 0)</f>
        <v>0</v>
      </c>
      <c r="D82" s="447">
        <v>6000</v>
      </c>
      <c r="E82" s="25">
        <f t="array" ref="E82">IFERROR(IF(AND(ISNUMBER(MATCH(A82, Rentroll!A:A, 0)), INDEX(Rentroll!B:B, MATCH(A82, Rentroll!A:A, 0)) = "full fit-out"), INDEX(Rentroll!C:C, MATCH(A82, Rentroll!A:A, 0)) * D82, 0), 0)</f>
        <v>0</v>
      </c>
    </row>
    <row r="83" spans="1:5" ht="16" x14ac:dyDescent="0.2">
      <c r="A83" s="445" t="s">
        <v>114</v>
      </c>
      <c r="B83" s="23">
        <v>14000</v>
      </c>
      <c r="C83" s="25">
        <f t="array" ref="C83">IF(ISNUMBER(MATCH(A83, Rentroll!A:A, 0)), INDEX(Rentroll!C:C, MATCH(A83, Rentroll!A:A, 0)) * B83, 0)</f>
        <v>0</v>
      </c>
      <c r="D83" s="405">
        <v>15000</v>
      </c>
      <c r="E83" s="25">
        <f t="array" ref="E83">IFERROR(IF(AND(ISNUMBER(MATCH(A83, Rentroll!A:A, 0)), INDEX(Rentroll!B:B, MATCH(A83, Rentroll!A:A, 0)) = "full fit-out"), INDEX(Rentroll!C:C, MATCH(A83, Rentroll!A:A, 0)) * D83, 0), 0)</f>
        <v>0</v>
      </c>
    </row>
    <row r="84" spans="1:5" ht="15" customHeight="1" x14ac:dyDescent="0.15">
      <c r="A84" s="445" t="s">
        <v>115</v>
      </c>
    </row>
    <row r="85" spans="1:5" ht="15" customHeight="1" x14ac:dyDescent="0.2">
      <c r="A85" s="445" t="s">
        <v>116</v>
      </c>
      <c r="B85" s="23">
        <v>50000</v>
      </c>
      <c r="C85" s="25">
        <f t="array" ref="C85">IF(ISNUMBER(MATCH(A85, Rentroll!A:A, 0)), INDEX(Rentroll!C:C, MATCH(A85, Rentroll!A:A, 0)) * B85, 0)</f>
        <v>0</v>
      </c>
      <c r="D85" s="405">
        <v>15000</v>
      </c>
      <c r="E85" s="25">
        <f t="array" ref="E85">IFERROR(IF(AND(ISNUMBER(MATCH(A85, Rentroll!A:A, 0)), INDEX(Rentroll!B:B, MATCH(A85, Rentroll!A:A, 0)) = "full fit-out"), INDEX(Rentroll!C:C, MATCH(A85, Rentroll!A:A, 0)) * D85, 0), 0)</f>
        <v>0</v>
      </c>
    </row>
    <row r="86" spans="1:5" ht="15" customHeight="1" x14ac:dyDescent="0.2">
      <c r="A86" s="445" t="s">
        <v>23</v>
      </c>
      <c r="B86" s="23">
        <v>0</v>
      </c>
      <c r="C86" s="25">
        <f t="array" ref="C86">IF(ISNUMBER(MATCH(A86, Rentroll!A:A, 0)), INDEX(Rentroll!C:C, MATCH(A86, Rentroll!A:A, 0)) * B86, 0)</f>
        <v>0</v>
      </c>
      <c r="D86" s="405">
        <v>0</v>
      </c>
      <c r="E86" s="25">
        <f t="array" ref="E86">IFERROR(IF(AND(ISNUMBER(MATCH(A86, Rentroll!A:A, 0)), INDEX(Rentroll!B:B, MATCH(A86, Rentroll!A:A, 0)) = "full fit-out"), INDEX(Rentroll!C:C, MATCH(A86, Rentroll!A:A, 0)) * D86, 0), 0)</f>
        <v>0</v>
      </c>
    </row>
  </sheetData>
  <autoFilter ref="A1:E73" xr:uid="{00000000-0009-0000-0000-000001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118"/>
  <sheetViews>
    <sheetView topLeftCell="B22" zoomScale="109" workbookViewId="0">
      <selection activeCell="C65" sqref="C65:F65"/>
    </sheetView>
  </sheetViews>
  <sheetFormatPr baseColWidth="10" defaultColWidth="12.6640625" defaultRowHeight="15" customHeight="1" x14ac:dyDescent="0.15"/>
  <cols>
    <col min="1" max="1" width="4.33203125" customWidth="1"/>
    <col min="2" max="2" width="48.5" customWidth="1"/>
    <col min="3" max="3" width="8" customWidth="1"/>
    <col min="4" max="4" width="14.1640625" customWidth="1"/>
    <col min="5" max="5" width="16.6640625" customWidth="1"/>
    <col min="6" max="6" width="22.6640625" customWidth="1"/>
    <col min="7" max="7" width="4" customWidth="1"/>
    <col min="8" max="8" width="4.33203125" customWidth="1"/>
    <col min="9" max="9" width="36.1640625" customWidth="1"/>
    <col min="10" max="10" width="8.6640625" customWidth="1"/>
    <col min="11" max="11" width="14.5" customWidth="1"/>
    <col min="12" max="12" width="9.6640625" customWidth="1"/>
    <col min="13" max="13" width="12.83203125" customWidth="1"/>
    <col min="14" max="14" width="20.1640625" customWidth="1"/>
    <col min="15" max="16" width="4.33203125" customWidth="1"/>
    <col min="17" max="17" width="40.83203125" hidden="1" customWidth="1"/>
    <col min="18" max="18" width="77" hidden="1" customWidth="1"/>
    <col min="19" max="19" width="7" customWidth="1"/>
    <col min="20" max="20" width="40.6640625" customWidth="1"/>
    <col min="21" max="21" width="20.6640625" customWidth="1"/>
    <col min="22" max="28" width="7" customWidth="1"/>
  </cols>
  <sheetData>
    <row r="1" spans="1:18" ht="30" customHeight="1" x14ac:dyDescent="0.15">
      <c r="A1" s="28"/>
      <c r="B1" s="491" t="s">
        <v>117</v>
      </c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29"/>
      <c r="P1" s="29"/>
      <c r="Q1" s="29"/>
      <c r="R1" s="29"/>
    </row>
    <row r="2" spans="1:18" ht="18" customHeight="1" x14ac:dyDescent="0.15">
      <c r="A2" s="30"/>
      <c r="B2" s="31"/>
      <c r="C2" s="32"/>
      <c r="D2" s="33"/>
      <c r="E2" s="34"/>
      <c r="F2" s="35"/>
      <c r="G2" s="35"/>
      <c r="H2" s="36"/>
      <c r="I2" s="36"/>
      <c r="J2" s="32"/>
      <c r="K2" s="32"/>
      <c r="L2" s="33"/>
      <c r="M2" s="34"/>
      <c r="N2" s="37"/>
      <c r="O2" s="36"/>
      <c r="P2" s="36"/>
      <c r="Q2" s="36"/>
      <c r="R2" s="36"/>
    </row>
    <row r="3" spans="1:18" ht="18" customHeight="1" x14ac:dyDescent="0.15">
      <c r="A3" s="30"/>
      <c r="B3" s="29"/>
      <c r="C3" s="38"/>
      <c r="D3" s="39"/>
      <c r="G3" s="40"/>
      <c r="H3" s="29"/>
      <c r="I3" s="29"/>
      <c r="J3" s="38"/>
      <c r="K3" s="38"/>
      <c r="L3" s="39"/>
      <c r="M3" s="41"/>
      <c r="N3" s="40"/>
      <c r="O3" s="29"/>
      <c r="P3" s="29"/>
      <c r="Q3" s="29"/>
      <c r="R3" s="29"/>
    </row>
    <row r="4" spans="1:18" ht="30" customHeight="1" x14ac:dyDescent="0.15">
      <c r="A4" s="30"/>
      <c r="B4" s="492" t="s">
        <v>118</v>
      </c>
      <c r="C4" s="493"/>
      <c r="D4" s="493"/>
      <c r="E4" s="493"/>
      <c r="F4" s="494"/>
      <c r="G4" s="42"/>
      <c r="H4" s="29"/>
      <c r="I4" s="495" t="s">
        <v>119</v>
      </c>
      <c r="J4" s="493"/>
      <c r="K4" s="493"/>
      <c r="L4" s="493"/>
      <c r="M4" s="493"/>
      <c r="N4" s="494"/>
      <c r="O4" s="42"/>
      <c r="P4" s="29"/>
      <c r="Q4" s="495" t="s">
        <v>120</v>
      </c>
      <c r="R4" s="494"/>
    </row>
    <row r="5" spans="1:18" ht="18" customHeight="1" x14ac:dyDescent="0.15">
      <c r="A5" s="30"/>
      <c r="B5" s="29"/>
      <c r="C5" s="38"/>
      <c r="D5" s="39"/>
      <c r="E5" s="38"/>
      <c r="F5" s="38"/>
      <c r="G5" s="43"/>
      <c r="H5" s="29"/>
      <c r="I5" s="29"/>
      <c r="J5" s="38"/>
      <c r="K5" s="38"/>
      <c r="L5" s="39"/>
      <c r="M5" s="41"/>
      <c r="N5" s="40"/>
      <c r="O5" s="42"/>
      <c r="P5" s="29"/>
    </row>
    <row r="6" spans="1:18" ht="18" customHeight="1" x14ac:dyDescent="0.15">
      <c r="A6" s="30"/>
      <c r="B6" s="496" t="s">
        <v>121</v>
      </c>
      <c r="C6" s="493"/>
      <c r="D6" s="493"/>
      <c r="E6" s="493"/>
      <c r="F6" s="494"/>
      <c r="G6" s="44"/>
      <c r="H6" s="29"/>
      <c r="I6" s="497" t="s">
        <v>119</v>
      </c>
      <c r="J6" s="493"/>
      <c r="K6" s="493"/>
      <c r="L6" s="493"/>
      <c r="M6" s="493"/>
      <c r="N6" s="494"/>
      <c r="O6" s="42"/>
      <c r="P6" s="29"/>
      <c r="Q6" s="497" t="s">
        <v>122</v>
      </c>
      <c r="R6" s="494"/>
    </row>
    <row r="7" spans="1:18" ht="18" customHeight="1" x14ac:dyDescent="0.2">
      <c r="A7" s="30"/>
      <c r="B7" s="45"/>
      <c r="C7" s="46" t="s">
        <v>123</v>
      </c>
      <c r="D7" s="46" t="s">
        <v>124</v>
      </c>
      <c r="E7" s="47" t="s">
        <v>125</v>
      </c>
      <c r="F7" s="48"/>
      <c r="G7" s="43"/>
      <c r="H7" s="29"/>
      <c r="I7" s="49"/>
      <c r="J7" s="47" t="s">
        <v>126</v>
      </c>
      <c r="K7" s="47" t="s">
        <v>127</v>
      </c>
      <c r="L7" s="47" t="s">
        <v>128</v>
      </c>
      <c r="M7" s="47" t="s">
        <v>129</v>
      </c>
      <c r="N7" s="50" t="s">
        <v>130</v>
      </c>
      <c r="O7" s="42"/>
      <c r="P7" s="29"/>
      <c r="Q7" s="51" t="s">
        <v>131</v>
      </c>
      <c r="R7" s="52">
        <v>0</v>
      </c>
    </row>
    <row r="8" spans="1:18" ht="18" customHeight="1" x14ac:dyDescent="0.2">
      <c r="A8" s="30"/>
      <c r="B8" s="406" t="str">
        <f>'Cash-flow'!C19</f>
        <v>Nákup nemovitosti/pozemků</v>
      </c>
      <c r="C8" s="53" t="s">
        <v>132</v>
      </c>
      <c r="D8" s="458">
        <f>Pozemek!B4</f>
        <v>5609</v>
      </c>
      <c r="E8" s="459">
        <f>F8/D8</f>
        <v>2122.8203184230479</v>
      </c>
      <c r="F8" s="460">
        <f>Pozemek!C4</f>
        <v>11906899.166034875</v>
      </c>
      <c r="G8" s="56"/>
      <c r="H8" s="29"/>
      <c r="I8" s="57" t="str">
        <f>Rentroll!A2</f>
        <v>Penny</v>
      </c>
      <c r="J8" s="58">
        <f>Rentroll!C2</f>
        <v>1304</v>
      </c>
      <c r="K8" s="58" t="str">
        <f>Rentroll!B2</f>
        <v>shell and core</v>
      </c>
      <c r="L8" s="59">
        <f>Rentroll!E2</f>
        <v>13.5</v>
      </c>
      <c r="M8" s="60">
        <f>Rentroll!I2</f>
        <v>38</v>
      </c>
      <c r="N8" s="61">
        <f>L8*J8</f>
        <v>17604</v>
      </c>
      <c r="O8" s="42"/>
      <c r="P8" s="29"/>
      <c r="Q8" s="62" t="s">
        <v>133</v>
      </c>
      <c r="R8" s="63">
        <v>2</v>
      </c>
    </row>
    <row r="9" spans="1:18" ht="18" customHeight="1" x14ac:dyDescent="0.2">
      <c r="A9" s="30"/>
      <c r="B9" s="406" t="str">
        <f>'Cash-flow'!$C$20</f>
        <v>ZPF</v>
      </c>
      <c r="C9" s="53" t="s">
        <v>132</v>
      </c>
      <c r="D9" s="53">
        <f>D8</f>
        <v>5609</v>
      </c>
      <c r="E9" s="64">
        <v>15</v>
      </c>
      <c r="F9" s="65">
        <f t="shared" ref="F9" si="0">D9*E9</f>
        <v>84135</v>
      </c>
      <c r="G9" s="66"/>
      <c r="H9" s="29"/>
      <c r="I9" s="57">
        <f>Rentroll!A3</f>
        <v>0</v>
      </c>
      <c r="J9" s="58">
        <f>Rentroll!C3</f>
        <v>0</v>
      </c>
      <c r="K9" s="58">
        <f>Rentroll!B3</f>
        <v>0</v>
      </c>
      <c r="L9" s="59">
        <f>Rentroll!E3</f>
        <v>0</v>
      </c>
      <c r="M9" s="60">
        <f>Rentroll!I3</f>
        <v>0</v>
      </c>
      <c r="N9" s="61">
        <f t="shared" ref="N9:N16" si="1">L9*J9</f>
        <v>0</v>
      </c>
      <c r="O9" s="42"/>
      <c r="P9" s="29"/>
      <c r="Q9" s="57" t="s">
        <v>134</v>
      </c>
      <c r="R9" s="67">
        <v>7</v>
      </c>
    </row>
    <row r="10" spans="1:18" ht="18" customHeight="1" x14ac:dyDescent="0.2">
      <c r="A10" s="30"/>
      <c r="B10" s="406" t="s">
        <v>135</v>
      </c>
      <c r="C10" s="53" t="s">
        <v>132</v>
      </c>
      <c r="D10" s="53"/>
      <c r="E10" s="64">
        <v>0</v>
      </c>
      <c r="F10" s="454">
        <f>E10*SUM(R7:R11)</f>
        <v>0</v>
      </c>
      <c r="G10" s="66"/>
      <c r="H10" s="29"/>
      <c r="I10" s="57" t="str">
        <f>Rentroll!A4</f>
        <v>Elektra</v>
      </c>
      <c r="J10" s="58">
        <f>Rentroll!C4</f>
        <v>1</v>
      </c>
      <c r="K10" s="58" t="str">
        <f>Rentroll!B4</f>
        <v>pozemek</v>
      </c>
      <c r="L10" s="59">
        <f>Rentroll!E4</f>
        <v>1280</v>
      </c>
      <c r="M10" s="60">
        <f>Rentroll!I4</f>
        <v>38</v>
      </c>
      <c r="N10" s="61">
        <f t="shared" si="1"/>
        <v>1280</v>
      </c>
      <c r="O10" s="42"/>
      <c r="P10" s="29"/>
      <c r="Q10" s="68" t="s">
        <v>136</v>
      </c>
      <c r="R10" s="69">
        <v>3</v>
      </c>
    </row>
    <row r="11" spans="1:18" ht="18" customHeight="1" x14ac:dyDescent="0.2">
      <c r="A11" s="30"/>
      <c r="B11" s="406" t="s">
        <v>137</v>
      </c>
      <c r="C11" s="53" t="s">
        <v>132</v>
      </c>
      <c r="D11" s="53"/>
      <c r="E11" s="64">
        <v>0</v>
      </c>
      <c r="F11" s="454"/>
      <c r="G11" s="66"/>
      <c r="H11" s="29"/>
      <c r="I11" s="57" t="str">
        <f>Rentroll!A5</f>
        <v>Teta drogerie</v>
      </c>
      <c r="J11" s="58">
        <f>Rentroll!C5</f>
        <v>300</v>
      </c>
      <c r="K11" s="58" t="str">
        <f>Rentroll!B5</f>
        <v>full fit-out</v>
      </c>
      <c r="L11" s="59">
        <f>Rentroll!E5</f>
        <v>15</v>
      </c>
      <c r="M11" s="60">
        <f>Rentroll!I5</f>
        <v>38</v>
      </c>
      <c r="N11" s="61">
        <f t="shared" si="1"/>
        <v>4500</v>
      </c>
      <c r="O11" s="42"/>
      <c r="P11" s="29"/>
      <c r="Q11" s="57" t="s">
        <v>138</v>
      </c>
      <c r="R11" s="67">
        <v>2</v>
      </c>
    </row>
    <row r="12" spans="1:18" ht="18" customHeight="1" x14ac:dyDescent="0.2">
      <c r="B12" s="406" t="str">
        <f>'Cash-flow'!$C$21</f>
        <v>Předakviziční analýza</v>
      </c>
      <c r="C12" s="53" t="s">
        <v>132</v>
      </c>
      <c r="D12" s="53"/>
      <c r="E12" s="64"/>
      <c r="F12" s="65">
        <v>0</v>
      </c>
      <c r="G12" s="66"/>
      <c r="H12" s="29"/>
      <c r="I12" s="57" t="str">
        <f>Rentroll!A6</f>
        <v>Trafika</v>
      </c>
      <c r="J12" s="58">
        <f>Rentroll!C6</f>
        <v>55</v>
      </c>
      <c r="K12" s="58" t="str">
        <f>Rentroll!B6</f>
        <v>full fit-out</v>
      </c>
      <c r="L12" s="59">
        <f>Rentroll!E6</f>
        <v>60</v>
      </c>
      <c r="M12" s="60">
        <f>Rentroll!I6</f>
        <v>38</v>
      </c>
      <c r="N12" s="61">
        <f t="shared" si="1"/>
        <v>3300</v>
      </c>
      <c r="O12" s="42"/>
      <c r="P12" s="29"/>
      <c r="Q12" s="57" t="s">
        <v>139</v>
      </c>
      <c r="R12" s="67">
        <v>7</v>
      </c>
    </row>
    <row r="13" spans="1:18" ht="18" customHeight="1" x14ac:dyDescent="0.2">
      <c r="B13" s="406" t="s">
        <v>140</v>
      </c>
      <c r="C13" s="53" t="s">
        <v>141</v>
      </c>
      <c r="D13" s="450"/>
      <c r="E13" s="64"/>
      <c r="F13" s="65">
        <v>0</v>
      </c>
      <c r="G13" s="72"/>
      <c r="H13" s="29"/>
      <c r="I13" s="57" t="str">
        <f>Rentroll!A7</f>
        <v>Sinsay</v>
      </c>
      <c r="J13" s="58">
        <f>Rentroll!C7</f>
        <v>500</v>
      </c>
      <c r="K13" s="58" t="str">
        <f>Rentroll!B7</f>
        <v>shell and core</v>
      </c>
      <c r="L13" s="59">
        <f>Rentroll!E7</f>
        <v>9</v>
      </c>
      <c r="M13" s="60">
        <f>Rentroll!I7</f>
        <v>38</v>
      </c>
      <c r="N13" s="61">
        <f t="shared" si="1"/>
        <v>4500</v>
      </c>
      <c r="O13" s="42"/>
      <c r="P13" s="29"/>
      <c r="Q13" s="73" t="s">
        <v>142</v>
      </c>
      <c r="R13" s="74">
        <v>3</v>
      </c>
    </row>
    <row r="14" spans="1:18" ht="18" customHeight="1" x14ac:dyDescent="0.2">
      <c r="B14" s="406" t="s">
        <v>143</v>
      </c>
      <c r="C14" s="53" t="s">
        <v>144</v>
      </c>
      <c r="D14" s="70">
        <v>0.15</v>
      </c>
      <c r="E14" s="64"/>
      <c r="F14" s="65">
        <f>N21*D14</f>
        <v>0</v>
      </c>
      <c r="G14" s="77"/>
      <c r="H14" s="29"/>
      <c r="I14" s="57" t="str">
        <f>Rentroll!A8</f>
        <v>Volná plocha</v>
      </c>
      <c r="J14" s="58">
        <f>Rentroll!C8</f>
        <v>100</v>
      </c>
      <c r="K14" s="58" t="str">
        <f>Rentroll!B8</f>
        <v>shell and core</v>
      </c>
      <c r="L14" s="59">
        <f>Rentroll!E8</f>
        <v>11</v>
      </c>
      <c r="M14" s="60">
        <f>Rentroll!I8</f>
        <v>38</v>
      </c>
      <c r="N14" s="61">
        <f t="shared" si="1"/>
        <v>1100</v>
      </c>
      <c r="O14" s="42"/>
      <c r="P14" s="29"/>
      <c r="Q14" s="78" t="s">
        <v>145</v>
      </c>
      <c r="R14" s="79">
        <f>SUM(R7:R13)</f>
        <v>24</v>
      </c>
    </row>
    <row r="15" spans="1:18" ht="18" customHeight="1" x14ac:dyDescent="0.2">
      <c r="A15" s="30"/>
      <c r="B15" s="406" t="str">
        <f>'Cash-flow'!$C$23</f>
        <v>Provize za nákup (EXT)</v>
      </c>
      <c r="C15" s="53" t="s">
        <v>144</v>
      </c>
      <c r="D15" s="70">
        <v>0</v>
      </c>
      <c r="E15" s="64">
        <f>F15/D8</f>
        <v>0</v>
      </c>
      <c r="F15" s="65">
        <f>F8*D15</f>
        <v>0</v>
      </c>
      <c r="G15" s="77"/>
      <c r="H15" s="29"/>
      <c r="I15" s="57">
        <f>Rentroll!A9</f>
        <v>0</v>
      </c>
      <c r="J15" s="58">
        <f>Rentroll!C9</f>
        <v>0</v>
      </c>
      <c r="K15" s="58">
        <f>Rentroll!B9</f>
        <v>0</v>
      </c>
      <c r="L15" s="59">
        <f>Rentroll!E9</f>
        <v>0</v>
      </c>
      <c r="M15" s="60">
        <f>Rentroll!I9</f>
        <v>0</v>
      </c>
      <c r="N15" s="61">
        <f t="shared" si="1"/>
        <v>0</v>
      </c>
      <c r="O15" s="42"/>
      <c r="P15" s="29"/>
      <c r="Q15" s="29"/>
      <c r="R15" s="29"/>
    </row>
    <row r="16" spans="1:18" ht="18" customHeight="1" x14ac:dyDescent="0.2">
      <c r="B16" s="71" t="s">
        <v>146</v>
      </c>
      <c r="C16" s="498">
        <f>SUM(F8:F15)</f>
        <v>11991034.166034875</v>
      </c>
      <c r="D16" s="493"/>
      <c r="E16" s="493"/>
      <c r="F16" s="494"/>
      <c r="G16" s="77"/>
      <c r="H16" s="29"/>
      <c r="I16" s="57">
        <f>Rentroll!A10</f>
        <v>0</v>
      </c>
      <c r="J16" s="58">
        <f>Rentroll!C10</f>
        <v>0</v>
      </c>
      <c r="K16" s="58">
        <f>Rentroll!B10</f>
        <v>0</v>
      </c>
      <c r="L16" s="59">
        <f>Rentroll!E10</f>
        <v>0</v>
      </c>
      <c r="M16" s="60">
        <f>Rentroll!I10</f>
        <v>0</v>
      </c>
      <c r="N16" s="61">
        <f t="shared" si="1"/>
        <v>0</v>
      </c>
      <c r="O16" s="42"/>
      <c r="P16" s="29"/>
      <c r="Q16" s="29"/>
      <c r="R16" s="29"/>
    </row>
    <row r="17" spans="1:14" ht="18" customHeight="1" x14ac:dyDescent="0.15">
      <c r="A17" s="30"/>
      <c r="B17" s="75" t="s">
        <v>147</v>
      </c>
      <c r="C17" s="21"/>
      <c r="D17" s="21"/>
      <c r="E17" s="21"/>
      <c r="F17" s="76">
        <f>C16/$J$17</f>
        <v>5305.7673301039276</v>
      </c>
      <c r="G17" s="77"/>
      <c r="H17" s="29"/>
      <c r="I17" s="83" t="s">
        <v>148</v>
      </c>
      <c r="J17" s="84">
        <f>SUM(J8:J16)</f>
        <v>2260</v>
      </c>
      <c r="K17" s="85"/>
      <c r="L17" s="86"/>
      <c r="M17" s="87"/>
      <c r="N17" s="88">
        <f>SUM(N8:N16)</f>
        <v>32284</v>
      </c>
    </row>
    <row r="18" spans="1:14" ht="18" customHeight="1" x14ac:dyDescent="0.15">
      <c r="A18" s="30"/>
      <c r="B18" s="75"/>
      <c r="C18" s="21"/>
      <c r="D18" s="21"/>
      <c r="E18" s="21"/>
      <c r="F18" s="76"/>
      <c r="G18" s="77"/>
      <c r="H18" s="29"/>
      <c r="I18" s="94" t="s">
        <v>149</v>
      </c>
      <c r="J18" s="500">
        <f>SUM(N8:N16)*12</f>
        <v>387408</v>
      </c>
      <c r="K18" s="493"/>
      <c r="L18" s="493"/>
      <c r="M18" s="493"/>
      <c r="N18" s="494"/>
    </row>
    <row r="19" spans="1:14" ht="18" customHeight="1" x14ac:dyDescent="0.15">
      <c r="B19" s="496" t="s">
        <v>150</v>
      </c>
      <c r="C19" s="493"/>
      <c r="D19" s="493"/>
      <c r="E19" s="493"/>
      <c r="F19" s="494"/>
      <c r="G19" s="95"/>
      <c r="H19" s="29"/>
      <c r="I19" s="96" t="s">
        <v>151</v>
      </c>
      <c r="J19" s="97"/>
      <c r="K19" s="97"/>
      <c r="L19" s="97"/>
      <c r="M19" s="98">
        <v>32</v>
      </c>
      <c r="N19" s="99">
        <f>J17*M19*12</f>
        <v>867840</v>
      </c>
    </row>
    <row r="20" spans="1:14" ht="18" customHeight="1" x14ac:dyDescent="0.15">
      <c r="A20" s="30"/>
      <c r="B20" s="45"/>
      <c r="C20" s="46" t="s">
        <v>123</v>
      </c>
      <c r="D20" s="46" t="s">
        <v>124</v>
      </c>
      <c r="E20" s="47" t="s">
        <v>125</v>
      </c>
      <c r="F20" s="48"/>
      <c r="G20" s="56"/>
      <c r="H20" s="29"/>
      <c r="I20" s="96" t="s">
        <v>152</v>
      </c>
      <c r="J20" s="97"/>
      <c r="K20" s="101"/>
      <c r="L20" s="101"/>
      <c r="M20" s="449">
        <v>0.06</v>
      </c>
      <c r="N20" s="99">
        <f>M20*L20</f>
        <v>0</v>
      </c>
    </row>
    <row r="21" spans="1:14" ht="18" customHeight="1" x14ac:dyDescent="0.15">
      <c r="A21" s="30"/>
      <c r="B21" s="406" t="s">
        <v>150</v>
      </c>
      <c r="C21" s="53" t="s">
        <v>153</v>
      </c>
      <c r="D21" s="53"/>
      <c r="E21" s="455">
        <v>0.1</v>
      </c>
      <c r="F21" s="454">
        <v>4000000</v>
      </c>
      <c r="G21" s="95"/>
      <c r="H21" s="29"/>
      <c r="I21" s="100" t="s">
        <v>154</v>
      </c>
      <c r="J21" s="97"/>
      <c r="K21" s="101"/>
      <c r="L21" s="102"/>
      <c r="M21" s="103">
        <v>0</v>
      </c>
      <c r="N21" s="99">
        <f>M21*12</f>
        <v>0</v>
      </c>
    </row>
    <row r="22" spans="1:14" ht="18" customHeight="1" x14ac:dyDescent="0.15">
      <c r="B22" s="406"/>
      <c r="C22" s="53"/>
      <c r="D22" s="70"/>
      <c r="E22" s="64"/>
      <c r="F22" s="65"/>
      <c r="G22" s="105"/>
      <c r="H22" s="29"/>
      <c r="I22" s="100" t="s">
        <v>155</v>
      </c>
      <c r="J22" s="97"/>
      <c r="K22" s="101"/>
      <c r="L22" s="102"/>
      <c r="M22" s="103"/>
      <c r="N22" s="104">
        <f>(Rentroll!L12-N19-N20-N21)/(C108)</f>
        <v>8.8875998849461887E-2</v>
      </c>
    </row>
    <row r="23" spans="1:14" ht="18" customHeight="1" x14ac:dyDescent="0.15">
      <c r="B23" s="71" t="s">
        <v>146</v>
      </c>
      <c r="C23" s="498">
        <f>SUM(F20:F22)</f>
        <v>4000000</v>
      </c>
      <c r="D23" s="493"/>
      <c r="E23" s="493"/>
      <c r="F23" s="494"/>
      <c r="G23" s="105"/>
      <c r="H23" s="29"/>
      <c r="I23" s="106" t="s">
        <v>156</v>
      </c>
      <c r="J23" s="107"/>
      <c r="K23" s="107"/>
      <c r="L23" s="108"/>
      <c r="M23" s="109"/>
      <c r="N23" s="110">
        <f>IF(N21=0,7%,7.2%)</f>
        <v>7.0000000000000007E-2</v>
      </c>
    </row>
    <row r="24" spans="1:14" ht="18" customHeight="1" x14ac:dyDescent="0.15">
      <c r="A24" s="30"/>
      <c r="B24" s="21"/>
      <c r="C24" s="21"/>
      <c r="D24" s="39"/>
      <c r="E24" s="41"/>
      <c r="F24" s="40"/>
      <c r="G24" s="105"/>
      <c r="H24" s="29"/>
      <c r="I24" s="111" t="s">
        <v>157</v>
      </c>
      <c r="J24" s="112"/>
      <c r="K24" s="112"/>
      <c r="L24" s="113"/>
      <c r="M24" s="114">
        <v>0</v>
      </c>
      <c r="N24" s="408">
        <f>-J28 * M23</f>
        <v>0</v>
      </c>
    </row>
    <row r="25" spans="1:14" ht="18" customHeight="1" x14ac:dyDescent="0.15">
      <c r="B25" s="499" t="str">
        <f>'Cash-flow'!C24</f>
        <v>B. Architecture &amp; Engineering</v>
      </c>
      <c r="C25" s="493"/>
      <c r="D25" s="493"/>
      <c r="E25" s="493"/>
      <c r="F25" s="494"/>
      <c r="G25" s="105"/>
      <c r="H25" s="29"/>
      <c r="I25" s="111" t="s">
        <v>158</v>
      </c>
      <c r="J25" s="112"/>
      <c r="K25" s="112"/>
      <c r="L25" s="113"/>
      <c r="M25" s="114">
        <v>0.21</v>
      </c>
      <c r="N25" s="408">
        <f>IF(IF(J27 &gt; 0, -(J27 - F8 * J26 - C28) * M24, 0) &gt; 0, 0, -(J27 - F8 * J26 - C28) * M24)</f>
        <v>0</v>
      </c>
    </row>
    <row r="26" spans="1:14" ht="18" customHeight="1" x14ac:dyDescent="0.15">
      <c r="A26" s="30"/>
      <c r="B26" s="80"/>
      <c r="C26" s="81" t="s">
        <v>123</v>
      </c>
      <c r="D26" s="46" t="s">
        <v>159</v>
      </c>
      <c r="E26" s="81" t="s">
        <v>160</v>
      </c>
      <c r="F26" s="82"/>
      <c r="G26" s="105"/>
      <c r="H26" s="29"/>
      <c r="I26" s="111" t="s">
        <v>161</v>
      </c>
      <c r="J26" s="38"/>
      <c r="K26" s="38"/>
      <c r="L26" s="39"/>
      <c r="M26" s="115">
        <v>0</v>
      </c>
      <c r="N26" s="116">
        <f>(J28 - C106) * M24 * -M25</f>
        <v>0</v>
      </c>
    </row>
    <row r="27" spans="1:14" ht="18" customHeight="1" x14ac:dyDescent="0.15">
      <c r="B27" s="89" t="str">
        <f>'Cash-flow'!C25</f>
        <v>Projekt , architekt DSP &amp; Engineering</v>
      </c>
      <c r="C27" s="90">
        <v>1</v>
      </c>
      <c r="D27" s="91" t="s">
        <v>144</v>
      </c>
      <c r="E27" s="92">
        <v>1000</v>
      </c>
      <c r="F27" s="93">
        <v>2510000</v>
      </c>
      <c r="G27" s="105"/>
      <c r="H27" s="29"/>
      <c r="I27" s="117" t="s">
        <v>162</v>
      </c>
      <c r="J27" s="515">
        <f>0</f>
        <v>0</v>
      </c>
      <c r="K27" s="493"/>
      <c r="L27" s="493"/>
      <c r="M27" s="493"/>
      <c r="N27" s="494"/>
    </row>
    <row r="28" spans="1:14" ht="19" x14ac:dyDescent="0.15">
      <c r="A28" s="30"/>
      <c r="B28" s="89" t="str">
        <f>'Cash-flow'!C26</f>
        <v>Projekt , architekt DPS (potraviny)</v>
      </c>
      <c r="C28" s="90">
        <v>1</v>
      </c>
      <c r="D28" s="91" t="s">
        <v>144</v>
      </c>
      <c r="E28" s="501">
        <v>0</v>
      </c>
      <c r="F28" s="503">
        <f>E28*J17</f>
        <v>0</v>
      </c>
      <c r="G28" s="105"/>
      <c r="H28" s="29"/>
      <c r="I28" s="123" t="s">
        <v>163</v>
      </c>
      <c r="J28" s="516">
        <f>IF( J27&gt;0,1000000,0)</f>
        <v>0</v>
      </c>
      <c r="K28" s="470"/>
      <c r="L28" s="470"/>
      <c r="M28" s="470"/>
      <c r="N28" s="471"/>
    </row>
    <row r="29" spans="1:14" ht="24.75" customHeight="1" x14ac:dyDescent="0.15">
      <c r="A29" s="30"/>
      <c r="B29" s="89" t="str">
        <f>'Cash-flow'!C27</f>
        <v>Projekt , architekt DPS (retail)</v>
      </c>
      <c r="C29" s="90">
        <v>1</v>
      </c>
      <c r="D29" s="91" t="s">
        <v>144</v>
      </c>
      <c r="E29" s="502"/>
      <c r="F29" s="504"/>
      <c r="G29" s="105"/>
      <c r="H29" s="29"/>
      <c r="I29" s="123" t="s">
        <v>164</v>
      </c>
      <c r="J29" s="517">
        <f>(J18+(Rentroll!J12-Businessplan_prodej!N19)/J37-(N20+N21)/J37)/N23</f>
        <v>5629669.3208430903</v>
      </c>
      <c r="K29" s="470"/>
      <c r="L29" s="470"/>
      <c r="M29" s="470"/>
      <c r="N29" s="471"/>
    </row>
    <row r="30" spans="1:14" ht="27" customHeight="1" x14ac:dyDescent="0.15">
      <c r="A30" s="30"/>
      <c r="B30" s="89" t="s">
        <v>165</v>
      </c>
      <c r="C30" s="90"/>
      <c r="D30" s="91"/>
      <c r="E30" s="456"/>
      <c r="F30" s="356">
        <v>2000000</v>
      </c>
      <c r="G30" s="127"/>
      <c r="H30" s="29"/>
      <c r="I30" s="123" t="s">
        <v>166</v>
      </c>
      <c r="J30" s="518">
        <f>J29+J28</f>
        <v>5629669.3208430903</v>
      </c>
      <c r="K30" s="493"/>
      <c r="L30" s="493"/>
      <c r="M30" s="493"/>
      <c r="N30" s="494"/>
    </row>
    <row r="31" spans="1:14" ht="27" customHeight="1" x14ac:dyDescent="0.15">
      <c r="A31" s="30"/>
      <c r="B31" s="89" t="s">
        <v>167</v>
      </c>
      <c r="C31" s="90"/>
      <c r="D31" s="91"/>
      <c r="E31" s="456"/>
      <c r="F31" s="356">
        <v>0</v>
      </c>
      <c r="G31" s="127"/>
      <c r="H31" s="29"/>
      <c r="I31" s="29"/>
      <c r="J31" s="38"/>
      <c r="K31" s="38"/>
      <c r="L31" s="39"/>
      <c r="M31" s="41"/>
      <c r="N31" s="40"/>
    </row>
    <row r="32" spans="1:14" ht="19" x14ac:dyDescent="0.15">
      <c r="A32" s="30"/>
      <c r="B32" s="89" t="str">
        <f>'Cash-flow'!C28</f>
        <v>Projekt , architekt ZSPD</v>
      </c>
      <c r="C32" s="90">
        <v>1</v>
      </c>
      <c r="D32" s="91" t="s">
        <v>144</v>
      </c>
      <c r="E32" s="407">
        <v>400</v>
      </c>
      <c r="F32" s="356">
        <f>E32*J17</f>
        <v>904000</v>
      </c>
      <c r="G32" s="127"/>
      <c r="H32" s="29"/>
      <c r="I32" s="453"/>
      <c r="J32" s="38"/>
      <c r="K32" s="38"/>
      <c r="L32" s="39"/>
      <c r="M32" s="41"/>
      <c r="N32" s="40"/>
    </row>
    <row r="33" spans="1:14" ht="18" customHeight="1" x14ac:dyDescent="0.15">
      <c r="A33" s="30"/>
      <c r="B33" s="71" t="s">
        <v>146</v>
      </c>
      <c r="C33" s="498">
        <f>SUM(F27:F32)</f>
        <v>5414000</v>
      </c>
      <c r="D33" s="493"/>
      <c r="E33" s="493"/>
      <c r="F33" s="494"/>
      <c r="G33" s="127"/>
      <c r="H33" s="29"/>
      <c r="I33" s="29"/>
      <c r="J33" s="38"/>
      <c r="K33" s="38"/>
      <c r="L33" s="39"/>
      <c r="M33" s="41"/>
      <c r="N33" s="40"/>
    </row>
    <row r="34" spans="1:14" ht="18" customHeight="1" x14ac:dyDescent="0.15">
      <c r="A34" s="30"/>
      <c r="B34" s="75" t="s">
        <v>147</v>
      </c>
      <c r="C34" s="21"/>
      <c r="D34" s="21"/>
      <c r="E34" s="21"/>
      <c r="F34" s="76">
        <f>C33/$J$17</f>
        <v>2395.575221238938</v>
      </c>
      <c r="G34" s="127"/>
      <c r="H34" s="29"/>
      <c r="I34" s="128"/>
      <c r="J34" s="129" t="s">
        <v>168</v>
      </c>
      <c r="K34" s="129"/>
      <c r="L34" s="129"/>
      <c r="M34" s="129"/>
      <c r="N34" s="130"/>
    </row>
    <row r="35" spans="1:14" ht="18" customHeight="1" x14ac:dyDescent="0.15">
      <c r="G35" s="127"/>
      <c r="H35" s="29"/>
      <c r="I35" s="510" t="s">
        <v>169</v>
      </c>
      <c r="J35" s="505">
        <v>25</v>
      </c>
      <c r="K35" s="519" t="s">
        <v>170</v>
      </c>
      <c r="L35" s="508"/>
      <c r="M35" s="520">
        <f>((J18+(Rentroll!J12-Businessplan_prodej!N19)/J35-(N20+N21)/J35)/N23)*J35-C108-C23-N24-N25-N26</f>
        <v>28494786.509397835</v>
      </c>
      <c r="N35" s="513"/>
    </row>
    <row r="36" spans="1:14" ht="18" customHeight="1" x14ac:dyDescent="0.15">
      <c r="G36" s="40"/>
      <c r="H36" s="131"/>
      <c r="I36" s="511"/>
      <c r="J36" s="506"/>
      <c r="K36" s="509"/>
      <c r="L36" s="466"/>
      <c r="M36" s="509"/>
      <c r="N36" s="473"/>
    </row>
    <row r="37" spans="1:14" x14ac:dyDescent="0.15">
      <c r="G37" s="40"/>
      <c r="H37" s="131"/>
      <c r="I37" s="511"/>
      <c r="J37" s="505">
        <f>Rentroll!B19</f>
        <v>24.4</v>
      </c>
      <c r="K37" s="507" t="s">
        <v>171</v>
      </c>
      <c r="L37" s="508"/>
      <c r="M37" s="512">
        <f>((J18+(Rentroll!J12-Businessplan_prodej!N19)/J37-(N20+N21)/J37)/N23)*J37-C108-C23-N24-N25-N26</f>
        <v>25174146.509397835</v>
      </c>
      <c r="N37" s="513"/>
    </row>
    <row r="38" spans="1:14" x14ac:dyDescent="0.15">
      <c r="B38" s="499" t="str">
        <f>'Cash-flow'!C30</f>
        <v>C. Constructions costs</v>
      </c>
      <c r="C38" s="493"/>
      <c r="D38" s="493"/>
      <c r="E38" s="493"/>
      <c r="F38" s="494"/>
      <c r="G38" s="40"/>
      <c r="H38" s="131"/>
      <c r="I38" s="511"/>
      <c r="J38" s="506"/>
      <c r="K38" s="509"/>
      <c r="L38" s="466"/>
      <c r="M38" s="509"/>
      <c r="N38" s="473"/>
    </row>
    <row r="39" spans="1:14" ht="18" customHeight="1" x14ac:dyDescent="0.15">
      <c r="B39" s="80"/>
      <c r="C39" s="81" t="s">
        <v>123</v>
      </c>
      <c r="D39" s="46" t="s">
        <v>159</v>
      </c>
      <c r="E39" s="81" t="s">
        <v>160</v>
      </c>
      <c r="F39" s="82"/>
      <c r="G39" s="40"/>
      <c r="H39" s="131"/>
      <c r="I39" s="511"/>
      <c r="J39" s="505">
        <v>23</v>
      </c>
      <c r="K39" s="519" t="s">
        <v>172</v>
      </c>
      <c r="L39" s="508"/>
      <c r="M39" s="520">
        <f>((J18+(Rentroll!J12-Businessplan_prodej!N19)/J39-(N20+N21)/J39)/N23)*J39-C108-C23-N24-N25-N26</f>
        <v>17425986.509397849</v>
      </c>
      <c r="N39" s="513"/>
    </row>
    <row r="40" spans="1:14" ht="18" customHeight="1" x14ac:dyDescent="0.15">
      <c r="B40" s="118" t="s">
        <v>173</v>
      </c>
      <c r="C40" s="119"/>
      <c r="D40" s="120"/>
      <c r="E40" s="121"/>
      <c r="F40" s="122">
        <f>SUM(F41:F49)</f>
        <v>36630380</v>
      </c>
      <c r="G40" s="40"/>
      <c r="H40" s="131"/>
      <c r="I40" s="506"/>
      <c r="J40" s="506"/>
      <c r="K40" s="509"/>
      <c r="L40" s="466"/>
      <c r="M40" s="509"/>
      <c r="N40" s="473"/>
    </row>
    <row r="41" spans="1:14" ht="18" customHeight="1" x14ac:dyDescent="0.15">
      <c r="B41" s="124" t="str">
        <f>Rentroll!A2</f>
        <v>Penny</v>
      </c>
      <c r="C41" s="125">
        <f>Rentroll!C2</f>
        <v>1304</v>
      </c>
      <c r="D41" s="91" t="s">
        <v>124</v>
      </c>
      <c r="E41" s="54">
        <f t="array" ref="E41">IF(ISNUMBER(MATCH(B41, 'Stavba pro najemce'!A:A, 0)), INDEX('Stavba pro najemce'!B:B, MATCH(B41, 'Stavba pro najemce'!A:A, 0)), 0)</f>
        <v>16000</v>
      </c>
      <c r="F41" s="126">
        <f t="shared" ref="F41:F49" si="2">E41*1.07*C41</f>
        <v>22324480</v>
      </c>
      <c r="G41" s="40"/>
      <c r="H41" s="131"/>
      <c r="I41" s="135" t="s">
        <v>174</v>
      </c>
      <c r="J41" s="136"/>
      <c r="K41" s="136"/>
      <c r="L41" s="136"/>
      <c r="M41" s="136"/>
      <c r="N41" s="410">
        <f>M37/(D104+C23)</f>
        <v>0.56843168754584306</v>
      </c>
    </row>
    <row r="42" spans="1:14" ht="18" customHeight="1" x14ac:dyDescent="0.15">
      <c r="B42" s="124">
        <f>Rentroll!A3</f>
        <v>0</v>
      </c>
      <c r="C42" s="125">
        <f>Rentroll!C3</f>
        <v>0</v>
      </c>
      <c r="D42" s="91" t="s">
        <v>124</v>
      </c>
      <c r="E42" s="54">
        <f t="array" ref="E42">IF(ISNUMBER(MATCH(B42, 'Stavba pro najemce'!A:A, 0)), INDEX('Stavba pro najemce'!B:B, MATCH(B42, 'Stavba pro najemce'!A:A, 0)), 0)</f>
        <v>0</v>
      </c>
      <c r="F42" s="126">
        <f t="shared" si="2"/>
        <v>0</v>
      </c>
      <c r="G42" s="40"/>
      <c r="H42" s="131"/>
      <c r="I42" s="29"/>
      <c r="J42" s="38"/>
      <c r="K42" s="38"/>
      <c r="L42" s="39"/>
      <c r="M42" s="41"/>
      <c r="N42" s="40"/>
    </row>
    <row r="43" spans="1:14" ht="18" customHeight="1" x14ac:dyDescent="0.15">
      <c r="B43" s="124" t="str">
        <f>Rentroll!A4</f>
        <v>Elektra</v>
      </c>
      <c r="C43" s="125">
        <f>Rentroll!C4</f>
        <v>1</v>
      </c>
      <c r="D43" s="91" t="s">
        <v>124</v>
      </c>
      <c r="E43" s="54">
        <f t="array" ref="E43">IF(ISNUMBER(MATCH(B43, 'Stavba pro najemce'!A:A, 0)), INDEX('Stavba pro najemce'!B:B, MATCH(B43, 'Stavba pro najemce'!A:A, 0)), 0)</f>
        <v>0</v>
      </c>
      <c r="F43" s="126">
        <f t="shared" si="2"/>
        <v>0</v>
      </c>
      <c r="G43" s="40"/>
      <c r="H43" s="131"/>
      <c r="I43" s="29"/>
      <c r="J43" s="38"/>
      <c r="K43" s="38"/>
      <c r="L43" s="39"/>
      <c r="M43" s="41"/>
      <c r="N43" s="40"/>
    </row>
    <row r="44" spans="1:14" ht="18" customHeight="1" x14ac:dyDescent="0.15">
      <c r="A44" s="30"/>
      <c r="B44" s="124" t="str">
        <f>Rentroll!A5</f>
        <v>Teta drogerie</v>
      </c>
      <c r="C44" s="125">
        <f>Rentroll!C5</f>
        <v>300</v>
      </c>
      <c r="D44" s="91" t="s">
        <v>124</v>
      </c>
      <c r="E44" s="54">
        <f t="array" ref="E44">IF(ISNUMBER(MATCH(B44, 'Stavba pro najemce'!A:A, 0)), INDEX('Stavba pro najemce'!B:B, MATCH(B44, 'Stavba pro najemce'!A:A, 0)), 0)</f>
        <v>14000</v>
      </c>
      <c r="F44" s="126">
        <f t="shared" si="2"/>
        <v>4494000</v>
      </c>
      <c r="G44" s="40"/>
      <c r="H44" s="131"/>
      <c r="I44" s="115"/>
      <c r="J44" s="29"/>
      <c r="K44" s="29"/>
      <c r="L44" s="29"/>
      <c r="M44" s="29"/>
      <c r="N44" s="138"/>
    </row>
    <row r="45" spans="1:14" ht="18" customHeight="1" x14ac:dyDescent="0.15">
      <c r="A45" s="30"/>
      <c r="B45" s="124" t="str">
        <f>Rentroll!A6</f>
        <v>Trafika</v>
      </c>
      <c r="C45" s="125">
        <f>Rentroll!C6</f>
        <v>55</v>
      </c>
      <c r="D45" s="91" t="s">
        <v>124</v>
      </c>
      <c r="E45" s="54">
        <f t="array" ref="E45">IF(ISNUMBER(MATCH(B45, 'Stavba pro najemce'!A:A, 0)), INDEX('Stavba pro najemce'!B:B, MATCH(B45, 'Stavba pro najemce'!A:A, 0)), 0)</f>
        <v>14000</v>
      </c>
      <c r="F45" s="126">
        <f t="shared" si="2"/>
        <v>823900</v>
      </c>
      <c r="G45" s="40"/>
      <c r="H45" s="131"/>
      <c r="I45" s="137"/>
      <c r="J45" s="29"/>
      <c r="K45" s="139"/>
      <c r="L45" s="139"/>
      <c r="M45" s="139"/>
      <c r="N45" s="139"/>
    </row>
    <row r="46" spans="1:14" ht="18" customHeight="1" x14ac:dyDescent="0.15">
      <c r="A46" s="30"/>
      <c r="B46" s="124" t="str">
        <f>Rentroll!A7</f>
        <v>Sinsay</v>
      </c>
      <c r="C46" s="125">
        <f>Rentroll!C7</f>
        <v>500</v>
      </c>
      <c r="D46" s="91" t="s">
        <v>124</v>
      </c>
      <c r="E46" s="54">
        <f t="array" ref="E46">IF(ISNUMBER(MATCH(B46, 'Stavba pro najemce'!A:A, 0)), INDEX('Stavba pro najemce'!B:B, MATCH(B46, 'Stavba pro najemce'!A:A, 0)), 0)</f>
        <v>14000</v>
      </c>
      <c r="F46" s="126">
        <f t="shared" si="2"/>
        <v>7490000</v>
      </c>
      <c r="G46" s="40"/>
      <c r="H46" s="131"/>
      <c r="I46" s="137"/>
      <c r="J46" s="137"/>
      <c r="K46" s="514"/>
      <c r="L46" s="469"/>
      <c r="M46" s="469"/>
      <c r="N46" s="469"/>
    </row>
    <row r="47" spans="1:14" ht="18" customHeight="1" x14ac:dyDescent="0.15">
      <c r="A47" s="30"/>
      <c r="B47" s="124" t="str">
        <f>Rentroll!A8</f>
        <v>Volná plocha</v>
      </c>
      <c r="C47" s="125">
        <f>Rentroll!C8</f>
        <v>100</v>
      </c>
      <c r="D47" s="91" t="s">
        <v>124</v>
      </c>
      <c r="E47" s="54">
        <f t="array" ref="E47">IF(ISNUMBER(MATCH(B47, 'Stavba pro najemce'!A:A, 0)), INDEX('Stavba pro najemce'!B:B, MATCH(B47, 'Stavba pro najemce'!A:A, 0)), 0)</f>
        <v>14000</v>
      </c>
      <c r="F47" s="126">
        <f t="shared" si="2"/>
        <v>1498000</v>
      </c>
      <c r="G47" s="40"/>
      <c r="H47" s="131"/>
      <c r="I47" s="137"/>
      <c r="J47" s="137"/>
      <c r="K47" s="514"/>
      <c r="L47" s="469"/>
      <c r="M47" s="469"/>
      <c r="N47" s="469"/>
    </row>
    <row r="48" spans="1:14" ht="18" customHeight="1" x14ac:dyDescent="0.15">
      <c r="A48" s="30"/>
      <c r="B48" s="124">
        <f>Rentroll!A9</f>
        <v>0</v>
      </c>
      <c r="C48" s="125">
        <f>Rentroll!C9</f>
        <v>0</v>
      </c>
      <c r="D48" s="91" t="s">
        <v>124</v>
      </c>
      <c r="E48" s="54">
        <f t="array" ref="E48">IF(ISNUMBER(MATCH(B48, 'Stavba pro najemce'!A:A, 0)), INDEX('Stavba pro najemce'!B:B, MATCH(B48, 'Stavba pro najemce'!A:A, 0)), 0)</f>
        <v>0</v>
      </c>
      <c r="F48" s="126">
        <f t="shared" si="2"/>
        <v>0</v>
      </c>
      <c r="G48" s="40"/>
      <c r="H48" s="131"/>
      <c r="I48" s="137"/>
      <c r="J48" s="137"/>
      <c r="K48" s="514"/>
      <c r="L48" s="469"/>
      <c r="M48" s="469"/>
      <c r="N48" s="469"/>
    </row>
    <row r="49" spans="1:14" ht="18" customHeight="1" x14ac:dyDescent="0.15">
      <c r="A49" s="30"/>
      <c r="B49" s="124">
        <f>Rentroll!A10</f>
        <v>0</v>
      </c>
      <c r="C49" s="125">
        <f>Rentroll!C10</f>
        <v>0</v>
      </c>
      <c r="D49" s="91" t="s">
        <v>124</v>
      </c>
      <c r="E49" s="54">
        <f t="array" ref="E49">IF(ISNUMBER(MATCH(B49, 'Stavba pro najemce'!A:A, 0)), INDEX('Stavba pro najemce'!B:B, MATCH(B49, 'Stavba pro najemce'!A:A, 0)), 0)</f>
        <v>0</v>
      </c>
      <c r="F49" s="126">
        <f t="shared" si="2"/>
        <v>0</v>
      </c>
      <c r="G49" s="40"/>
      <c r="H49" s="131"/>
      <c r="I49" s="29"/>
      <c r="J49" s="139"/>
      <c r="K49" s="139"/>
      <c r="L49" s="139"/>
      <c r="M49" s="139"/>
      <c r="N49" s="139"/>
    </row>
    <row r="50" spans="1:14" ht="18" customHeight="1" x14ac:dyDescent="0.15">
      <c r="A50" s="30"/>
      <c r="B50" s="118" t="s">
        <v>175</v>
      </c>
      <c r="C50" s="119"/>
      <c r="D50" s="120"/>
      <c r="E50" s="121"/>
      <c r="F50" s="122">
        <f>SUM(F51:F59)</f>
        <v>5295100</v>
      </c>
      <c r="G50" s="40"/>
      <c r="H50" s="131"/>
      <c r="I50" s="139"/>
      <c r="J50" s="139"/>
      <c r="K50" s="139"/>
      <c r="L50" s="139"/>
      <c r="M50" s="139"/>
      <c r="N50" s="139"/>
    </row>
    <row r="51" spans="1:14" ht="18" customHeight="1" x14ac:dyDescent="0.15">
      <c r="A51" s="30"/>
      <c r="B51" s="124" t="str">
        <f>Rentroll!A2</f>
        <v>Penny</v>
      </c>
      <c r="C51" s="125">
        <f>Rentroll!C2</f>
        <v>1304</v>
      </c>
      <c r="D51" s="91" t="s">
        <v>124</v>
      </c>
      <c r="E51" s="54">
        <f t="array" ref="E51">IF(ISNUMBER(MATCH(B51, 'Stavba pro najemce'!A:A, 0)), INDEX('Stavba pro najemce'!D:D, MATCH(B51, 'Stavba pro najemce'!A:A, 0)), 0)</f>
        <v>10500</v>
      </c>
      <c r="F51" s="126">
        <f>J8*1000</f>
        <v>1304000</v>
      </c>
      <c r="G51" s="40"/>
      <c r="H51" s="131"/>
      <c r="I51" s="137"/>
      <c r="J51" s="137"/>
      <c r="K51" s="139"/>
      <c r="L51" s="139"/>
      <c r="M51" s="139"/>
      <c r="N51" s="139"/>
    </row>
    <row r="52" spans="1:14" ht="18" customHeight="1" x14ac:dyDescent="0.15">
      <c r="A52" s="30"/>
      <c r="B52" s="124">
        <f>Rentroll!A3</f>
        <v>0</v>
      </c>
      <c r="C52" s="125">
        <f>Rentroll!C3</f>
        <v>0</v>
      </c>
      <c r="D52" s="91" t="s">
        <v>124</v>
      </c>
      <c r="E52" s="54">
        <f t="array" ref="E52">IF(ISNUMBER(MATCH(B52, 'Stavba pro najemce'!A:A, 0)), INDEX('Stavba pro najemce'!D:D, MATCH(B52, 'Stavba pro najemce'!A:A, 0)), 0)</f>
        <v>0</v>
      </c>
      <c r="F52" s="126">
        <f>IF(Rentroll!B3="full fit-out",E52*1.07*C52,0)</f>
        <v>0</v>
      </c>
      <c r="G52" s="40"/>
      <c r="H52" s="131"/>
      <c r="I52" s="137"/>
      <c r="J52" s="29"/>
      <c r="K52" s="139"/>
      <c r="L52" s="139"/>
      <c r="M52" s="139"/>
      <c r="N52" s="139"/>
    </row>
    <row r="53" spans="1:14" ht="18" customHeight="1" x14ac:dyDescent="0.15">
      <c r="A53" s="30"/>
      <c r="B53" s="124" t="str">
        <f>Rentroll!A4</f>
        <v>Elektra</v>
      </c>
      <c r="C53" s="125">
        <f>Rentroll!C4</f>
        <v>1</v>
      </c>
      <c r="D53" s="91" t="s">
        <v>124</v>
      </c>
      <c r="E53" s="54">
        <f t="array" ref="E53">IF(ISNUMBER(MATCH(B53, 'Stavba pro najemce'!A:A, 0)), INDEX('Stavba pro najemce'!D:D, MATCH(B53, 'Stavba pro najemce'!A:A, 0)), 0)</f>
        <v>0</v>
      </c>
      <c r="F53" s="126">
        <f>IF(Rentroll!B4="full fit-out",E53*1.07*C53,0)</f>
        <v>0</v>
      </c>
      <c r="G53" s="40"/>
      <c r="H53" s="131"/>
      <c r="I53" s="29"/>
      <c r="J53" s="139"/>
      <c r="K53" s="139"/>
      <c r="L53" s="139"/>
      <c r="M53" s="139"/>
      <c r="N53" s="139"/>
    </row>
    <row r="54" spans="1:14" ht="18" customHeight="1" x14ac:dyDescent="0.15">
      <c r="A54" s="30"/>
      <c r="B54" s="124" t="str">
        <f>Rentroll!A5</f>
        <v>Teta drogerie</v>
      </c>
      <c r="C54" s="125">
        <f>Rentroll!C5</f>
        <v>300</v>
      </c>
      <c r="D54" s="91" t="s">
        <v>124</v>
      </c>
      <c r="E54" s="54">
        <f t="array" ref="E54">IF(ISNUMBER(MATCH(B54, 'Stavba pro najemce'!A:A, 0)), INDEX('Stavba pro najemce'!D:D, MATCH(B54, 'Stavba pro najemce'!A:A, 0)), 0)</f>
        <v>9500</v>
      </c>
      <c r="F54" s="126">
        <f>IF(Rentroll!B5="full fit-out",E54*1.07*C54,0)</f>
        <v>3049500</v>
      </c>
      <c r="G54" s="40"/>
      <c r="H54" s="131"/>
      <c r="I54" s="137"/>
      <c r="J54" s="139"/>
      <c r="K54" s="139"/>
      <c r="L54" s="139"/>
      <c r="M54" s="139"/>
      <c r="N54" s="139"/>
    </row>
    <row r="55" spans="1:14" ht="18" customHeight="1" x14ac:dyDescent="0.15">
      <c r="A55" s="30"/>
      <c r="B55" s="124" t="str">
        <f>Rentroll!A6</f>
        <v>Trafika</v>
      </c>
      <c r="C55" s="125">
        <f>Rentroll!C6</f>
        <v>55</v>
      </c>
      <c r="D55" s="91" t="s">
        <v>124</v>
      </c>
      <c r="E55" s="54">
        <f t="array" ref="E55">IF(ISNUMBER(MATCH(B55, 'Stavba pro najemce'!A:A, 0)), INDEX('Stavba pro najemce'!D:D, MATCH(B55, 'Stavba pro najemce'!A:A, 0)), 0)</f>
        <v>16000</v>
      </c>
      <c r="F55" s="126">
        <f>IF(Rentroll!B6="full fit-out",E55*1.07*C55,0)</f>
        <v>941600</v>
      </c>
      <c r="G55" s="40"/>
      <c r="H55" s="131"/>
      <c r="I55" s="137"/>
      <c r="J55" s="139"/>
      <c r="K55" s="139"/>
      <c r="L55" s="139"/>
      <c r="M55" s="139"/>
      <c r="N55" s="139"/>
    </row>
    <row r="56" spans="1:14" ht="18" customHeight="1" x14ac:dyDescent="0.15">
      <c r="A56" s="30"/>
      <c r="B56" s="124" t="str">
        <f>Rentroll!A7</f>
        <v>Sinsay</v>
      </c>
      <c r="C56" s="125">
        <f>Rentroll!C7</f>
        <v>500</v>
      </c>
      <c r="D56" s="91" t="s">
        <v>124</v>
      </c>
      <c r="E56" s="54">
        <f t="array" ref="E56">IF(ISNUMBER(MATCH(B56, 'Stavba pro najemce'!A:A, 0)), INDEX('Stavba pro najemce'!D:D, MATCH(B56, 'Stavba pro najemce'!A:A, 0)), 0)</f>
        <v>9500</v>
      </c>
      <c r="F56" s="126">
        <f>IF(Rentroll!B7="full fit-out",E56*1.07*C56,0)</f>
        <v>0</v>
      </c>
      <c r="G56" s="40"/>
      <c r="H56" s="131"/>
      <c r="I56" s="137"/>
      <c r="J56" s="139"/>
      <c r="K56" s="139"/>
      <c r="L56" s="139"/>
      <c r="M56" s="139"/>
      <c r="N56" s="139"/>
    </row>
    <row r="57" spans="1:14" ht="18" customHeight="1" x14ac:dyDescent="0.15">
      <c r="B57" s="124" t="str">
        <f>Rentroll!A8</f>
        <v>Volná plocha</v>
      </c>
      <c r="C57" s="125">
        <f>Rentroll!C8</f>
        <v>100</v>
      </c>
      <c r="D57" s="91" t="s">
        <v>124</v>
      </c>
      <c r="E57" s="54">
        <f t="array" ref="E57">IF(ISNUMBER(MATCH(B57, 'Stavba pro najemce'!A:A, 0)), INDEX('Stavba pro najemce'!D:D, MATCH(B57, 'Stavba pro najemce'!A:A, 0)), 0)</f>
        <v>8500</v>
      </c>
      <c r="F57" s="126">
        <f>IF(Rentroll!B8="full fit-out",E57*1.07*C57,0)</f>
        <v>0</v>
      </c>
      <c r="G57" s="40"/>
      <c r="H57" s="131"/>
      <c r="I57" s="139"/>
      <c r="J57" s="139"/>
      <c r="K57" s="139"/>
      <c r="L57" s="139"/>
      <c r="M57" s="139"/>
      <c r="N57" s="139"/>
    </row>
    <row r="58" spans="1:14" ht="18" customHeight="1" x14ac:dyDescent="0.15">
      <c r="A58" s="30"/>
      <c r="B58" s="124">
        <f>Rentroll!A9</f>
        <v>0</v>
      </c>
      <c r="C58" s="125">
        <f>Rentroll!C9</f>
        <v>0</v>
      </c>
      <c r="D58" s="91" t="s">
        <v>124</v>
      </c>
      <c r="E58" s="54">
        <f t="array" ref="E58">IF(ISNUMBER(MATCH(B58, 'Stavba pro najemce'!A:A, 0)), INDEX('Stavba pro najemce'!D:D, MATCH(B58, 'Stavba pro najemce'!A:A, 0)), 0)</f>
        <v>0</v>
      </c>
      <c r="F58" s="126">
        <f>IF(Rentroll!B9="full fit-out",E58*1.07*C58,0)</f>
        <v>0</v>
      </c>
      <c r="G58" s="40"/>
      <c r="H58" s="131"/>
      <c r="I58" s="137"/>
      <c r="J58" s="139"/>
      <c r="K58" s="139"/>
      <c r="L58" s="139"/>
      <c r="M58" s="139"/>
      <c r="N58" s="139"/>
    </row>
    <row r="59" spans="1:14" ht="18" customHeight="1" x14ac:dyDescent="0.15">
      <c r="A59" s="30"/>
      <c r="B59" s="124">
        <f>Rentroll!A10</f>
        <v>0</v>
      </c>
      <c r="C59" s="125">
        <f>Rentroll!C10</f>
        <v>0</v>
      </c>
      <c r="D59" s="91" t="s">
        <v>124</v>
      </c>
      <c r="E59" s="54">
        <f t="array" ref="E59">IF(ISNUMBER(MATCH(B59, 'Stavba pro najemce'!A:A, 0)), INDEX('Stavba pro najemce'!D:D, MATCH(B59, 'Stavba pro najemce'!A:A, 0)), 0)</f>
        <v>0</v>
      </c>
      <c r="F59" s="126">
        <f>IF(Rentroll!B10="full fit-out",E59*1.07*C59,0)</f>
        <v>0</v>
      </c>
      <c r="G59" s="40"/>
      <c r="H59" s="131"/>
      <c r="I59" s="137"/>
      <c r="J59" s="139"/>
      <c r="K59" s="139"/>
      <c r="L59" s="139"/>
      <c r="M59" s="139"/>
      <c r="N59" s="139"/>
    </row>
    <row r="60" spans="1:14" ht="18" customHeight="1" x14ac:dyDescent="0.15">
      <c r="B60" s="118" t="s">
        <v>176</v>
      </c>
      <c r="C60" s="140"/>
      <c r="D60" s="141"/>
      <c r="E60" s="142">
        <v>3900</v>
      </c>
      <c r="F60" s="143">
        <f>E60*J17*1.07*2.3</f>
        <v>21691254</v>
      </c>
      <c r="G60" s="40"/>
      <c r="H60" s="131"/>
      <c r="I60" s="137"/>
      <c r="J60" s="139"/>
      <c r="K60" s="139"/>
      <c r="L60" s="139"/>
      <c r="M60" s="139"/>
      <c r="N60" s="139"/>
    </row>
    <row r="61" spans="1:14" ht="18" customHeight="1" x14ac:dyDescent="0.15">
      <c r="A61" s="30"/>
      <c r="B61" s="144" t="s">
        <v>177</v>
      </c>
      <c r="C61" s="90">
        <v>1</v>
      </c>
      <c r="D61" s="91" t="s">
        <v>132</v>
      </c>
      <c r="E61" s="54">
        <v>0</v>
      </c>
      <c r="F61" s="126">
        <v>5000000</v>
      </c>
      <c r="G61" s="40"/>
      <c r="H61" s="131"/>
      <c r="I61" s="137"/>
      <c r="J61" s="139"/>
      <c r="K61" s="139"/>
      <c r="L61" s="139"/>
      <c r="M61" s="139"/>
      <c r="N61" s="139"/>
    </row>
    <row r="62" spans="1:14" ht="18" customHeight="1" x14ac:dyDescent="0.15">
      <c r="A62" s="30"/>
      <c r="B62" s="144" t="str">
        <f>'Cash-flow'!C35</f>
        <v>Operativní náklady spojené s realizaci stavby</v>
      </c>
      <c r="C62" s="362">
        <v>1</v>
      </c>
      <c r="D62" s="411" t="s">
        <v>144</v>
      </c>
      <c r="E62" s="412">
        <v>0</v>
      </c>
      <c r="F62" s="356">
        <f>(F40+F50+F60+SUM(F61))*E62</f>
        <v>0</v>
      </c>
      <c r="G62" s="40"/>
      <c r="H62" s="131"/>
      <c r="I62" s="137"/>
      <c r="J62" s="139"/>
      <c r="K62" s="139"/>
      <c r="L62" s="139"/>
      <c r="M62" s="139"/>
      <c r="N62" s="139"/>
    </row>
    <row r="63" spans="1:14" ht="18" customHeight="1" x14ac:dyDescent="0.15">
      <c r="A63" s="30"/>
      <c r="B63" s="413" t="s">
        <v>178</v>
      </c>
      <c r="C63" s="521">
        <f>F40+F50+F60+F61+F62</f>
        <v>68616734</v>
      </c>
      <c r="D63" s="522"/>
      <c r="E63" s="522"/>
      <c r="F63" s="523"/>
      <c r="G63" s="40"/>
      <c r="H63" s="131"/>
    </row>
    <row r="64" spans="1:14" ht="18" customHeight="1" x14ac:dyDescent="0.15">
      <c r="A64" s="30"/>
      <c r="B64" s="144" t="str">
        <f>'Cash-flow'!C36</f>
        <v>Rezerva</v>
      </c>
      <c r="C64" s="145">
        <v>1</v>
      </c>
      <c r="D64" s="146" t="s">
        <v>144</v>
      </c>
      <c r="E64" s="147">
        <v>0.05</v>
      </c>
      <c r="F64" s="148">
        <f>SUM(F40,F50,F60,F62)*E64</f>
        <v>3180836.7</v>
      </c>
      <c r="G64" s="40"/>
      <c r="H64" s="131"/>
    </row>
    <row r="65" spans="1:6" ht="18" customHeight="1" x14ac:dyDescent="0.15">
      <c r="B65" s="71" t="s">
        <v>179</v>
      </c>
      <c r="C65" s="498">
        <f>C63+F64</f>
        <v>71797570.700000003</v>
      </c>
      <c r="D65" s="493"/>
      <c r="E65" s="493"/>
      <c r="F65" s="494"/>
    </row>
    <row r="66" spans="1:6" ht="18" customHeight="1" x14ac:dyDescent="0.15">
      <c r="A66" s="30"/>
      <c r="B66" s="75" t="s">
        <v>147</v>
      </c>
      <c r="C66" s="21"/>
      <c r="D66" s="21"/>
      <c r="E66" s="21"/>
      <c r="F66" s="76">
        <f>C65/$J$17</f>
        <v>31768.836592920354</v>
      </c>
    </row>
    <row r="67" spans="1:6" ht="18" customHeight="1" x14ac:dyDescent="0.15">
      <c r="A67" s="30"/>
    </row>
    <row r="68" spans="1:6" ht="18" customHeight="1" x14ac:dyDescent="0.15">
      <c r="A68" s="30"/>
      <c r="B68" s="29"/>
      <c r="C68" s="38"/>
      <c r="D68" s="39"/>
      <c r="E68" s="41"/>
      <c r="F68" s="40"/>
    </row>
    <row r="69" spans="1:6" ht="18" customHeight="1" x14ac:dyDescent="0.15">
      <c r="A69" s="30"/>
      <c r="B69" s="29"/>
      <c r="C69" s="38"/>
      <c r="D69" s="39"/>
      <c r="E69" s="41"/>
      <c r="F69" s="40"/>
    </row>
    <row r="70" spans="1:6" ht="18" customHeight="1" x14ac:dyDescent="0.15">
      <c r="A70" s="30"/>
      <c r="B70" s="499" t="str">
        <f>'Cash-flow'!C37</f>
        <v>E. Soft costs</v>
      </c>
      <c r="C70" s="493"/>
      <c r="D70" s="493"/>
      <c r="E70" s="493"/>
      <c r="F70" s="494"/>
    </row>
    <row r="71" spans="1:6" ht="18" customHeight="1" x14ac:dyDescent="0.15">
      <c r="A71" s="30"/>
      <c r="B71" s="80"/>
      <c r="C71" s="81" t="s">
        <v>123</v>
      </c>
      <c r="D71" s="46" t="s">
        <v>159</v>
      </c>
      <c r="E71" s="81" t="s">
        <v>160</v>
      </c>
      <c r="F71" s="82"/>
    </row>
    <row r="72" spans="1:6" ht="18" customHeight="1" x14ac:dyDescent="0.15">
      <c r="A72" s="30"/>
      <c r="B72" s="149" t="s">
        <v>180</v>
      </c>
      <c r="C72" s="451"/>
      <c r="D72" s="452"/>
      <c r="E72" s="54">
        <v>250000</v>
      </c>
      <c r="F72" s="151">
        <f>E72*12</f>
        <v>3000000</v>
      </c>
    </row>
    <row r="73" spans="1:6" ht="18" customHeight="1" x14ac:dyDescent="0.15">
      <c r="B73" s="149" t="s">
        <v>181</v>
      </c>
      <c r="C73" s="90">
        <v>1</v>
      </c>
      <c r="D73" s="91" t="s">
        <v>144</v>
      </c>
      <c r="E73" s="150">
        <v>0.02</v>
      </c>
      <c r="F73" s="151">
        <f>IF(C64*E74&gt;2500000,C64*E74,2500000)</f>
        <v>2500000</v>
      </c>
    </row>
    <row r="74" spans="1:6" ht="18" customHeight="1" x14ac:dyDescent="0.15">
      <c r="A74" s="30"/>
      <c r="B74" s="149" t="str">
        <f>'Cash-flow'!C39</f>
        <v>Project management (Interní)</v>
      </c>
      <c r="C74" s="90">
        <v>1</v>
      </c>
      <c r="D74" s="91" t="s">
        <v>144</v>
      </c>
      <c r="E74" s="152">
        <v>0</v>
      </c>
      <c r="F74" s="93">
        <f>SUM(F75:F79)</f>
        <v>3113500</v>
      </c>
    </row>
    <row r="75" spans="1:6" ht="18" customHeight="1" x14ac:dyDescent="0.15">
      <c r="A75" s="30"/>
      <c r="B75" s="153" t="str">
        <f>Params!C2</f>
        <v>Příprava fix 24 mes</v>
      </c>
      <c r="C75" s="90">
        <v>1</v>
      </c>
      <c r="D75" s="91"/>
      <c r="E75" s="150"/>
      <c r="F75" s="154">
        <f>IF(J17&lt;Params!B3, Params!C3,
    IF(AND(J17&gt;=Params!B3, J17&lt;Params!B4), Params!C4,
        IF(AND(J17&gt;=Params!B4, J17&lt;Params!B5),Params!C5,
            IF(J17&gt;=Params!B5,Params!C6, "False")
        )
    )
)</f>
        <v>937500</v>
      </c>
    </row>
    <row r="76" spans="1:6" ht="18" customHeight="1" x14ac:dyDescent="0.15">
      <c r="A76" s="30"/>
      <c r="B76" s="153" t="str">
        <f>Params!E2</f>
        <v>Realizace fix 24 mes</v>
      </c>
      <c r="C76" s="90">
        <v>1</v>
      </c>
      <c r="D76" s="91"/>
      <c r="E76" s="150"/>
      <c r="F76" s="154">
        <f>IF(J17&lt;Params!B3, Params!E3,
    IF(AND(J17&gt;=Params!B3, J17&lt;Params!B4), Params!E4,
        IF(AND(J17&gt;=Params!B4, J17&lt;Params!B5),Params!E5,
            IF(J17&gt;=Params!B5,Params!E6, "False")
        )
    )
)</f>
        <v>1000000</v>
      </c>
    </row>
    <row r="77" spans="1:6" ht="18" customHeight="1" x14ac:dyDescent="0.15">
      <c r="A77" s="30"/>
      <c r="B77" s="153" t="str">
        <f>Params!F2</f>
        <v>Realizace mes</v>
      </c>
      <c r="C77" s="90">
        <v>1</v>
      </c>
      <c r="D77" s="91"/>
      <c r="E77" s="150"/>
      <c r="F77" s="154">
        <f>IF(J17&lt;Params!B3, Params!F3*R12,
    IF(AND(J17&gt;=Params!B3, J17&lt;Params!B4), Params!F4*R12,
        IF(AND(J17&gt;=Params!B4, J17&lt;Params!B5),Params!F5*R12,
            IF(J17&gt;=Params!B5,Params!F6*R12, "False")
        )
    )
)</f>
        <v>420000</v>
      </c>
    </row>
    <row r="78" spans="1:6" ht="18" customHeight="1" x14ac:dyDescent="0.15">
      <c r="A78" s="30"/>
      <c r="B78" s="153" t="str">
        <f>Params!G2</f>
        <v>BOZP</v>
      </c>
      <c r="C78" s="90">
        <v>1</v>
      </c>
      <c r="D78" s="91"/>
      <c r="E78" s="150"/>
      <c r="F78" s="154">
        <f>IF(J17&lt;Params!B3, Params!G3*R12,
    IF(AND(J17&gt;=Params!B3, J17&lt;Params!B4), Params!G4*R12,
        IF(AND(J17&gt;=Params!B4, J17&lt;Params!B5),Params!G5*R12,
            IF(J17&gt;=Params!B5,Params!G6*R12, "False")
        )
    )
)</f>
        <v>126000</v>
      </c>
    </row>
    <row r="79" spans="1:6" ht="18" customHeight="1" x14ac:dyDescent="0.15">
      <c r="A79" s="30"/>
      <c r="B79" s="153" t="str">
        <f>Params!H2</f>
        <v>TDI</v>
      </c>
      <c r="C79" s="90">
        <v>1</v>
      </c>
      <c r="D79" s="91"/>
      <c r="E79" s="150"/>
      <c r="F79" s="154">
        <f>IF(J17&lt;Params!B3, Params!H3*R12,
    IF(AND(J17&gt;=Params!B3, J17&lt;Params!B4), Params!H4*R12,
        IF(AND(J17&gt;=Params!B4, J17&lt;Params!B5),Params!H5*R12,
            IF(J17&gt;=Params!B5,Params!H6*R12, "False")
        )
    )
)</f>
        <v>630000</v>
      </c>
    </row>
    <row r="80" spans="1:6" ht="18" customHeight="1" x14ac:dyDescent="0.15">
      <c r="A80" s="30"/>
      <c r="B80" s="149" t="str">
        <f>'Cash-flow'!C41</f>
        <v>Administrativní náklady</v>
      </c>
      <c r="C80" s="90">
        <v>1</v>
      </c>
      <c r="D80" s="91" t="s">
        <v>144</v>
      </c>
      <c r="E80" s="150">
        <f t="shared" ref="E80:E81" si="3">F80/$C$65</f>
        <v>3.0780985741624819E-3</v>
      </c>
      <c r="F80" s="151">
        <f>8500*26</f>
        <v>221000</v>
      </c>
    </row>
    <row r="81" spans="1:6" ht="18" customHeight="1" x14ac:dyDescent="0.15">
      <c r="A81" s="30"/>
      <c r="B81" s="149" t="str">
        <f>'Cash-flow'!C42</f>
        <v>Ostatní náklady</v>
      </c>
      <c r="C81" s="90">
        <v>1</v>
      </c>
      <c r="D81" s="155" t="s">
        <v>144</v>
      </c>
      <c r="E81" s="150">
        <f t="shared" si="3"/>
        <v>5.4319386602867331E-3</v>
      </c>
      <c r="F81" s="151">
        <f>15000*26</f>
        <v>390000</v>
      </c>
    </row>
    <row r="82" spans="1:6" ht="18" customHeight="1" x14ac:dyDescent="0.15">
      <c r="B82" s="149" t="str">
        <f>'Cash-flow'!C43</f>
        <v>Právní služby</v>
      </c>
      <c r="C82" s="90">
        <v>1</v>
      </c>
      <c r="D82" s="155" t="s">
        <v>182</v>
      </c>
      <c r="E82" s="150">
        <v>4.0000000000000001E-3</v>
      </c>
      <c r="F82" s="151">
        <f t="shared" ref="F82:F83" si="4">$C$63*E82</f>
        <v>274466.93599999999</v>
      </c>
    </row>
    <row r="83" spans="1:6" ht="18" customHeight="1" x14ac:dyDescent="0.15">
      <c r="A83" s="30"/>
      <c r="B83" s="149" t="str">
        <f>'Cash-flow'!C44</f>
        <v>Marketing</v>
      </c>
      <c r="C83" s="90">
        <v>1</v>
      </c>
      <c r="D83" s="155" t="s">
        <v>144</v>
      </c>
      <c r="E83" s="150">
        <v>3.0000000000000001E-3</v>
      </c>
      <c r="F83" s="151">
        <f t="shared" si="4"/>
        <v>205850.20199999999</v>
      </c>
    </row>
    <row r="84" spans="1:6" ht="18" customHeight="1" x14ac:dyDescent="0.15">
      <c r="A84" s="30"/>
      <c r="B84" s="149" t="s">
        <v>183</v>
      </c>
      <c r="C84" s="362">
        <v>1</v>
      </c>
      <c r="D84" s="411"/>
      <c r="E84" s="414">
        <v>0.15</v>
      </c>
      <c r="F84" s="415">
        <f>E84*Rentroll!L12</f>
        <v>1572497.2799999998</v>
      </c>
    </row>
    <row r="85" spans="1:6" ht="18" customHeight="1" x14ac:dyDescent="0.15">
      <c r="A85" s="30"/>
      <c r="B85" s="71" t="s">
        <v>146</v>
      </c>
      <c r="C85" s="498">
        <f>SUM(F80:F84)+F73+F74+F72</f>
        <v>11277314.418</v>
      </c>
      <c r="D85" s="493"/>
      <c r="E85" s="493"/>
      <c r="F85" s="494"/>
    </row>
    <row r="86" spans="1:6" ht="18" customHeight="1" x14ac:dyDescent="0.15">
      <c r="A86" s="30"/>
      <c r="B86" s="75" t="s">
        <v>147</v>
      </c>
      <c r="C86" s="156"/>
      <c r="D86" s="156"/>
      <c r="E86" s="156"/>
      <c r="F86" s="76">
        <f>C85/$J$17</f>
        <v>4989.9621318584068</v>
      </c>
    </row>
    <row r="87" spans="1:6" ht="18" customHeight="1" x14ac:dyDescent="0.15">
      <c r="A87" s="30"/>
      <c r="B87" s="29"/>
      <c r="C87" s="38"/>
      <c r="D87" s="39"/>
      <c r="E87" s="41"/>
      <c r="F87" s="40"/>
    </row>
    <row r="88" spans="1:6" ht="18" customHeight="1" x14ac:dyDescent="0.15">
      <c r="A88" s="30"/>
      <c r="B88" s="29"/>
      <c r="C88" s="38"/>
      <c r="D88" s="39"/>
      <c r="E88" s="41"/>
      <c r="F88" s="40"/>
    </row>
    <row r="89" spans="1:6" ht="18" customHeight="1" x14ac:dyDescent="0.15">
      <c r="A89" s="30"/>
      <c r="B89" s="499" t="str">
        <f>'Cash-flow'!C46</f>
        <v>F. Financial costs</v>
      </c>
      <c r="C89" s="493"/>
      <c r="D89" s="493"/>
      <c r="E89" s="493"/>
      <c r="F89" s="494"/>
    </row>
    <row r="90" spans="1:6" ht="18" customHeight="1" x14ac:dyDescent="0.15">
      <c r="A90" s="30"/>
      <c r="B90" s="80"/>
      <c r="C90" s="81" t="s">
        <v>123</v>
      </c>
      <c r="D90" s="46" t="s">
        <v>159</v>
      </c>
      <c r="E90" s="81" t="s">
        <v>160</v>
      </c>
      <c r="F90" s="82"/>
    </row>
    <row r="91" spans="1:6" ht="18" customHeight="1" x14ac:dyDescent="0.15">
      <c r="B91" s="144" t="str">
        <f>'Cash-flow'!C47</f>
        <v>Poplatky za zpracování úvěru</v>
      </c>
      <c r="C91" s="90">
        <v>1</v>
      </c>
      <c r="D91" s="91" t="s">
        <v>144</v>
      </c>
      <c r="E91" s="150">
        <v>2E-3</v>
      </c>
      <c r="F91" s="55">
        <f>D101*E91</f>
        <v>130623.89506924534</v>
      </c>
    </row>
    <row r="92" spans="1:6" ht="18" customHeight="1" x14ac:dyDescent="0.15">
      <c r="A92" s="30"/>
      <c r="B92" s="144" t="str">
        <f>'Cash-flow'!C48</f>
        <v>Úrokové náklady Equity</v>
      </c>
      <c r="C92" s="90">
        <v>1</v>
      </c>
      <c r="D92" s="91" t="s">
        <v>144</v>
      </c>
      <c r="E92" s="150">
        <v>0.11</v>
      </c>
      <c r="F92" s="55">
        <f>-'Cash-flow'!AN53</f>
        <v>5090250</v>
      </c>
    </row>
    <row r="93" spans="1:6" ht="18" customHeight="1" x14ac:dyDescent="0.15">
      <c r="A93" s="30"/>
      <c r="B93" s="144" t="str">
        <f>'Cash-flow'!C49</f>
        <v>Úrokové náklady Bank</v>
      </c>
      <c r="C93" s="90">
        <v>1</v>
      </c>
      <c r="D93" s="91" t="s">
        <v>184</v>
      </c>
      <c r="E93" s="150">
        <v>0.05</v>
      </c>
      <c r="F93" s="55">
        <f>-'Cash-flow'!BY59</f>
        <v>2460191.7400694448</v>
      </c>
    </row>
    <row r="94" spans="1:6" ht="18" customHeight="1" x14ac:dyDescent="0.15">
      <c r="A94" s="30"/>
      <c r="B94" s="144" t="str">
        <f>'Cash-flow'!C50</f>
        <v>Bankovní poplatky</v>
      </c>
      <c r="C94" s="90">
        <v>1</v>
      </c>
      <c r="D94" s="411" t="s">
        <v>132</v>
      </c>
      <c r="E94" s="54">
        <v>1200</v>
      </c>
      <c r="F94" s="356">
        <f>E94*R14</f>
        <v>28800</v>
      </c>
    </row>
    <row r="95" spans="1:6" ht="18" customHeight="1" x14ac:dyDescent="0.15">
      <c r="A95" s="30"/>
      <c r="B95" s="144" t="str">
        <f>'Cash-flow'!C51</f>
        <v>Daně</v>
      </c>
      <c r="C95" s="362">
        <v>1</v>
      </c>
      <c r="D95" s="411" t="s">
        <v>132</v>
      </c>
      <c r="E95" s="363">
        <v>0</v>
      </c>
      <c r="F95" s="356">
        <f>E95</f>
        <v>0</v>
      </c>
    </row>
    <row r="96" spans="1:6" ht="15" customHeight="1" x14ac:dyDescent="0.15">
      <c r="B96" s="71" t="s">
        <v>146</v>
      </c>
      <c r="C96" s="498">
        <f>SUM(F91:F95)</f>
        <v>7709865.6351386905</v>
      </c>
      <c r="D96" s="493"/>
      <c r="E96" s="493"/>
      <c r="F96" s="494"/>
    </row>
    <row r="97" spans="1:6" ht="15" customHeight="1" x14ac:dyDescent="0.15">
      <c r="B97" s="75" t="s">
        <v>147</v>
      </c>
      <c r="C97" s="156"/>
      <c r="D97" s="156"/>
      <c r="E97" s="156"/>
      <c r="F97" s="76">
        <f>C96/$J$17</f>
        <v>3411.4449713003055</v>
      </c>
    </row>
    <row r="98" spans="1:6" ht="18" customHeight="1" x14ac:dyDescent="0.15">
      <c r="A98" s="30"/>
      <c r="B98" s="29"/>
      <c r="C98" s="38"/>
      <c r="D98" s="39"/>
      <c r="E98" s="41"/>
      <c r="F98" s="40"/>
    </row>
    <row r="99" spans="1:6" ht="18" customHeight="1" x14ac:dyDescent="0.15">
      <c r="B99" s="29"/>
      <c r="C99" s="38"/>
      <c r="D99" s="39"/>
      <c r="E99" s="41"/>
      <c r="F99" s="40"/>
    </row>
    <row r="100" spans="1:6" ht="18" customHeight="1" x14ac:dyDescent="0.2">
      <c r="A100" s="30"/>
      <c r="B100" s="157" t="s">
        <v>185</v>
      </c>
      <c r="C100" s="158"/>
      <c r="D100" s="159"/>
      <c r="E100" s="160"/>
      <c r="F100" s="161"/>
    </row>
    <row r="101" spans="1:6" ht="18" customHeight="1" x14ac:dyDescent="0.2">
      <c r="A101" s="30"/>
      <c r="B101" s="416" t="s">
        <v>186</v>
      </c>
      <c r="C101" s="162"/>
      <c r="D101" s="417">
        <f>(C16+C33+C65+C85)*C103</f>
        <v>65311947.534622669</v>
      </c>
      <c r="E101" s="40"/>
      <c r="F101" s="29"/>
    </row>
    <row r="102" spans="1:6" ht="18" customHeight="1" x14ac:dyDescent="0.2">
      <c r="A102" s="30"/>
      <c r="B102" s="416" t="s">
        <v>187</v>
      </c>
      <c r="C102" s="162"/>
      <c r="D102" s="417">
        <f>(F91+F93)</f>
        <v>2590815.63513869</v>
      </c>
      <c r="E102" s="40"/>
      <c r="F102" s="29"/>
    </row>
    <row r="103" spans="1:6" ht="18" customHeight="1" x14ac:dyDescent="0.2">
      <c r="A103" s="30"/>
      <c r="B103" s="418" t="s">
        <v>188</v>
      </c>
      <c r="C103" s="163">
        <v>0.65</v>
      </c>
      <c r="D103" s="419">
        <f>SUM(D101:D102)</f>
        <v>67902763.16976136</v>
      </c>
      <c r="E103" s="40"/>
      <c r="F103" s="29"/>
    </row>
    <row r="104" spans="1:6" ht="18" customHeight="1" x14ac:dyDescent="0.2">
      <c r="A104" s="30"/>
      <c r="B104" s="418" t="s">
        <v>189</v>
      </c>
      <c r="C104" s="163">
        <f>100%-C103</f>
        <v>0.35</v>
      </c>
      <c r="D104" s="420">
        <f>C108-D103</f>
        <v>40287021.749412209</v>
      </c>
      <c r="E104" s="40"/>
      <c r="F104" s="453">
        <f>D104*0.5</f>
        <v>20143510.874706104</v>
      </c>
    </row>
    <row r="105" spans="1:6" ht="18" customHeight="1" x14ac:dyDescent="0.2">
      <c r="A105" s="30"/>
      <c r="B105" s="164" t="s">
        <v>190</v>
      </c>
      <c r="C105" s="165">
        <v>1</v>
      </c>
      <c r="D105" s="421">
        <f>C108</f>
        <v>108189784.91917357</v>
      </c>
      <c r="E105" s="40"/>
      <c r="F105" s="29"/>
    </row>
    <row r="106" spans="1:6" ht="12.75" customHeight="1" x14ac:dyDescent="0.15">
      <c r="A106" s="30"/>
    </row>
    <row r="107" spans="1:6" ht="18" customHeight="1" x14ac:dyDescent="0.15">
      <c r="A107" s="30"/>
    </row>
    <row r="108" spans="1:6" ht="18" customHeight="1" x14ac:dyDescent="0.15">
      <c r="A108" s="30"/>
      <c r="B108" s="166" t="s">
        <v>191</v>
      </c>
      <c r="C108" s="527">
        <f>C16+C33+C65+C85+C96</f>
        <v>108189784.91917357</v>
      </c>
      <c r="D108" s="493"/>
      <c r="E108" s="493"/>
      <c r="F108" s="494"/>
    </row>
    <row r="109" spans="1:6" ht="24" customHeight="1" x14ac:dyDescent="0.15">
      <c r="B109" s="29"/>
      <c r="C109" s="38"/>
      <c r="D109" s="39"/>
      <c r="E109" s="41"/>
      <c r="F109" s="40"/>
    </row>
    <row r="110" spans="1:6" ht="15" customHeight="1" x14ac:dyDescent="0.15">
      <c r="B110" s="167" t="s">
        <v>192</v>
      </c>
      <c r="C110" s="528">
        <f>C108/$J$17</f>
        <v>47871.586247421932</v>
      </c>
      <c r="D110" s="493"/>
      <c r="E110" s="493"/>
      <c r="F110" s="494"/>
    </row>
    <row r="111" spans="1:6" ht="15" customHeight="1" x14ac:dyDescent="0.15">
      <c r="B111" s="29"/>
      <c r="C111" s="38"/>
      <c r="D111" s="39"/>
      <c r="E111" s="41"/>
      <c r="F111" s="40"/>
    </row>
    <row r="112" spans="1:6" ht="15" customHeight="1" x14ac:dyDescent="0.15">
      <c r="B112" s="29"/>
      <c r="C112" s="38"/>
      <c r="D112" s="39"/>
      <c r="E112" s="41"/>
      <c r="F112" s="40"/>
    </row>
    <row r="113" spans="2:6" ht="15" customHeight="1" x14ac:dyDescent="0.25">
      <c r="B113" s="166" t="s">
        <v>193</v>
      </c>
      <c r="C113" s="524">
        <f>C108+F21</f>
        <v>112189784.91917357</v>
      </c>
      <c r="D113" s="525"/>
      <c r="E113" s="525"/>
      <c r="F113" s="526"/>
    </row>
    <row r="114" spans="2:6" ht="15" customHeight="1" x14ac:dyDescent="0.15">
      <c r="B114" s="29"/>
      <c r="C114" s="38"/>
      <c r="D114" s="39"/>
      <c r="E114" s="41"/>
      <c r="F114" s="40"/>
    </row>
    <row r="115" spans="2:6" ht="15" customHeight="1" x14ac:dyDescent="0.15">
      <c r="B115" s="29"/>
      <c r="C115" s="38"/>
      <c r="D115" s="39"/>
      <c r="E115" s="41"/>
      <c r="F115" s="40"/>
    </row>
    <row r="116" spans="2:6" ht="15" customHeight="1" x14ac:dyDescent="0.15">
      <c r="B116" s="29"/>
      <c r="C116" s="38"/>
      <c r="D116" s="39"/>
      <c r="E116" s="41"/>
      <c r="F116" s="40"/>
    </row>
    <row r="117" spans="2:6" ht="15" customHeight="1" x14ac:dyDescent="0.15">
      <c r="B117" s="29"/>
      <c r="C117" s="38"/>
      <c r="D117" s="39"/>
      <c r="E117" s="41"/>
      <c r="F117" s="40"/>
    </row>
    <row r="118" spans="2:6" ht="15" customHeight="1" x14ac:dyDescent="0.15">
      <c r="B118" s="29"/>
      <c r="C118" s="38"/>
      <c r="D118" s="39"/>
      <c r="E118" s="41"/>
      <c r="F118" s="40"/>
    </row>
  </sheetData>
  <mergeCells count="42">
    <mergeCell ref="C63:F63"/>
    <mergeCell ref="C65:F65"/>
    <mergeCell ref="B70:F70"/>
    <mergeCell ref="C85:F85"/>
    <mergeCell ref="C113:F113"/>
    <mergeCell ref="C96:F96"/>
    <mergeCell ref="C108:F108"/>
    <mergeCell ref="C110:F110"/>
    <mergeCell ref="B89:F89"/>
    <mergeCell ref="M37:N38"/>
    <mergeCell ref="K46:N46"/>
    <mergeCell ref="K47:N47"/>
    <mergeCell ref="K48:N48"/>
    <mergeCell ref="J27:N27"/>
    <mergeCell ref="J28:N28"/>
    <mergeCell ref="J29:N29"/>
    <mergeCell ref="J30:N30"/>
    <mergeCell ref="K35:L36"/>
    <mergeCell ref="M35:N36"/>
    <mergeCell ref="M39:N40"/>
    <mergeCell ref="K39:L40"/>
    <mergeCell ref="J39:J40"/>
    <mergeCell ref="C33:F33"/>
    <mergeCell ref="B38:F38"/>
    <mergeCell ref="J35:J36"/>
    <mergeCell ref="J37:J38"/>
    <mergeCell ref="K37:L38"/>
    <mergeCell ref="I35:I40"/>
    <mergeCell ref="C16:F16"/>
    <mergeCell ref="B25:F25"/>
    <mergeCell ref="J18:N18"/>
    <mergeCell ref="E28:E29"/>
    <mergeCell ref="F28:F29"/>
    <mergeCell ref="B19:F19"/>
    <mergeCell ref="C23:F23"/>
    <mergeCell ref="B1:N1"/>
    <mergeCell ref="B4:F4"/>
    <mergeCell ref="I4:N4"/>
    <mergeCell ref="Q4:R4"/>
    <mergeCell ref="B6:F6"/>
    <mergeCell ref="I6:N6"/>
    <mergeCell ref="Q6:R6"/>
  </mergeCells>
  <conditionalFormatting sqref="B2">
    <cfRule type="notContainsBlanks" dxfId="12" priority="4">
      <formula>LEN(TRIM(B2))&gt;0</formula>
    </cfRule>
  </conditionalFormatting>
  <conditionalFormatting sqref="J29:L45 I35:I45 M35:M45">
    <cfRule type="cellIs" dxfId="11" priority="1" operator="lessThan">
      <formula>0</formula>
    </cfRule>
  </conditionalFormatting>
  <conditionalFormatting sqref="J27:N27">
    <cfRule type="notContainsBlanks" dxfId="10" priority="5">
      <formula>LEN(TRIM(J27))&gt;0</formula>
    </cfRule>
  </conditionalFormatting>
  <conditionalFormatting sqref="U22:U24">
    <cfRule type="cellIs" dxfId="9" priority="3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F24DA-999F-DB46-8BB8-1A1BF00FD56C}">
  <dimension ref="A1:D21"/>
  <sheetViews>
    <sheetView workbookViewId="0">
      <selection activeCell="C3" sqref="C3"/>
    </sheetView>
  </sheetViews>
  <sheetFormatPr baseColWidth="10" defaultColWidth="11" defaultRowHeight="14" x14ac:dyDescent="0.15"/>
  <cols>
    <col min="1" max="1" width="15.5" customWidth="1"/>
    <col min="3" max="3" width="18.83203125" customWidth="1"/>
    <col min="4" max="4" width="17" bestFit="1" customWidth="1"/>
  </cols>
  <sheetData>
    <row r="1" spans="1:4" x14ac:dyDescent="0.15">
      <c r="B1" s="27" t="s">
        <v>194</v>
      </c>
      <c r="C1" s="27" t="s">
        <v>195</v>
      </c>
      <c r="D1" s="27" t="s">
        <v>196</v>
      </c>
    </row>
    <row r="2" spans="1:4" x14ac:dyDescent="0.15">
      <c r="A2" s="27" t="s">
        <v>197</v>
      </c>
      <c r="B2">
        <v>13190</v>
      </c>
      <c r="C2" s="463">
        <v>28000000</v>
      </c>
      <c r="D2" s="462">
        <f>C2/B2</f>
        <v>2122.8203184230479</v>
      </c>
    </row>
    <row r="3" spans="1:4" x14ac:dyDescent="0.15">
      <c r="A3" s="27" t="s">
        <v>198</v>
      </c>
      <c r="B3">
        <v>7581</v>
      </c>
      <c r="C3" s="463">
        <f>B3*$D$2</f>
        <v>16093100.833965126</v>
      </c>
    </row>
    <row r="4" spans="1:4" x14ac:dyDescent="0.15">
      <c r="A4" s="27" t="s">
        <v>199</v>
      </c>
      <c r="B4">
        <f>B2-B3</f>
        <v>5609</v>
      </c>
      <c r="C4" s="463">
        <f>B4*$D$2</f>
        <v>11906899.166034875</v>
      </c>
    </row>
    <row r="5" spans="1:4" x14ac:dyDescent="0.15">
      <c r="C5" s="463"/>
    </row>
    <row r="6" spans="1:4" x14ac:dyDescent="0.15">
      <c r="C6" s="463"/>
    </row>
    <row r="7" spans="1:4" x14ac:dyDescent="0.15">
      <c r="C7" s="463"/>
    </row>
    <row r="8" spans="1:4" x14ac:dyDescent="0.15">
      <c r="C8" s="463"/>
    </row>
    <row r="9" spans="1:4" x14ac:dyDescent="0.15">
      <c r="C9" s="463"/>
    </row>
    <row r="10" spans="1:4" x14ac:dyDescent="0.15">
      <c r="C10" s="463"/>
    </row>
    <row r="11" spans="1:4" x14ac:dyDescent="0.15">
      <c r="C11" s="463"/>
    </row>
    <row r="12" spans="1:4" x14ac:dyDescent="0.15">
      <c r="C12" s="463"/>
    </row>
    <row r="13" spans="1:4" x14ac:dyDescent="0.15">
      <c r="C13" s="463"/>
    </row>
    <row r="14" spans="1:4" x14ac:dyDescent="0.15">
      <c r="C14" s="463"/>
    </row>
    <row r="15" spans="1:4" x14ac:dyDescent="0.15">
      <c r="C15" s="463"/>
    </row>
    <row r="16" spans="1:4" x14ac:dyDescent="0.15">
      <c r="C16" s="463"/>
    </row>
    <row r="17" spans="3:3" x14ac:dyDescent="0.15">
      <c r="C17" s="463"/>
    </row>
    <row r="18" spans="3:3" x14ac:dyDescent="0.15">
      <c r="C18" s="463"/>
    </row>
    <row r="19" spans="3:3" x14ac:dyDescent="0.15">
      <c r="C19" s="463"/>
    </row>
    <row r="20" spans="3:3" x14ac:dyDescent="0.15">
      <c r="C20" s="463"/>
    </row>
    <row r="21" spans="3:3" x14ac:dyDescent="0.15">
      <c r="C21" s="463"/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37BD8-3C9A-4595-A896-28C3D3D12473}">
  <sheetPr>
    <tabColor rgb="FFFFFF00"/>
  </sheetPr>
  <dimension ref="A1"/>
  <sheetViews>
    <sheetView workbookViewId="0"/>
  </sheetViews>
  <sheetFormatPr baseColWidth="10" defaultColWidth="8.83203125" defaultRowHeight="14" x14ac:dyDescent="0.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B1:CD145"/>
  <sheetViews>
    <sheetView tabSelected="1" workbookViewId="0">
      <pane xSplit="3" ySplit="4" topLeftCell="D5" activePane="bottomRight" state="frozen"/>
      <selection pane="topRight"/>
      <selection pane="bottomLeft"/>
      <selection pane="bottomRight" activeCell="AN102" sqref="AN102"/>
    </sheetView>
  </sheetViews>
  <sheetFormatPr baseColWidth="10" defaultColWidth="12.6640625" defaultRowHeight="15" customHeight="1" outlineLevelRow="1" outlineLevelCol="2" x14ac:dyDescent="0.15"/>
  <cols>
    <col min="1" max="1" width="2.33203125" customWidth="1"/>
    <col min="3" max="3" width="40.1640625" customWidth="1"/>
    <col min="4" max="4" width="12.6640625" outlineLevel="1"/>
    <col min="5" max="5" width="6.5" hidden="1" customWidth="1" outlineLevel="1" collapsed="1"/>
    <col min="6" max="8" width="6.5" hidden="1" customWidth="1" outlineLevel="2"/>
    <col min="9" max="9" width="9.1640625" hidden="1" customWidth="1" outlineLevel="2"/>
    <col min="10" max="13" width="6.5" hidden="1" customWidth="1" outlineLevel="2"/>
    <col min="14" max="14" width="9.5" hidden="1" customWidth="1" outlineLevel="2"/>
    <col min="15" max="15" width="10.5" hidden="1" customWidth="1" outlineLevel="2"/>
    <col min="16" max="16" width="8.5" hidden="1" customWidth="1" outlineLevel="2"/>
    <col min="17" max="17" width="9.6640625" customWidth="1" outlineLevel="1"/>
    <col min="18" max="27" width="9.6640625" customWidth="1" outlineLevel="2"/>
    <col min="28" max="28" width="11.5" customWidth="1" outlineLevel="2"/>
    <col min="29" max="29" width="9.6640625" customWidth="1" outlineLevel="1"/>
    <col min="30" max="39" width="9.1640625" customWidth="1" outlineLevel="2"/>
    <col min="40" max="40" width="11" customWidth="1" outlineLevel="2"/>
    <col min="41" max="41" width="6.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9" max="79" width="12.6640625" collapsed="1"/>
    <col min="80" max="82" width="12.6640625" hidden="1" outlineLevel="1"/>
  </cols>
  <sheetData>
    <row r="1" spans="2:81" x14ac:dyDescent="0.2">
      <c r="B1" s="169" t="s">
        <v>200</v>
      </c>
      <c r="C1" s="170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1"/>
      <c r="AX1" s="171"/>
      <c r="AY1" s="171"/>
      <c r="AZ1" s="171"/>
      <c r="BA1" s="171"/>
      <c r="BB1" s="171"/>
      <c r="BC1" s="171"/>
      <c r="BD1" s="171"/>
      <c r="BE1" s="171"/>
      <c r="BF1" s="171"/>
      <c r="BG1" s="171"/>
      <c r="BH1" s="171"/>
      <c r="BI1" s="171"/>
      <c r="BJ1" s="171"/>
      <c r="BK1" s="171"/>
      <c r="BL1" s="171"/>
      <c r="BM1" s="171"/>
      <c r="BN1" s="171"/>
      <c r="BO1" s="171"/>
      <c r="BP1" s="171"/>
      <c r="BQ1" s="171"/>
      <c r="BR1" s="171"/>
      <c r="BS1" s="171"/>
      <c r="BT1" s="171"/>
      <c r="BU1" s="171"/>
      <c r="BV1" s="171"/>
      <c r="BW1" s="171"/>
      <c r="BX1" s="171"/>
      <c r="BY1" s="171"/>
      <c r="BZ1" s="171"/>
      <c r="CA1" s="168"/>
      <c r="CB1" s="168"/>
      <c r="CC1" s="168"/>
    </row>
    <row r="2" spans="2:81" x14ac:dyDescent="0.2">
      <c r="B2" s="483" t="s">
        <v>201</v>
      </c>
      <c r="C2" s="468"/>
      <c r="D2" s="422"/>
      <c r="E2" s="489">
        <v>45658</v>
      </c>
      <c r="F2" s="465"/>
      <c r="G2" s="465"/>
      <c r="H2" s="465"/>
      <c r="I2" s="465"/>
      <c r="J2" s="465"/>
      <c r="K2" s="465"/>
      <c r="L2" s="465"/>
      <c r="M2" s="465"/>
      <c r="N2" s="465"/>
      <c r="O2" s="465"/>
      <c r="P2" s="466"/>
      <c r="Q2" s="464">
        <v>2026</v>
      </c>
      <c r="R2" s="465"/>
      <c r="S2" s="465"/>
      <c r="T2" s="465"/>
      <c r="U2" s="465"/>
      <c r="V2" s="465"/>
      <c r="W2" s="465"/>
      <c r="X2" s="465"/>
      <c r="Y2" s="465"/>
      <c r="Z2" s="465"/>
      <c r="AA2" s="465"/>
      <c r="AB2" s="466"/>
      <c r="AC2" s="464">
        <v>2027</v>
      </c>
      <c r="AD2" s="465"/>
      <c r="AE2" s="465"/>
      <c r="AF2" s="465"/>
      <c r="AG2" s="465"/>
      <c r="AH2" s="465"/>
      <c r="AI2" s="465"/>
      <c r="AJ2" s="465"/>
      <c r="AK2" s="465"/>
      <c r="AL2" s="465"/>
      <c r="AM2" s="465"/>
      <c r="AN2" s="466"/>
      <c r="AO2" s="464">
        <v>2028</v>
      </c>
      <c r="AP2" s="465"/>
      <c r="AQ2" s="465"/>
      <c r="AR2" s="465"/>
      <c r="AS2" s="465"/>
      <c r="AT2" s="465"/>
      <c r="AU2" s="465"/>
      <c r="AV2" s="465"/>
      <c r="AW2" s="465"/>
      <c r="AX2" s="465"/>
      <c r="AY2" s="465"/>
      <c r="AZ2" s="466"/>
      <c r="BA2" s="464">
        <v>2029</v>
      </c>
      <c r="BB2" s="465"/>
      <c r="BC2" s="465"/>
      <c r="BD2" s="465"/>
      <c r="BE2" s="465"/>
      <c r="BF2" s="465"/>
      <c r="BG2" s="465"/>
      <c r="BH2" s="465"/>
      <c r="BI2" s="465"/>
      <c r="BJ2" s="465"/>
      <c r="BK2" s="465"/>
      <c r="BL2" s="466"/>
      <c r="BM2" s="464">
        <v>2030</v>
      </c>
      <c r="BN2" s="465"/>
      <c r="BO2" s="465"/>
      <c r="BP2" s="465"/>
      <c r="BQ2" s="465"/>
      <c r="BR2" s="465"/>
      <c r="BS2" s="465"/>
      <c r="BT2" s="465"/>
      <c r="BU2" s="465"/>
      <c r="BV2" s="465"/>
      <c r="BW2" s="465"/>
      <c r="BX2" s="466"/>
      <c r="BY2" s="467" t="s">
        <v>202</v>
      </c>
      <c r="BZ2" s="468"/>
      <c r="CA2" s="168"/>
      <c r="CB2" s="168"/>
      <c r="CC2" s="168"/>
    </row>
    <row r="3" spans="2:81" x14ac:dyDescent="0.2">
      <c r="B3" s="469"/>
      <c r="C3" s="468"/>
      <c r="D3" s="422"/>
      <c r="E3" s="172" t="str">
        <f>IFERROR(VLOOKUP(TEXT(E4,"mm.yyyy"),#REF!, 2, FALSE),"")</f>
        <v/>
      </c>
      <c r="F3" s="172" t="str">
        <f>IFERROR(VLOOKUP(TEXT(F4,"mm.yyyy"),#REF!, 2, FALSE),"")</f>
        <v/>
      </c>
      <c r="G3" s="172" t="str">
        <f>IFERROR(VLOOKUP(TEXT(G4,"mm.yyyy"),#REF!, 2, FALSE),"")</f>
        <v/>
      </c>
      <c r="H3" s="172" t="str">
        <f>IFERROR(VLOOKUP(TEXT(H4,"mm.yyyy"),#REF!, 2, FALSE),"")</f>
        <v/>
      </c>
      <c r="I3" s="172" t="str">
        <f>IFERROR(VLOOKUP(TEXT(I4,"mm.yyyy"),#REF!, 2, FALSE),"")</f>
        <v/>
      </c>
      <c r="J3" s="172" t="str">
        <f>IFERROR(VLOOKUP(TEXT(J4,"mm.yyyy"),#REF!, 2, FALSE),"")</f>
        <v/>
      </c>
      <c r="K3" s="172" t="str">
        <f>IFERROR(VLOOKUP(TEXT(K4,"mm.yyyy"),#REF!, 2, FALSE),"")</f>
        <v/>
      </c>
      <c r="L3" s="172" t="str">
        <f>IFERROR(VLOOKUP(TEXT(L4,"mm.yyyy"),#REF!, 2, FALSE),"")</f>
        <v/>
      </c>
      <c r="M3" s="172" t="str">
        <f>IFERROR(VLOOKUP(TEXT(M4,"mm.yyyy"),#REF!, 2, FALSE),"")</f>
        <v/>
      </c>
      <c r="N3" s="172" t="str">
        <f>IFERROR(VLOOKUP(TEXT(N4,"mm.yyyy"),#REF!, 2, FALSE),"")</f>
        <v/>
      </c>
      <c r="O3" s="172" t="str">
        <f>IFERROR(VLOOKUP(TEXT(O4,"mm.yyyy"),#REF!, 2, FALSE),"")</f>
        <v/>
      </c>
      <c r="P3" s="172" t="str">
        <f>IFERROR(VLOOKUP(TEXT(P4,"mm.yyyy"),#REF!, 2, FALSE),"")</f>
        <v/>
      </c>
      <c r="Q3" s="172" t="str">
        <f>IFERROR(VLOOKUP(TEXT(Q4,"mm.yyyy"),#REF!, 2, FALSE),"")</f>
        <v/>
      </c>
      <c r="R3" s="172" t="str">
        <f>IFERROR(VLOOKUP(TEXT(R4,"mm.yyyy"),#REF!, 2, FALSE),"")</f>
        <v/>
      </c>
      <c r="S3" s="172" t="str">
        <f>IFERROR(VLOOKUP(TEXT(S4,"mm.yyyy"),#REF!, 2, FALSE),"")</f>
        <v/>
      </c>
      <c r="T3" s="172" t="str">
        <f>IFERROR(VLOOKUP(TEXT(T4,"mm.yyyy"),#REF!, 2, FALSE),"")</f>
        <v/>
      </c>
      <c r="U3" s="172" t="str">
        <f>IFERROR(VLOOKUP(TEXT(U4,"mm.yyyy"),#REF!, 2, FALSE),"")</f>
        <v/>
      </c>
      <c r="V3" s="172" t="str">
        <f>IFERROR(VLOOKUP(TEXT(V4,"mm.yyyy"),#REF!, 2, FALSE),"")</f>
        <v/>
      </c>
      <c r="W3" s="172" t="str">
        <f>IFERROR(VLOOKUP(TEXT(W4,"mm.yyyy"),#REF!, 2, FALSE),"")</f>
        <v/>
      </c>
      <c r="X3" s="172" t="str">
        <f>IFERROR(VLOOKUP(TEXT(X4,"mm.yyyy"),#REF!, 2, FALSE),"")</f>
        <v/>
      </c>
      <c r="Y3" s="172" t="str">
        <f>IFERROR(VLOOKUP(TEXT(Y4,"mm.yyyy"),#REF!, 2, FALSE),"")</f>
        <v/>
      </c>
      <c r="Z3" s="172" t="str">
        <f>IFERROR(VLOOKUP(TEXT(Z4,"mm.yyyy"),#REF!, 2, FALSE),"")</f>
        <v/>
      </c>
      <c r="AA3" s="172" t="str">
        <f>IFERROR(VLOOKUP(TEXT(AA4,"mm.yyyy"),#REF!, 2, FALSE),"")</f>
        <v/>
      </c>
      <c r="AB3" s="172" t="str">
        <f>IFERROR(VLOOKUP(TEXT(AB4,"mm.yyyy"),#REF!, 2, FALSE),"")</f>
        <v/>
      </c>
      <c r="AC3" s="172" t="str">
        <f>IFERROR(VLOOKUP(TEXT(AC4,"mm.yyyy"),#REF!, 2, FALSE),"")</f>
        <v/>
      </c>
      <c r="AD3" s="172" t="str">
        <f>IFERROR(VLOOKUP(TEXT(AD4,"mm.yyyy"),#REF!, 2, FALSE),"")</f>
        <v/>
      </c>
      <c r="AE3" s="172" t="str">
        <f>IFERROR(VLOOKUP(TEXT(AE4,"mm.yyyy"),#REF!, 2, FALSE),"")</f>
        <v/>
      </c>
      <c r="AF3" s="172" t="str">
        <f>IFERROR(VLOOKUP(TEXT(AF4,"mm.yyyy"),#REF!, 2, FALSE),"")</f>
        <v/>
      </c>
      <c r="AG3" s="172" t="str">
        <f>IFERROR(VLOOKUP(TEXT(AG4,"mm.yyyy"),#REF!, 2, FALSE),"")</f>
        <v/>
      </c>
      <c r="AH3" s="172" t="str">
        <f>IFERROR(VLOOKUP(TEXT(AH4,"mm.yyyy"),#REF!, 2, FALSE),"")</f>
        <v/>
      </c>
      <c r="AI3" s="172" t="str">
        <f>IFERROR(VLOOKUP(TEXT(AI4,"mm.yyyy"),#REF!, 2, FALSE),"")</f>
        <v/>
      </c>
      <c r="AJ3" s="172" t="str">
        <f>IFERROR(VLOOKUP(TEXT(AJ4,"mm.yyyy"),#REF!, 2, FALSE),"")</f>
        <v/>
      </c>
      <c r="AK3" s="172" t="str">
        <f>IFERROR(VLOOKUP(TEXT(AK4,"mm.yyyy"),#REF!, 2, FALSE),"")</f>
        <v/>
      </c>
      <c r="AL3" s="172" t="str">
        <f>IFERROR(VLOOKUP(TEXT(AL4,"mm.yyyy"),#REF!, 2, FALSE),"")</f>
        <v/>
      </c>
      <c r="AM3" s="172" t="str">
        <f>IFERROR(VLOOKUP(TEXT(AM4,"mm.yyyy"),#REF!, 2, FALSE),"")</f>
        <v/>
      </c>
      <c r="AN3" s="172" t="str">
        <f>IFERROR(VLOOKUP(TEXT(AN4,"mm.yyyy"),#REF!, 2, FALSE),"")</f>
        <v/>
      </c>
      <c r="AO3" s="172" t="str">
        <f>IFERROR(VLOOKUP(TEXT(AO4,"mm.yyyy"),#REF!, 2, FALSE),"")</f>
        <v/>
      </c>
      <c r="AP3" s="172" t="str">
        <f>IFERROR(VLOOKUP(TEXT(AP4,"mm.yyyy"),#REF!, 2, FALSE),"")</f>
        <v/>
      </c>
      <c r="AQ3" s="172" t="str">
        <f>IFERROR(VLOOKUP(TEXT(AQ4,"mm.yyyy"),#REF!, 2, FALSE),"")</f>
        <v/>
      </c>
      <c r="AR3" s="172" t="str">
        <f>IFERROR(VLOOKUP(TEXT(AR4,"mm.yyyy"),#REF!, 2, FALSE),"")</f>
        <v/>
      </c>
      <c r="AS3" s="172" t="str">
        <f>IFERROR(VLOOKUP(TEXT(AS4,"mm.yyyy"),#REF!, 2, FALSE),"")</f>
        <v/>
      </c>
      <c r="AT3" s="172" t="str">
        <f>IFERROR(VLOOKUP(TEXT(AT4,"mm.yyyy"),#REF!, 2, FALSE),"")</f>
        <v/>
      </c>
      <c r="AU3" s="172" t="str">
        <f>IFERROR(VLOOKUP(TEXT(AU4,"mm.yyyy"),#REF!, 2, FALSE),"")</f>
        <v/>
      </c>
      <c r="AV3" s="172" t="str">
        <f>IFERROR(VLOOKUP(TEXT(AV4,"mm.yyyy"),#REF!, 2, FALSE),"")</f>
        <v/>
      </c>
      <c r="AW3" s="172" t="str">
        <f>IFERROR(VLOOKUP(TEXT(AW4,"mm.yyyy"),#REF!, 2, FALSE),"")</f>
        <v/>
      </c>
      <c r="AX3" s="172" t="str">
        <f>IFERROR(VLOOKUP(TEXT(AX4,"mm.yyyy"),#REF!, 2, FALSE),"")</f>
        <v/>
      </c>
      <c r="AY3" s="172" t="str">
        <f>IFERROR(VLOOKUP(TEXT(AY4,"mm.yyyy"),#REF!, 2, FALSE),"")</f>
        <v/>
      </c>
      <c r="AZ3" s="172" t="str">
        <f>IFERROR(VLOOKUP(TEXT(AZ4,"mm.yyyy"),#REF!, 2, FALSE),"")</f>
        <v/>
      </c>
      <c r="BA3" s="172" t="str">
        <f>IFERROR(VLOOKUP(TEXT(BA4,"mm.yyyy"),#REF!, 2, FALSE),"")</f>
        <v/>
      </c>
      <c r="BB3" s="172" t="str">
        <f>IFERROR(VLOOKUP(TEXT(BB4,"mm.yyyy"),#REF!, 2, FALSE),"")</f>
        <v/>
      </c>
      <c r="BC3" s="172" t="str">
        <f>IFERROR(VLOOKUP(TEXT(BC4,"mm.yyyy"),#REF!, 2, FALSE),"")</f>
        <v/>
      </c>
      <c r="BD3" s="172" t="str">
        <f>IFERROR(VLOOKUP(TEXT(BD4,"mm.yyyy"),#REF!, 2, FALSE),"")</f>
        <v/>
      </c>
      <c r="BE3" s="172" t="str">
        <f>IFERROR(VLOOKUP(TEXT(BE4,"mm.yyyy"),#REF!, 2, FALSE),"")</f>
        <v/>
      </c>
      <c r="BF3" s="172" t="str">
        <f>IFERROR(VLOOKUP(TEXT(BF4,"mm.yyyy"),#REF!, 2, FALSE),"")</f>
        <v/>
      </c>
      <c r="BG3" s="172" t="str">
        <f>IFERROR(VLOOKUP(TEXT(BG4,"mm.yyyy"),#REF!, 2, FALSE),"")</f>
        <v/>
      </c>
      <c r="BH3" s="172" t="str">
        <f>IFERROR(VLOOKUP(TEXT(BH4,"mm.yyyy"),#REF!, 2, FALSE),"")</f>
        <v/>
      </c>
      <c r="BI3" s="172" t="str">
        <f>IFERROR(VLOOKUP(TEXT(BI4,"mm.yyyy"),#REF!, 2, FALSE),"")</f>
        <v/>
      </c>
      <c r="BJ3" s="172" t="str">
        <f>IFERROR(VLOOKUP(TEXT(BJ4,"mm.yyyy"),#REF!, 2, FALSE),"")</f>
        <v/>
      </c>
      <c r="BK3" s="172" t="str">
        <f>IFERROR(VLOOKUP(TEXT(BK4,"mm.yyyy"),#REF!, 2, FALSE),"")</f>
        <v/>
      </c>
      <c r="BL3" s="172" t="str">
        <f>IFERROR(VLOOKUP(TEXT(BL4,"mm.yyyy"),#REF!, 2, FALSE),"")</f>
        <v/>
      </c>
      <c r="BM3" s="172" t="str">
        <f>IFERROR(VLOOKUP(TEXT(BM4,"mm.yyyy"),#REF!, 2, FALSE),"")</f>
        <v/>
      </c>
      <c r="BN3" s="172" t="str">
        <f>IFERROR(VLOOKUP(TEXT(BN4,"mm.yyyy"),#REF!, 2, FALSE),"")</f>
        <v/>
      </c>
      <c r="BO3" s="172" t="str">
        <f>IFERROR(VLOOKUP(TEXT(BO4,"mm.yyyy"),#REF!, 2, FALSE),"")</f>
        <v/>
      </c>
      <c r="BP3" s="172" t="str">
        <f>IFERROR(VLOOKUP(TEXT(BP4,"mm.yyyy"),#REF!, 2, FALSE),"")</f>
        <v/>
      </c>
      <c r="BQ3" s="172" t="str">
        <f>IFERROR(VLOOKUP(TEXT(BQ4,"mm.yyyy"),#REF!, 2, FALSE),"")</f>
        <v/>
      </c>
      <c r="BR3" s="172" t="str">
        <f>IFERROR(VLOOKUP(TEXT(BR4,"mm.yyyy"),#REF!, 2, FALSE),"")</f>
        <v/>
      </c>
      <c r="BS3" s="172" t="str">
        <f>IFERROR(VLOOKUP(TEXT(BS4,"mm.yyyy"),#REF!, 2, FALSE),"")</f>
        <v/>
      </c>
      <c r="BT3" s="172" t="str">
        <f>IFERROR(VLOOKUP(TEXT(BT4,"mm.yyyy"),#REF!, 2, FALSE),"")</f>
        <v/>
      </c>
      <c r="BU3" s="172" t="str">
        <f>IFERROR(VLOOKUP(TEXT(BU4,"mm.yyyy"),#REF!, 2, FALSE),"")</f>
        <v/>
      </c>
      <c r="BV3" s="172" t="str">
        <f>IFERROR(VLOOKUP(TEXT(BV4,"mm.yyyy"),#REF!, 2, FALSE),"")</f>
        <v/>
      </c>
      <c r="BW3" s="172" t="str">
        <f>IFERROR(VLOOKUP(TEXT(BW4,"mm.yyyy"),#REF!, 2, FALSE),"")</f>
        <v/>
      </c>
      <c r="BX3" s="172" t="str">
        <f>IFERROR(VLOOKUP(TEXT(BX4,"mm.yyyy"),#REF!, 2, FALSE),"")</f>
        <v/>
      </c>
      <c r="BY3" s="469"/>
      <c r="BZ3" s="468"/>
      <c r="CA3" s="168"/>
      <c r="CB3" s="168" t="s">
        <v>203</v>
      </c>
      <c r="CC3" s="168" t="s">
        <v>204</v>
      </c>
    </row>
    <row r="4" spans="2:81" x14ac:dyDescent="0.2">
      <c r="B4" s="470"/>
      <c r="C4" s="471"/>
      <c r="D4" s="423"/>
      <c r="E4" s="173">
        <v>45658</v>
      </c>
      <c r="F4" s="173">
        <v>45689</v>
      </c>
      <c r="G4" s="173">
        <v>45717</v>
      </c>
      <c r="H4" s="173">
        <v>45748</v>
      </c>
      <c r="I4" s="173">
        <v>45778</v>
      </c>
      <c r="J4" s="173">
        <v>45809</v>
      </c>
      <c r="K4" s="173">
        <v>45839</v>
      </c>
      <c r="L4" s="173">
        <v>45870</v>
      </c>
      <c r="M4" s="173">
        <v>45901</v>
      </c>
      <c r="N4" s="173">
        <v>45931</v>
      </c>
      <c r="O4" s="173">
        <v>45962</v>
      </c>
      <c r="P4" s="173">
        <v>45992</v>
      </c>
      <c r="Q4" s="173">
        <v>46023</v>
      </c>
      <c r="R4" s="173">
        <v>46054</v>
      </c>
      <c r="S4" s="173">
        <v>46082</v>
      </c>
      <c r="T4" s="173">
        <v>46113</v>
      </c>
      <c r="U4" s="173">
        <v>46143</v>
      </c>
      <c r="V4" s="173">
        <v>46174</v>
      </c>
      <c r="W4" s="173">
        <v>46204</v>
      </c>
      <c r="X4" s="173">
        <v>46235</v>
      </c>
      <c r="Y4" s="173">
        <v>46266</v>
      </c>
      <c r="Z4" s="173">
        <v>46296</v>
      </c>
      <c r="AA4" s="173">
        <v>46327</v>
      </c>
      <c r="AB4" s="173">
        <v>46357</v>
      </c>
      <c r="AC4" s="173">
        <v>46388</v>
      </c>
      <c r="AD4" s="173">
        <v>46419</v>
      </c>
      <c r="AE4" s="173">
        <v>46447</v>
      </c>
      <c r="AF4" s="173">
        <v>46478</v>
      </c>
      <c r="AG4" s="173">
        <v>46508</v>
      </c>
      <c r="AH4" s="173">
        <v>46539</v>
      </c>
      <c r="AI4" s="173">
        <v>46569</v>
      </c>
      <c r="AJ4" s="173">
        <v>46600</v>
      </c>
      <c r="AK4" s="173">
        <v>46631</v>
      </c>
      <c r="AL4" s="173">
        <v>46661</v>
      </c>
      <c r="AM4" s="173">
        <v>46692</v>
      </c>
      <c r="AN4" s="173">
        <v>46722</v>
      </c>
      <c r="AO4" s="173">
        <v>46753</v>
      </c>
      <c r="AP4" s="173">
        <v>46784</v>
      </c>
      <c r="AQ4" s="173">
        <v>46813</v>
      </c>
      <c r="AR4" s="173">
        <v>46844</v>
      </c>
      <c r="AS4" s="173">
        <v>46874</v>
      </c>
      <c r="AT4" s="173">
        <v>46905</v>
      </c>
      <c r="AU4" s="173">
        <v>46935</v>
      </c>
      <c r="AV4" s="173">
        <v>46966</v>
      </c>
      <c r="AW4" s="173">
        <v>46997</v>
      </c>
      <c r="AX4" s="173">
        <v>47027</v>
      </c>
      <c r="AY4" s="173">
        <v>47058</v>
      </c>
      <c r="AZ4" s="173">
        <v>47088</v>
      </c>
      <c r="BA4" s="173">
        <v>47119</v>
      </c>
      <c r="BB4" s="173">
        <v>46784</v>
      </c>
      <c r="BC4" s="173">
        <v>46813</v>
      </c>
      <c r="BD4" s="173">
        <v>46844</v>
      </c>
      <c r="BE4" s="173">
        <v>46874</v>
      </c>
      <c r="BF4" s="173">
        <v>46905</v>
      </c>
      <c r="BG4" s="173">
        <v>46935</v>
      </c>
      <c r="BH4" s="173">
        <v>46966</v>
      </c>
      <c r="BI4" s="173">
        <v>46997</v>
      </c>
      <c r="BJ4" s="173">
        <v>47027</v>
      </c>
      <c r="BK4" s="173">
        <v>47058</v>
      </c>
      <c r="BL4" s="173">
        <v>47088</v>
      </c>
      <c r="BM4" s="173">
        <v>47119</v>
      </c>
      <c r="BN4" s="173">
        <v>47150</v>
      </c>
      <c r="BO4" s="173">
        <v>47178</v>
      </c>
      <c r="BP4" s="173">
        <v>47209</v>
      </c>
      <c r="BQ4" s="173">
        <v>47239</v>
      </c>
      <c r="BR4" s="173">
        <v>47270</v>
      </c>
      <c r="BS4" s="173">
        <v>47300</v>
      </c>
      <c r="BT4" s="173">
        <v>47331</v>
      </c>
      <c r="BU4" s="173">
        <v>47362</v>
      </c>
      <c r="BV4" s="173">
        <v>47392</v>
      </c>
      <c r="BW4" s="173">
        <v>47423</v>
      </c>
      <c r="BX4" s="173">
        <v>47453</v>
      </c>
      <c r="BY4" s="470"/>
      <c r="BZ4" s="471"/>
      <c r="CA4" s="168"/>
      <c r="CB4" s="168" t="s">
        <v>205</v>
      </c>
      <c r="CC4" s="168"/>
    </row>
    <row r="5" spans="2:81" x14ac:dyDescent="0.2">
      <c r="B5" s="484" t="s">
        <v>206</v>
      </c>
      <c r="C5" s="174" t="s">
        <v>207</v>
      </c>
      <c r="D5" s="175" t="s">
        <v>208</v>
      </c>
      <c r="E5" s="176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>
        <v>5000000</v>
      </c>
      <c r="R5" s="177"/>
      <c r="S5" s="177">
        <v>100000</v>
      </c>
      <c r="T5" s="177">
        <v>200000</v>
      </c>
      <c r="U5" s="177">
        <v>5000000</v>
      </c>
      <c r="V5" s="177">
        <v>1000000</v>
      </c>
      <c r="W5" s="177">
        <v>2500000</v>
      </c>
      <c r="X5" s="177">
        <v>600000</v>
      </c>
      <c r="Y5" s="177">
        <v>700000</v>
      </c>
      <c r="Z5" s="177">
        <v>1500000</v>
      </c>
      <c r="AA5" s="177"/>
      <c r="AB5" s="177">
        <v>17000000</v>
      </c>
      <c r="AC5" s="177"/>
      <c r="AD5" s="177"/>
      <c r="AE5" s="177"/>
      <c r="AF5" s="177"/>
      <c r="AG5" s="177"/>
      <c r="AH5" s="177"/>
      <c r="AI5" s="177"/>
      <c r="AJ5" s="177"/>
      <c r="AK5" s="177"/>
      <c r="AL5" s="177"/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7"/>
      <c r="BE5" s="177"/>
      <c r="BF5" s="177"/>
      <c r="BG5" s="177"/>
      <c r="BH5" s="177"/>
      <c r="BI5" s="177"/>
      <c r="BJ5" s="177"/>
      <c r="BK5" s="177"/>
      <c r="BL5" s="177"/>
      <c r="BM5" s="177"/>
      <c r="BN5" s="177"/>
      <c r="BO5" s="177"/>
      <c r="BP5" s="177"/>
      <c r="BQ5" s="177"/>
      <c r="BR5" s="177"/>
      <c r="BS5" s="177"/>
      <c r="BT5" s="177"/>
      <c r="BU5" s="177"/>
      <c r="BV5" s="177"/>
      <c r="BW5" s="177"/>
      <c r="BX5" s="178"/>
      <c r="BY5" s="179">
        <f t="shared" ref="BY5:BY16" si="0">SUM(E5:BX5)</f>
        <v>33600000</v>
      </c>
      <c r="BZ5" s="472">
        <f>SUM(BY5:BY8)</f>
        <v>36200000</v>
      </c>
      <c r="CA5" s="168"/>
      <c r="CB5" s="179">
        <f t="shared" ref="CB5:CB13" si="1">SUM(H5:CA5)</f>
        <v>103400000</v>
      </c>
      <c r="CC5" s="472">
        <f>SUM(CB5:CB8)</f>
        <v>108600000</v>
      </c>
    </row>
    <row r="6" spans="2:81" x14ac:dyDescent="0.2">
      <c r="B6" s="485"/>
      <c r="C6" s="180" t="s">
        <v>209</v>
      </c>
      <c r="D6" s="175" t="s">
        <v>208</v>
      </c>
      <c r="E6" s="177"/>
      <c r="F6" s="177"/>
      <c r="G6" s="177"/>
      <c r="H6" s="177"/>
      <c r="I6" s="177"/>
      <c r="J6" s="177"/>
      <c r="K6" s="177"/>
      <c r="L6" s="177"/>
      <c r="M6" s="177"/>
      <c r="N6" s="177"/>
      <c r="O6" s="177"/>
      <c r="P6" s="177"/>
      <c r="Q6" s="177">
        <v>1000000</v>
      </c>
      <c r="R6" s="177"/>
      <c r="S6" s="177"/>
      <c r="T6" s="177"/>
      <c r="U6" s="177"/>
      <c r="V6" s="177"/>
      <c r="W6" s="177"/>
      <c r="X6" s="177"/>
      <c r="Y6" s="177"/>
      <c r="Z6" s="177"/>
      <c r="AA6" s="177"/>
      <c r="AB6" s="177"/>
      <c r="AC6" s="177"/>
      <c r="AD6" s="177"/>
      <c r="AE6" s="177"/>
      <c r="AF6" s="177"/>
      <c r="AG6" s="177"/>
      <c r="AH6" s="177"/>
      <c r="AI6" s="177"/>
      <c r="AJ6" s="177"/>
      <c r="AK6" s="177"/>
      <c r="AL6" s="177"/>
      <c r="AM6" s="177"/>
      <c r="AN6" s="177"/>
      <c r="AO6" s="177"/>
      <c r="AP6" s="177"/>
      <c r="AQ6" s="177"/>
      <c r="AR6" s="177"/>
      <c r="AS6" s="177"/>
      <c r="AT6" s="177"/>
      <c r="AU6" s="177"/>
      <c r="AV6" s="177"/>
      <c r="AW6" s="177"/>
      <c r="AX6" s="177"/>
      <c r="AY6" s="177"/>
      <c r="AZ6" s="177"/>
      <c r="BA6" s="177"/>
      <c r="BB6" s="177"/>
      <c r="BC6" s="177"/>
      <c r="BD6" s="177"/>
      <c r="BE6" s="177"/>
      <c r="BF6" s="177"/>
      <c r="BG6" s="177"/>
      <c r="BH6" s="177"/>
      <c r="BI6" s="177"/>
      <c r="BJ6" s="177"/>
      <c r="BK6" s="177"/>
      <c r="BL6" s="177"/>
      <c r="BM6" s="177"/>
      <c r="BN6" s="177"/>
      <c r="BO6" s="177"/>
      <c r="BP6" s="177"/>
      <c r="BQ6" s="177"/>
      <c r="BR6" s="177"/>
      <c r="BS6" s="177"/>
      <c r="BT6" s="177"/>
      <c r="BU6" s="177"/>
      <c r="BV6" s="177"/>
      <c r="BW6" s="177"/>
      <c r="BX6" s="174"/>
      <c r="BY6" s="179">
        <f t="shared" si="0"/>
        <v>1000000</v>
      </c>
      <c r="BZ6" s="468"/>
      <c r="CA6" s="168"/>
      <c r="CB6" s="179">
        <f t="shared" si="1"/>
        <v>2000000</v>
      </c>
      <c r="CC6" s="468"/>
    </row>
    <row r="7" spans="2:81" x14ac:dyDescent="0.2">
      <c r="B7" s="485"/>
      <c r="C7" s="180" t="s">
        <v>210</v>
      </c>
      <c r="D7" s="175" t="s">
        <v>208</v>
      </c>
      <c r="E7" s="177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>
        <v>1600000</v>
      </c>
      <c r="R7" s="177"/>
      <c r="S7" s="177"/>
      <c r="T7" s="177"/>
      <c r="U7" s="177"/>
      <c r="V7" s="177"/>
      <c r="W7" s="177"/>
      <c r="X7" s="177"/>
      <c r="Y7" s="177"/>
      <c r="Z7" s="177"/>
      <c r="AA7" s="177"/>
      <c r="AB7" s="177"/>
      <c r="AC7" s="177"/>
      <c r="AD7" s="177"/>
      <c r="AE7" s="177"/>
      <c r="AF7" s="177"/>
      <c r="AG7" s="177"/>
      <c r="AH7" s="177"/>
      <c r="AI7" s="177"/>
      <c r="AJ7" s="177"/>
      <c r="AK7" s="177"/>
      <c r="AL7" s="177"/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7"/>
      <c r="BE7" s="177"/>
      <c r="BF7" s="177"/>
      <c r="BG7" s="177"/>
      <c r="BH7" s="177"/>
      <c r="BI7" s="177"/>
      <c r="BJ7" s="177"/>
      <c r="BK7" s="177"/>
      <c r="BL7" s="177"/>
      <c r="BM7" s="177"/>
      <c r="BN7" s="177"/>
      <c r="BO7" s="177"/>
      <c r="BP7" s="177"/>
      <c r="BQ7" s="177"/>
      <c r="BR7" s="177"/>
      <c r="BS7" s="177"/>
      <c r="BT7" s="177"/>
      <c r="BU7" s="177"/>
      <c r="BV7" s="177"/>
      <c r="BW7" s="177"/>
      <c r="BX7" s="174"/>
      <c r="BY7" s="179">
        <f t="shared" si="0"/>
        <v>1600000</v>
      </c>
      <c r="BZ7" s="468"/>
      <c r="CA7" s="168"/>
      <c r="CB7" s="179">
        <f t="shared" si="1"/>
        <v>3200000</v>
      </c>
      <c r="CC7" s="468"/>
    </row>
    <row r="8" spans="2:81" x14ac:dyDescent="0.2">
      <c r="B8" s="479"/>
      <c r="C8" s="180"/>
      <c r="D8" s="181" t="s">
        <v>208</v>
      </c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82"/>
      <c r="AD8" s="182"/>
      <c r="AE8" s="182"/>
      <c r="AF8" s="182"/>
      <c r="AG8" s="182"/>
      <c r="AH8" s="182"/>
      <c r="AI8" s="182"/>
      <c r="AJ8" s="182"/>
      <c r="AK8" s="182"/>
      <c r="AL8" s="182"/>
      <c r="AM8" s="182"/>
      <c r="AN8" s="182"/>
      <c r="AO8" s="182"/>
      <c r="AP8" s="182"/>
      <c r="AQ8" s="182"/>
      <c r="AR8" s="182"/>
      <c r="AS8" s="182"/>
      <c r="AT8" s="182"/>
      <c r="AU8" s="182"/>
      <c r="AV8" s="182"/>
      <c r="AW8" s="182"/>
      <c r="AX8" s="182"/>
      <c r="AY8" s="182"/>
      <c r="AZ8" s="182"/>
      <c r="BA8" s="182"/>
      <c r="BB8" s="182"/>
      <c r="BC8" s="182"/>
      <c r="BD8" s="182"/>
      <c r="BE8" s="182"/>
      <c r="BF8" s="182"/>
      <c r="BG8" s="182"/>
      <c r="BH8" s="182"/>
      <c r="BI8" s="182"/>
      <c r="BJ8" s="182"/>
      <c r="BK8" s="182"/>
      <c r="BL8" s="182"/>
      <c r="BM8" s="182"/>
      <c r="BN8" s="182"/>
      <c r="BO8" s="182"/>
      <c r="BP8" s="182"/>
      <c r="BQ8" s="182"/>
      <c r="BR8" s="182"/>
      <c r="BS8" s="182"/>
      <c r="BT8" s="182"/>
      <c r="BU8" s="182"/>
      <c r="BV8" s="182"/>
      <c r="BW8" s="182"/>
      <c r="BX8" s="180"/>
      <c r="BY8" s="183">
        <f t="shared" si="0"/>
        <v>0</v>
      </c>
      <c r="BZ8" s="471"/>
      <c r="CA8" s="168"/>
      <c r="CB8" s="183">
        <f t="shared" si="1"/>
        <v>0</v>
      </c>
      <c r="CC8" s="471"/>
    </row>
    <row r="9" spans="2:81" x14ac:dyDescent="0.2">
      <c r="B9" s="484" t="s">
        <v>211</v>
      </c>
      <c r="C9" s="178" t="s">
        <v>212</v>
      </c>
      <c r="D9" s="175" t="s">
        <v>208</v>
      </c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  <c r="AA9" s="176"/>
      <c r="AB9" s="176"/>
      <c r="AC9" s="176"/>
      <c r="AD9" s="176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6"/>
      <c r="BM9" s="176"/>
      <c r="BN9" s="176"/>
      <c r="BO9" s="176"/>
      <c r="BP9" s="176"/>
      <c r="BQ9" s="176"/>
      <c r="BR9" s="176"/>
      <c r="BS9" s="176"/>
      <c r="BT9" s="176"/>
      <c r="BU9" s="176"/>
      <c r="BV9" s="176"/>
      <c r="BW9" s="176"/>
      <c r="BX9" s="178"/>
      <c r="BY9" s="179">
        <f t="shared" si="0"/>
        <v>0</v>
      </c>
      <c r="BZ9" s="472">
        <f>SUM(BY9:BY11)</f>
        <v>70766691.817291662</v>
      </c>
      <c r="CA9" s="168"/>
      <c r="CB9" s="179">
        <f t="shared" si="1"/>
        <v>70766691.817291662</v>
      </c>
      <c r="CC9" s="472">
        <f>SUM(CB9:CB11)</f>
        <v>212300075.45187497</v>
      </c>
    </row>
    <row r="10" spans="2:81" x14ac:dyDescent="0.2">
      <c r="B10" s="485"/>
      <c r="C10" s="178" t="s">
        <v>213</v>
      </c>
      <c r="D10" s="175" t="s">
        <v>208</v>
      </c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>
        <f>-AB59</f>
        <v>0</v>
      </c>
      <c r="AC10" s="177">
        <f t="shared" ref="AC10:AJ10" si="2">-AC59</f>
        <v>36179.29029513889</v>
      </c>
      <c r="AD10" s="177">
        <f t="shared" si="2"/>
        <v>72358.580590277779</v>
      </c>
      <c r="AE10" s="177">
        <f t="shared" si="2"/>
        <v>108537.87088541665</v>
      </c>
      <c r="AF10" s="177">
        <f t="shared" si="2"/>
        <v>144717.16118055556</v>
      </c>
      <c r="AG10" s="177">
        <f t="shared" si="2"/>
        <v>180896.45147569443</v>
      </c>
      <c r="AH10" s="177">
        <f t="shared" si="2"/>
        <v>217075.74177083335</v>
      </c>
      <c r="AI10" s="177">
        <f t="shared" si="2"/>
        <v>253255.03206597222</v>
      </c>
      <c r="AJ10" s="177">
        <f t="shared" si="2"/>
        <v>289434.32236111112</v>
      </c>
      <c r="AK10" s="177"/>
      <c r="AL10" s="177"/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7"/>
      <c r="BE10" s="177"/>
      <c r="BF10" s="177"/>
      <c r="BG10" s="177"/>
      <c r="BH10" s="177"/>
      <c r="BI10" s="177"/>
      <c r="BJ10" s="177"/>
      <c r="BK10" s="177"/>
      <c r="BL10" s="177"/>
      <c r="BM10" s="177"/>
      <c r="BN10" s="177"/>
      <c r="BO10" s="177"/>
      <c r="BP10" s="177"/>
      <c r="BQ10" s="177"/>
      <c r="BR10" s="177"/>
      <c r="BS10" s="177"/>
      <c r="BT10" s="177"/>
      <c r="BU10" s="177"/>
      <c r="BV10" s="177"/>
      <c r="BW10" s="177"/>
      <c r="BX10" s="174"/>
      <c r="BY10" s="179">
        <f t="shared" si="0"/>
        <v>1302454.4506250001</v>
      </c>
      <c r="BZ10" s="468"/>
      <c r="CA10" s="168"/>
      <c r="CB10" s="179">
        <f t="shared" si="1"/>
        <v>2604908.9012500001</v>
      </c>
      <c r="CC10" s="468"/>
    </row>
    <row r="11" spans="2:81" x14ac:dyDescent="0.2">
      <c r="B11" s="466"/>
      <c r="C11" s="180" t="s">
        <v>214</v>
      </c>
      <c r="D11" s="181" t="s">
        <v>208</v>
      </c>
      <c r="E11" s="182"/>
      <c r="F11" s="182"/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182"/>
      <c r="AA11" s="182"/>
      <c r="AB11" s="182"/>
      <c r="AC11" s="182">
        <f t="shared" ref="AC11:AJ11" si="3">-AC30</f>
        <v>8683029.6708333325</v>
      </c>
      <c r="AD11" s="182">
        <f t="shared" si="3"/>
        <v>8683029.6708333325</v>
      </c>
      <c r="AE11" s="182">
        <f t="shared" si="3"/>
        <v>8683029.6708333325</v>
      </c>
      <c r="AF11" s="182">
        <f t="shared" si="3"/>
        <v>8683029.6708333325</v>
      </c>
      <c r="AG11" s="182">
        <f t="shared" si="3"/>
        <v>8683029.6708333325</v>
      </c>
      <c r="AH11" s="182">
        <f t="shared" si="3"/>
        <v>8683029.6708333325</v>
      </c>
      <c r="AI11" s="182">
        <f t="shared" si="3"/>
        <v>8683029.6708333325</v>
      </c>
      <c r="AJ11" s="182">
        <f t="shared" si="3"/>
        <v>8683029.6708333325</v>
      </c>
      <c r="AK11" s="182"/>
      <c r="AL11" s="182"/>
      <c r="AM11" s="182"/>
      <c r="AN11" s="182"/>
      <c r="AO11" s="184"/>
      <c r="AP11" s="182"/>
      <c r="AQ11" s="182"/>
      <c r="AR11" s="182"/>
      <c r="AS11" s="182"/>
      <c r="AT11" s="182"/>
      <c r="AU11" s="182"/>
      <c r="AV11" s="182"/>
      <c r="AW11" s="182"/>
      <c r="AX11" s="182"/>
      <c r="AY11" s="182"/>
      <c r="AZ11" s="182"/>
      <c r="BA11" s="182"/>
      <c r="BB11" s="182"/>
      <c r="BC11" s="182"/>
      <c r="BD11" s="182"/>
      <c r="BE11" s="182"/>
      <c r="BF11" s="182"/>
      <c r="BG11" s="182"/>
      <c r="BH11" s="182"/>
      <c r="BI11" s="182"/>
      <c r="BJ11" s="182"/>
      <c r="BK11" s="182"/>
      <c r="BL11" s="182"/>
      <c r="BM11" s="182"/>
      <c r="BN11" s="182"/>
      <c r="BO11" s="182"/>
      <c r="BP11" s="182"/>
      <c r="BQ11" s="182"/>
      <c r="BR11" s="182"/>
      <c r="BS11" s="182"/>
      <c r="BT11" s="182"/>
      <c r="BU11" s="182"/>
      <c r="BV11" s="182"/>
      <c r="BW11" s="182"/>
      <c r="BX11" s="180"/>
      <c r="BY11" s="183">
        <f t="shared" si="0"/>
        <v>69464237.36666666</v>
      </c>
      <c r="BZ11" s="473"/>
      <c r="CA11" s="185"/>
      <c r="CB11" s="183">
        <f t="shared" si="1"/>
        <v>138928474.73333332</v>
      </c>
      <c r="CC11" s="473"/>
    </row>
    <row r="12" spans="2:81" x14ac:dyDescent="0.2">
      <c r="B12" s="484" t="s">
        <v>215</v>
      </c>
      <c r="C12" s="174" t="s">
        <v>216</v>
      </c>
      <c r="D12" s="175" t="s">
        <v>208</v>
      </c>
      <c r="E12" s="176"/>
      <c r="F12" s="176"/>
      <c r="G12" s="176"/>
      <c r="H12" s="176"/>
      <c r="I12" s="176"/>
      <c r="J12" s="176"/>
      <c r="K12" s="176"/>
      <c r="L12" s="176"/>
      <c r="M12" s="176"/>
      <c r="N12" s="176"/>
      <c r="O12" s="176"/>
      <c r="P12" s="176"/>
      <c r="Q12" s="176"/>
      <c r="R12" s="176"/>
      <c r="S12" s="176"/>
      <c r="T12" s="176"/>
      <c r="U12" s="176"/>
      <c r="V12" s="176"/>
      <c r="W12" s="176"/>
      <c r="X12" s="176"/>
      <c r="Y12" s="176"/>
      <c r="Z12" s="176"/>
      <c r="AA12" s="176"/>
      <c r="AB12" s="176"/>
      <c r="AC12" s="176"/>
      <c r="AD12" s="176"/>
      <c r="AE12" s="176"/>
      <c r="AF12" s="176"/>
      <c r="AG12" s="176"/>
      <c r="AH12" s="176"/>
      <c r="AI12" s="176"/>
      <c r="AJ12" s="176"/>
      <c r="AK12" s="176"/>
      <c r="AL12" s="176">
        <f>Rentroll!$L$11</f>
        <v>873609.6</v>
      </c>
      <c r="AM12" s="176">
        <f>Rentroll!$L$11</f>
        <v>873609.6</v>
      </c>
      <c r="AN12" s="176">
        <f>Rentroll!$L$11</f>
        <v>873609.6</v>
      </c>
      <c r="AO12" s="176"/>
      <c r="AP12" s="176"/>
      <c r="AQ12" s="176"/>
      <c r="AR12" s="176"/>
      <c r="AS12" s="176"/>
      <c r="AT12" s="176"/>
      <c r="AU12" s="176"/>
      <c r="AV12" s="176"/>
      <c r="AW12" s="176"/>
      <c r="AX12" s="176"/>
      <c r="AY12" s="176"/>
      <c r="AZ12" s="176"/>
      <c r="BA12" s="176"/>
      <c r="BB12" s="176"/>
      <c r="BC12" s="176"/>
      <c r="BD12" s="176"/>
      <c r="BE12" s="176"/>
      <c r="BF12" s="176"/>
      <c r="BG12" s="176"/>
      <c r="BH12" s="176"/>
      <c r="BI12" s="176"/>
      <c r="BJ12" s="176"/>
      <c r="BK12" s="176"/>
      <c r="BL12" s="176"/>
      <c r="BM12" s="176"/>
      <c r="BN12" s="176"/>
      <c r="BO12" s="176"/>
      <c r="BP12" s="176"/>
      <c r="BQ12" s="176"/>
      <c r="BR12" s="176"/>
      <c r="BS12" s="176"/>
      <c r="BT12" s="176"/>
      <c r="BU12" s="176"/>
      <c r="BV12" s="176"/>
      <c r="BW12" s="176"/>
      <c r="BX12" s="178"/>
      <c r="BY12" s="179">
        <f t="shared" si="0"/>
        <v>2620828.7999999998</v>
      </c>
      <c r="BZ12" s="472">
        <f>SUM(BY12:BY16)</f>
        <v>140491519.09237304</v>
      </c>
      <c r="CA12" s="168"/>
      <c r="CB12" s="179">
        <f t="shared" si="1"/>
        <v>145733176.69237304</v>
      </c>
      <c r="CC12" s="472">
        <f>SUM(CB12:CB16)</f>
        <v>414974480.12734425</v>
      </c>
    </row>
    <row r="13" spans="2:81" x14ac:dyDescent="0.2">
      <c r="B13" s="485"/>
      <c r="C13" s="174" t="s">
        <v>217</v>
      </c>
      <c r="D13" s="175" t="s">
        <v>208</v>
      </c>
      <c r="E13" s="176"/>
      <c r="F13" s="176"/>
      <c r="G13" s="176"/>
      <c r="H13" s="176"/>
      <c r="I13" s="176"/>
      <c r="J13" s="176"/>
      <c r="K13" s="176"/>
      <c r="L13" s="176"/>
      <c r="M13" s="176"/>
      <c r="N13" s="176"/>
      <c r="O13" s="176"/>
      <c r="P13" s="176"/>
      <c r="Q13" s="176"/>
      <c r="R13" s="176"/>
      <c r="S13" s="176"/>
      <c r="T13" s="176"/>
      <c r="U13" s="176"/>
      <c r="V13" s="176"/>
      <c r="W13" s="176"/>
      <c r="X13" s="176"/>
      <c r="Y13" s="176"/>
      <c r="Z13" s="176"/>
      <c r="AA13" s="176"/>
      <c r="AB13" s="176"/>
      <c r="AC13" s="176"/>
      <c r="AD13" s="176"/>
      <c r="AE13" s="176"/>
      <c r="AF13" s="176"/>
      <c r="AG13" s="176"/>
      <c r="AH13" s="176"/>
      <c r="AI13" s="176"/>
      <c r="AJ13" s="176"/>
      <c r="AK13" s="176"/>
      <c r="AL13" s="176"/>
      <c r="AM13" s="176"/>
      <c r="AN13" s="176">
        <f>Businessplan_prodej!J30*Businessplan_prodej!J37</f>
        <v>137363931.4285714</v>
      </c>
      <c r="AO13" s="176"/>
      <c r="AP13" s="176"/>
      <c r="AQ13" s="176"/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6"/>
      <c r="BF13" s="176"/>
      <c r="BG13" s="176"/>
      <c r="BH13" s="176"/>
      <c r="BI13" s="176"/>
      <c r="BJ13" s="176"/>
      <c r="BK13" s="176"/>
      <c r="BL13" s="176"/>
      <c r="BM13" s="176"/>
      <c r="BN13" s="176"/>
      <c r="BO13" s="176"/>
      <c r="BP13" s="176"/>
      <c r="BQ13" s="176"/>
      <c r="BR13" s="176"/>
      <c r="BS13" s="176"/>
      <c r="BT13" s="176"/>
      <c r="BU13" s="176"/>
      <c r="BV13" s="176"/>
      <c r="BW13" s="176"/>
      <c r="BX13" s="178"/>
      <c r="BY13" s="179">
        <f t="shared" si="0"/>
        <v>137363931.4285714</v>
      </c>
      <c r="BZ13" s="468"/>
      <c r="CA13" s="168"/>
      <c r="CB13" s="179">
        <f t="shared" si="1"/>
        <v>274727862.85714281</v>
      </c>
      <c r="CC13" s="468"/>
    </row>
    <row r="14" spans="2:81" x14ac:dyDescent="0.2">
      <c r="B14" s="485"/>
      <c r="C14" s="174" t="s">
        <v>7</v>
      </c>
      <c r="D14" s="175" t="s">
        <v>208</v>
      </c>
      <c r="E14" s="177"/>
      <c r="F14" s="177"/>
      <c r="G14" s="177">
        <f t="shared" ref="G14:AL14" si="4">-E15</f>
        <v>0</v>
      </c>
      <c r="H14" s="177">
        <f t="shared" si="4"/>
        <v>0</v>
      </c>
      <c r="I14" s="177">
        <f t="shared" si="4"/>
        <v>0</v>
      </c>
      <c r="J14" s="177">
        <f t="shared" si="4"/>
        <v>0</v>
      </c>
      <c r="K14" s="177">
        <f t="shared" si="4"/>
        <v>0</v>
      </c>
      <c r="L14" s="177">
        <f t="shared" si="4"/>
        <v>0</v>
      </c>
      <c r="M14" s="177">
        <f t="shared" si="4"/>
        <v>0</v>
      </c>
      <c r="N14" s="177">
        <f t="shared" si="4"/>
        <v>0</v>
      </c>
      <c r="O14" s="177">
        <f t="shared" si="4"/>
        <v>0</v>
      </c>
      <c r="P14" s="177">
        <f>3216</f>
        <v>3216</v>
      </c>
      <c r="Q14" s="177">
        <f>53115</f>
        <v>53115</v>
      </c>
      <c r="R14" s="177">
        <v>105560</v>
      </c>
      <c r="S14" s="177">
        <v>293971</v>
      </c>
      <c r="T14" s="177">
        <v>108269</v>
      </c>
      <c r="U14" s="177">
        <f t="shared" si="4"/>
        <v>53659.199999999997</v>
      </c>
      <c r="V14" s="177">
        <f t="shared" si="4"/>
        <v>106449.34710743801</v>
      </c>
      <c r="W14" s="177">
        <f t="shared" si="4"/>
        <v>398326.26413999998</v>
      </c>
      <c r="X14" s="177">
        <f t="shared" si="4"/>
        <v>114616.26413999998</v>
      </c>
      <c r="Y14" s="177">
        <f t="shared" si="4"/>
        <v>460356.75</v>
      </c>
      <c r="Z14" s="177">
        <f t="shared" si="4"/>
        <v>58626.75</v>
      </c>
      <c r="AA14" s="177">
        <f t="shared" si="4"/>
        <v>149174.68439999997</v>
      </c>
      <c r="AB14" s="177">
        <f t="shared" si="4"/>
        <v>119526.75</v>
      </c>
      <c r="AC14" s="177">
        <f t="shared" si="4"/>
        <v>58626.75</v>
      </c>
      <c r="AD14" s="177">
        <f t="shared" si="4"/>
        <v>106086.75</v>
      </c>
      <c r="AE14" s="177">
        <f t="shared" si="4"/>
        <v>229274.81534999999</v>
      </c>
      <c r="AF14" s="177">
        <f t="shared" si="4"/>
        <v>106086.75</v>
      </c>
      <c r="AG14" s="177">
        <f t="shared" si="4"/>
        <v>106086.75</v>
      </c>
      <c r="AH14" s="177">
        <f t="shared" si="4"/>
        <v>58626.75</v>
      </c>
      <c r="AI14" s="177">
        <f t="shared" si="4"/>
        <v>58626.75</v>
      </c>
      <c r="AJ14" s="177">
        <f t="shared" si="4"/>
        <v>58626.75</v>
      </c>
      <c r="AK14" s="177">
        <f t="shared" si="4"/>
        <v>58626.75</v>
      </c>
      <c r="AL14" s="177">
        <f t="shared" si="4"/>
        <v>58626.75</v>
      </c>
      <c r="AM14" s="177">
        <f t="shared" ref="AM14:BR14" si="5">-AK15</f>
        <v>25935</v>
      </c>
      <c r="AN14" s="177">
        <f>-AL15-AM15-AN15</f>
        <v>299940.99974999996</v>
      </c>
      <c r="AO14" s="177"/>
      <c r="AP14" s="177"/>
      <c r="AQ14" s="177">
        <f t="shared" si="5"/>
        <v>0</v>
      </c>
      <c r="AR14" s="177">
        <f t="shared" si="5"/>
        <v>0</v>
      </c>
      <c r="AS14" s="177">
        <f t="shared" si="5"/>
        <v>0</v>
      </c>
      <c r="AT14" s="177">
        <f t="shared" si="5"/>
        <v>0</v>
      </c>
      <c r="AU14" s="177">
        <f t="shared" si="5"/>
        <v>0</v>
      </c>
      <c r="AV14" s="177">
        <f t="shared" si="5"/>
        <v>0</v>
      </c>
      <c r="AW14" s="177">
        <f t="shared" si="5"/>
        <v>0</v>
      </c>
      <c r="AX14" s="177">
        <f t="shared" si="5"/>
        <v>0</v>
      </c>
      <c r="AY14" s="177">
        <f t="shared" si="5"/>
        <v>0</v>
      </c>
      <c r="AZ14" s="177">
        <f t="shared" si="5"/>
        <v>0</v>
      </c>
      <c r="BA14" s="177">
        <f t="shared" si="5"/>
        <v>0</v>
      </c>
      <c r="BB14" s="177">
        <f t="shared" si="5"/>
        <v>0</v>
      </c>
      <c r="BC14" s="177">
        <f t="shared" si="5"/>
        <v>0</v>
      </c>
      <c r="BD14" s="177">
        <f t="shared" si="5"/>
        <v>0</v>
      </c>
      <c r="BE14" s="177">
        <f t="shared" si="5"/>
        <v>0</v>
      </c>
      <c r="BF14" s="177">
        <f t="shared" si="5"/>
        <v>0</v>
      </c>
      <c r="BG14" s="177">
        <f t="shared" si="5"/>
        <v>0</v>
      </c>
      <c r="BH14" s="177">
        <f t="shared" si="5"/>
        <v>0</v>
      </c>
      <c r="BI14" s="177">
        <f t="shared" si="5"/>
        <v>0</v>
      </c>
      <c r="BJ14" s="177">
        <f t="shared" si="5"/>
        <v>0</v>
      </c>
      <c r="BK14" s="177">
        <f t="shared" si="5"/>
        <v>0</v>
      </c>
      <c r="BL14" s="177">
        <f t="shared" si="5"/>
        <v>0</v>
      </c>
      <c r="BM14" s="177">
        <f t="shared" si="5"/>
        <v>0</v>
      </c>
      <c r="BN14" s="177">
        <f t="shared" si="5"/>
        <v>0</v>
      </c>
      <c r="BO14" s="177">
        <f t="shared" si="5"/>
        <v>0</v>
      </c>
      <c r="BP14" s="177">
        <f t="shared" si="5"/>
        <v>0</v>
      </c>
      <c r="BQ14" s="177">
        <f t="shared" si="5"/>
        <v>0</v>
      </c>
      <c r="BR14" s="177">
        <f t="shared" si="5"/>
        <v>0</v>
      </c>
      <c r="BS14" s="177">
        <f t="shared" ref="BS14:BW14" si="6">-BQ15</f>
        <v>0</v>
      </c>
      <c r="BT14" s="177">
        <f t="shared" si="6"/>
        <v>0</v>
      </c>
      <c r="BU14" s="177">
        <f t="shared" si="6"/>
        <v>0</v>
      </c>
      <c r="BV14" s="177">
        <f t="shared" si="6"/>
        <v>0</v>
      </c>
      <c r="BW14" s="177">
        <f t="shared" si="6"/>
        <v>0</v>
      </c>
      <c r="BX14" s="177">
        <f>-BV15 - BW15 - BX15</f>
        <v>0</v>
      </c>
      <c r="BY14" s="179">
        <f t="shared" si="0"/>
        <v>3250038.5748874373</v>
      </c>
      <c r="BZ14" s="468"/>
      <c r="CA14" s="168"/>
      <c r="CB14" s="179"/>
      <c r="CC14" s="468"/>
    </row>
    <row r="15" spans="2:81" x14ac:dyDescent="0.2">
      <c r="B15" s="485"/>
      <c r="C15" s="174" t="s">
        <v>7</v>
      </c>
      <c r="D15" s="175" t="s">
        <v>218</v>
      </c>
      <c r="E15" s="177">
        <f t="shared" ref="E15:AJ15" si="7">SUM(E21:E23,E24,E35,E37)*0.21</f>
        <v>0</v>
      </c>
      <c r="F15" s="177">
        <f t="shared" si="7"/>
        <v>0</v>
      </c>
      <c r="G15" s="177">
        <f t="shared" si="7"/>
        <v>0</v>
      </c>
      <c r="H15" s="177">
        <f t="shared" si="7"/>
        <v>0</v>
      </c>
      <c r="I15" s="177">
        <f t="shared" si="7"/>
        <v>0</v>
      </c>
      <c r="J15" s="177">
        <f t="shared" si="7"/>
        <v>0</v>
      </c>
      <c r="K15" s="177">
        <f t="shared" si="7"/>
        <v>0</v>
      </c>
      <c r="L15" s="177">
        <f t="shared" si="7"/>
        <v>0</v>
      </c>
      <c r="M15" s="177">
        <f t="shared" si="7"/>
        <v>0</v>
      </c>
      <c r="N15" s="177">
        <f t="shared" si="7"/>
        <v>0</v>
      </c>
      <c r="O15" s="177">
        <f t="shared" si="7"/>
        <v>-53975.033057851237</v>
      </c>
      <c r="P15" s="177">
        <f t="shared" si="7"/>
        <v>-53114.879999999997</v>
      </c>
      <c r="Q15" s="177">
        <f>SUM(Q21:Q23,Q24,Q35,Q37)*0.21</f>
        <v>-53788.983471074382</v>
      </c>
      <c r="R15" s="177">
        <f t="shared" si="7"/>
        <v>-54610.239669421484</v>
      </c>
      <c r="S15" s="177">
        <f t="shared" si="7"/>
        <v>-53659.199999999997</v>
      </c>
      <c r="T15" s="177">
        <f t="shared" si="7"/>
        <v>-106449.34710743801</v>
      </c>
      <c r="U15" s="177">
        <f t="shared" si="7"/>
        <v>-398326.26413999998</v>
      </c>
      <c r="V15" s="177">
        <f t="shared" si="7"/>
        <v>-114616.26413999998</v>
      </c>
      <c r="W15" s="177">
        <f t="shared" si="7"/>
        <v>-460356.75</v>
      </c>
      <c r="X15" s="177">
        <f t="shared" si="7"/>
        <v>-58626.75</v>
      </c>
      <c r="Y15" s="177">
        <f t="shared" si="7"/>
        <v>-149174.68439999997</v>
      </c>
      <c r="Z15" s="177">
        <f t="shared" si="7"/>
        <v>-119526.75</v>
      </c>
      <c r="AA15" s="177">
        <f t="shared" si="7"/>
        <v>-58626.75</v>
      </c>
      <c r="AB15" s="177">
        <f t="shared" si="7"/>
        <v>-106086.75</v>
      </c>
      <c r="AC15" s="177">
        <f t="shared" si="7"/>
        <v>-229274.81534999999</v>
      </c>
      <c r="AD15" s="177">
        <f t="shared" si="7"/>
        <v>-106086.75</v>
      </c>
      <c r="AE15" s="177">
        <f t="shared" si="7"/>
        <v>-106086.75</v>
      </c>
      <c r="AF15" s="177">
        <f t="shared" si="7"/>
        <v>-58626.75</v>
      </c>
      <c r="AG15" s="177">
        <f t="shared" si="7"/>
        <v>-58626.75</v>
      </c>
      <c r="AH15" s="177">
        <f t="shared" si="7"/>
        <v>-58626.75</v>
      </c>
      <c r="AI15" s="177">
        <f t="shared" si="7"/>
        <v>-58626.75</v>
      </c>
      <c r="AJ15" s="177">
        <f t="shared" si="7"/>
        <v>-58626.75</v>
      </c>
      <c r="AK15" s="177">
        <f t="shared" ref="AK15:BP15" si="8">SUM(AK21:AK23,AK24,AK35,AK37)*0.21</f>
        <v>-25935</v>
      </c>
      <c r="AL15" s="177">
        <f t="shared" si="8"/>
        <v>-47549.271209999999</v>
      </c>
      <c r="AM15" s="177">
        <f t="shared" si="8"/>
        <v>-25935</v>
      </c>
      <c r="AN15" s="177">
        <f t="shared" si="8"/>
        <v>-226456.72853999995</v>
      </c>
      <c r="AO15" s="177">
        <f t="shared" si="8"/>
        <v>0</v>
      </c>
      <c r="AP15" s="177">
        <f t="shared" si="8"/>
        <v>0</v>
      </c>
      <c r="AQ15" s="177">
        <f t="shared" si="8"/>
        <v>0</v>
      </c>
      <c r="AR15" s="177">
        <f t="shared" si="8"/>
        <v>0</v>
      </c>
      <c r="AS15" s="177">
        <f t="shared" si="8"/>
        <v>0</v>
      </c>
      <c r="AT15" s="177">
        <f t="shared" si="8"/>
        <v>0</v>
      </c>
      <c r="AU15" s="177">
        <f t="shared" si="8"/>
        <v>0</v>
      </c>
      <c r="AV15" s="177">
        <f t="shared" si="8"/>
        <v>0</v>
      </c>
      <c r="AW15" s="177">
        <f t="shared" si="8"/>
        <v>0</v>
      </c>
      <c r="AX15" s="177">
        <f t="shared" si="8"/>
        <v>0</v>
      </c>
      <c r="AY15" s="177">
        <f t="shared" si="8"/>
        <v>0</v>
      </c>
      <c r="AZ15" s="177">
        <f t="shared" si="8"/>
        <v>0</v>
      </c>
      <c r="BA15" s="177">
        <f t="shared" si="8"/>
        <v>0</v>
      </c>
      <c r="BB15" s="177">
        <f t="shared" si="8"/>
        <v>0</v>
      </c>
      <c r="BC15" s="177">
        <f t="shared" si="8"/>
        <v>0</v>
      </c>
      <c r="BD15" s="177">
        <f t="shared" si="8"/>
        <v>0</v>
      </c>
      <c r="BE15" s="177">
        <f t="shared" si="8"/>
        <v>0</v>
      </c>
      <c r="BF15" s="177">
        <f t="shared" si="8"/>
        <v>0</v>
      </c>
      <c r="BG15" s="177">
        <f t="shared" si="8"/>
        <v>0</v>
      </c>
      <c r="BH15" s="177">
        <f t="shared" si="8"/>
        <v>0</v>
      </c>
      <c r="BI15" s="177">
        <f t="shared" si="8"/>
        <v>0</v>
      </c>
      <c r="BJ15" s="177">
        <f t="shared" si="8"/>
        <v>0</v>
      </c>
      <c r="BK15" s="177">
        <f t="shared" si="8"/>
        <v>0</v>
      </c>
      <c r="BL15" s="177">
        <f t="shared" si="8"/>
        <v>0</v>
      </c>
      <c r="BM15" s="177">
        <f t="shared" si="8"/>
        <v>0</v>
      </c>
      <c r="BN15" s="177">
        <f t="shared" si="8"/>
        <v>0</v>
      </c>
      <c r="BO15" s="177">
        <f t="shared" si="8"/>
        <v>0</v>
      </c>
      <c r="BP15" s="177">
        <f t="shared" si="8"/>
        <v>0</v>
      </c>
      <c r="BQ15" s="177">
        <f t="shared" ref="BQ15:BX15" si="9">SUM(BQ21:BQ23,BQ24,BQ35,BQ37)*0.21</f>
        <v>0</v>
      </c>
      <c r="BR15" s="177">
        <f t="shared" si="9"/>
        <v>0</v>
      </c>
      <c r="BS15" s="177">
        <f t="shared" si="9"/>
        <v>0</v>
      </c>
      <c r="BT15" s="177">
        <f t="shared" si="9"/>
        <v>0</v>
      </c>
      <c r="BU15" s="177">
        <f t="shared" si="9"/>
        <v>0</v>
      </c>
      <c r="BV15" s="177">
        <f t="shared" si="9"/>
        <v>0</v>
      </c>
      <c r="BW15" s="177">
        <f t="shared" si="9"/>
        <v>0</v>
      </c>
      <c r="BX15" s="177">
        <f t="shared" si="9"/>
        <v>0</v>
      </c>
      <c r="BY15" s="179">
        <f t="shared" si="0"/>
        <v>-2901396.7110857852</v>
      </c>
      <c r="BZ15" s="468"/>
      <c r="CA15" s="168"/>
      <c r="CB15" s="179">
        <f t="shared" ref="CB15:CB16" si="10">SUM(H15:CA15)</f>
        <v>-5802793.4221715704</v>
      </c>
      <c r="CC15" s="468"/>
    </row>
    <row r="16" spans="2:81" x14ac:dyDescent="0.2">
      <c r="B16" s="466"/>
      <c r="C16" s="180" t="s">
        <v>219</v>
      </c>
      <c r="D16" s="181" t="s">
        <v>220</v>
      </c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>
        <f>154008+4109</f>
        <v>158117</v>
      </c>
      <c r="R16" s="182"/>
      <c r="S16" s="182"/>
      <c r="T16" s="182"/>
      <c r="U16" s="182"/>
      <c r="V16" s="182"/>
      <c r="W16" s="182"/>
      <c r="X16" s="182"/>
      <c r="Y16" s="182"/>
      <c r="Z16" s="182"/>
      <c r="AA16" s="182"/>
      <c r="AB16" s="182"/>
      <c r="AC16" s="182"/>
      <c r="AD16" s="182"/>
      <c r="AE16" s="182"/>
      <c r="AF16" s="182"/>
      <c r="AG16" s="182"/>
      <c r="AH16" s="182"/>
      <c r="AI16" s="182"/>
      <c r="AJ16" s="182"/>
      <c r="AK16" s="182"/>
      <c r="AL16" s="182"/>
      <c r="AM16" s="182"/>
      <c r="AN16" s="182"/>
      <c r="AO16" s="182"/>
      <c r="AP16" s="182"/>
      <c r="AQ16" s="182"/>
      <c r="AR16" s="182"/>
      <c r="AS16" s="182"/>
      <c r="AT16" s="182"/>
      <c r="AU16" s="182"/>
      <c r="AV16" s="182"/>
      <c r="AW16" s="182"/>
      <c r="AX16" s="182"/>
      <c r="AY16" s="182"/>
      <c r="AZ16" s="182"/>
      <c r="BA16" s="182"/>
      <c r="BB16" s="182"/>
      <c r="BC16" s="182"/>
      <c r="BD16" s="182"/>
      <c r="BE16" s="182"/>
      <c r="BF16" s="182"/>
      <c r="BG16" s="182"/>
      <c r="BH16" s="182"/>
      <c r="BI16" s="182"/>
      <c r="BJ16" s="182"/>
      <c r="BK16" s="182"/>
      <c r="BL16" s="182"/>
      <c r="BM16" s="182"/>
      <c r="BN16" s="182"/>
      <c r="BO16" s="182"/>
      <c r="BP16" s="182"/>
      <c r="BQ16" s="182"/>
      <c r="BR16" s="182"/>
      <c r="BS16" s="182"/>
      <c r="BT16" s="182"/>
      <c r="BU16" s="182"/>
      <c r="BV16" s="182"/>
      <c r="BW16" s="182"/>
      <c r="BX16" s="180"/>
      <c r="BY16" s="183">
        <f t="shared" si="0"/>
        <v>158117</v>
      </c>
      <c r="BZ16" s="473"/>
      <c r="CA16" s="168"/>
      <c r="CB16" s="183">
        <f t="shared" si="10"/>
        <v>316234</v>
      </c>
      <c r="CC16" s="473"/>
    </row>
    <row r="17" spans="2:81" ht="16" x14ac:dyDescent="0.2">
      <c r="B17" s="486" t="s">
        <v>221</v>
      </c>
      <c r="C17" s="471"/>
      <c r="D17" s="186"/>
      <c r="E17" s="187">
        <f t="shared" ref="E17:BX17" si="11">SUM(E5:E16)</f>
        <v>0</v>
      </c>
      <c r="F17" s="187">
        <f t="shared" si="11"/>
        <v>0</v>
      </c>
      <c r="G17" s="187">
        <f t="shared" si="11"/>
        <v>0</v>
      </c>
      <c r="H17" s="187">
        <f t="shared" si="11"/>
        <v>0</v>
      </c>
      <c r="I17" s="187">
        <f t="shared" si="11"/>
        <v>0</v>
      </c>
      <c r="J17" s="187">
        <f t="shared" si="11"/>
        <v>0</v>
      </c>
      <c r="K17" s="187">
        <f t="shared" si="11"/>
        <v>0</v>
      </c>
      <c r="L17" s="187">
        <f t="shared" si="11"/>
        <v>0</v>
      </c>
      <c r="M17" s="187">
        <f t="shared" si="11"/>
        <v>0</v>
      </c>
      <c r="N17" s="187">
        <f t="shared" si="11"/>
        <v>0</v>
      </c>
      <c r="O17" s="187">
        <f t="shared" si="11"/>
        <v>-53975.033057851237</v>
      </c>
      <c r="P17" s="187">
        <f t="shared" si="11"/>
        <v>-49898.879999999997</v>
      </c>
      <c r="Q17" s="187">
        <f t="shared" si="11"/>
        <v>7757443.0165289259</v>
      </c>
      <c r="R17" s="187">
        <f t="shared" si="11"/>
        <v>50949.760330578516</v>
      </c>
      <c r="S17" s="187">
        <f t="shared" si="11"/>
        <v>340311.8</v>
      </c>
      <c r="T17" s="187">
        <f t="shared" si="11"/>
        <v>201819.65289256198</v>
      </c>
      <c r="U17" s="187">
        <f t="shared" si="11"/>
        <v>4655332.9358600006</v>
      </c>
      <c r="V17" s="187">
        <f t="shared" si="11"/>
        <v>991833.08296743792</v>
      </c>
      <c r="W17" s="187">
        <f t="shared" si="11"/>
        <v>2437969.5141400001</v>
      </c>
      <c r="X17" s="187">
        <f t="shared" si="11"/>
        <v>655989.51413999998</v>
      </c>
      <c r="Y17" s="187">
        <f t="shared" si="11"/>
        <v>1011182.0656000001</v>
      </c>
      <c r="Z17" s="187">
        <f t="shared" si="11"/>
        <v>1439100</v>
      </c>
      <c r="AA17" s="187">
        <f t="shared" si="11"/>
        <v>90547.934399999969</v>
      </c>
      <c r="AB17" s="187">
        <f t="shared" si="11"/>
        <v>17013440</v>
      </c>
      <c r="AC17" s="187">
        <f t="shared" si="11"/>
        <v>8548560.8957784716</v>
      </c>
      <c r="AD17" s="187">
        <f t="shared" si="11"/>
        <v>8755388.2514236104</v>
      </c>
      <c r="AE17" s="187">
        <f t="shared" si="11"/>
        <v>8914755.6070687491</v>
      </c>
      <c r="AF17" s="187">
        <f t="shared" si="11"/>
        <v>8875206.8320138883</v>
      </c>
      <c r="AG17" s="187">
        <f t="shared" si="11"/>
        <v>8911386.1223090272</v>
      </c>
      <c r="AH17" s="187">
        <f t="shared" si="11"/>
        <v>8900105.4126041662</v>
      </c>
      <c r="AI17" s="187">
        <f t="shared" si="11"/>
        <v>8936284.7028993051</v>
      </c>
      <c r="AJ17" s="187">
        <f t="shared" si="11"/>
        <v>8972463.9931944441</v>
      </c>
      <c r="AK17" s="187">
        <f t="shared" si="11"/>
        <v>32691.75</v>
      </c>
      <c r="AL17" s="187">
        <f t="shared" si="11"/>
        <v>884687.07878999994</v>
      </c>
      <c r="AM17" s="187">
        <f t="shared" si="11"/>
        <v>873609.6</v>
      </c>
      <c r="AN17" s="187">
        <f t="shared" si="11"/>
        <v>138311025.29978138</v>
      </c>
      <c r="AO17" s="187">
        <f t="shared" si="11"/>
        <v>0</v>
      </c>
      <c r="AP17" s="187">
        <f t="shared" si="11"/>
        <v>0</v>
      </c>
      <c r="AQ17" s="187">
        <f t="shared" si="11"/>
        <v>0</v>
      </c>
      <c r="AR17" s="187">
        <f t="shared" si="11"/>
        <v>0</v>
      </c>
      <c r="AS17" s="187">
        <f t="shared" si="11"/>
        <v>0</v>
      </c>
      <c r="AT17" s="187">
        <f t="shared" si="11"/>
        <v>0</v>
      </c>
      <c r="AU17" s="187">
        <f t="shared" si="11"/>
        <v>0</v>
      </c>
      <c r="AV17" s="187">
        <f t="shared" si="11"/>
        <v>0</v>
      </c>
      <c r="AW17" s="187">
        <f t="shared" si="11"/>
        <v>0</v>
      </c>
      <c r="AX17" s="187">
        <f t="shared" si="11"/>
        <v>0</v>
      </c>
      <c r="AY17" s="187">
        <f t="shared" si="11"/>
        <v>0</v>
      </c>
      <c r="AZ17" s="187">
        <f t="shared" si="11"/>
        <v>0</v>
      </c>
      <c r="BA17" s="187">
        <f t="shared" si="11"/>
        <v>0</v>
      </c>
      <c r="BB17" s="187">
        <f t="shared" si="11"/>
        <v>0</v>
      </c>
      <c r="BC17" s="187">
        <f t="shared" si="11"/>
        <v>0</v>
      </c>
      <c r="BD17" s="187">
        <f t="shared" si="11"/>
        <v>0</v>
      </c>
      <c r="BE17" s="187">
        <f t="shared" si="11"/>
        <v>0</v>
      </c>
      <c r="BF17" s="187">
        <f t="shared" si="11"/>
        <v>0</v>
      </c>
      <c r="BG17" s="187">
        <f t="shared" si="11"/>
        <v>0</v>
      </c>
      <c r="BH17" s="187">
        <f t="shared" si="11"/>
        <v>0</v>
      </c>
      <c r="BI17" s="187">
        <f t="shared" si="11"/>
        <v>0</v>
      </c>
      <c r="BJ17" s="187">
        <f t="shared" si="11"/>
        <v>0</v>
      </c>
      <c r="BK17" s="187">
        <f t="shared" si="11"/>
        <v>0</v>
      </c>
      <c r="BL17" s="187">
        <f t="shared" si="11"/>
        <v>0</v>
      </c>
      <c r="BM17" s="187">
        <f t="shared" si="11"/>
        <v>0</v>
      </c>
      <c r="BN17" s="187">
        <f t="shared" si="11"/>
        <v>0</v>
      </c>
      <c r="BO17" s="187">
        <f t="shared" si="11"/>
        <v>0</v>
      </c>
      <c r="BP17" s="187">
        <f t="shared" si="11"/>
        <v>0</v>
      </c>
      <c r="BQ17" s="187">
        <f t="shared" si="11"/>
        <v>0</v>
      </c>
      <c r="BR17" s="187">
        <f t="shared" si="11"/>
        <v>0</v>
      </c>
      <c r="BS17" s="187">
        <f t="shared" si="11"/>
        <v>0</v>
      </c>
      <c r="BT17" s="187">
        <f t="shared" si="11"/>
        <v>0</v>
      </c>
      <c r="BU17" s="187">
        <f t="shared" si="11"/>
        <v>0</v>
      </c>
      <c r="BV17" s="187">
        <f t="shared" si="11"/>
        <v>0</v>
      </c>
      <c r="BW17" s="187">
        <f t="shared" si="11"/>
        <v>0</v>
      </c>
      <c r="BX17" s="187">
        <f t="shared" si="11"/>
        <v>0</v>
      </c>
      <c r="BY17" s="475">
        <f>BZ5+BZ9+BZ12</f>
        <v>247458210.90966469</v>
      </c>
      <c r="BZ17" s="471"/>
      <c r="CA17" s="168"/>
      <c r="CB17" s="475">
        <f>CC5+CC9+CC12</f>
        <v>735874555.57921922</v>
      </c>
      <c r="CC17" s="471"/>
    </row>
    <row r="18" spans="2:81" ht="16" collapsed="1" x14ac:dyDescent="0.2">
      <c r="B18" s="487" t="s">
        <v>222</v>
      </c>
      <c r="C18" s="188" t="s">
        <v>223</v>
      </c>
      <c r="D18" s="189"/>
      <c r="E18" s="190">
        <f t="shared" ref="E18:BY18" si="12">SUM(E19:E23)</f>
        <v>0</v>
      </c>
      <c r="F18" s="190">
        <f t="shared" si="12"/>
        <v>0</v>
      </c>
      <c r="G18" s="190">
        <f t="shared" si="12"/>
        <v>0</v>
      </c>
      <c r="H18" s="190">
        <f t="shared" si="12"/>
        <v>0</v>
      </c>
      <c r="I18" s="190">
        <f t="shared" si="12"/>
        <v>0</v>
      </c>
      <c r="J18" s="190">
        <f t="shared" si="12"/>
        <v>0</v>
      </c>
      <c r="K18" s="190">
        <f t="shared" si="12"/>
        <v>0</v>
      </c>
      <c r="L18" s="190">
        <f t="shared" si="12"/>
        <v>0</v>
      </c>
      <c r="M18" s="190">
        <f t="shared" si="12"/>
        <v>0</v>
      </c>
      <c r="N18" s="190">
        <f t="shared" si="12"/>
        <v>0</v>
      </c>
      <c r="O18" s="190">
        <f t="shared" si="12"/>
        <v>0</v>
      </c>
      <c r="P18" s="190">
        <f t="shared" si="12"/>
        <v>0</v>
      </c>
      <c r="Q18" s="190">
        <f t="shared" si="12"/>
        <v>-2581210.7200000002</v>
      </c>
      <c r="R18" s="190">
        <f t="shared" si="12"/>
        <v>0</v>
      </c>
      <c r="S18" s="190">
        <f t="shared" si="12"/>
        <v>0</v>
      </c>
      <c r="T18" s="190">
        <f t="shared" si="12"/>
        <v>0</v>
      </c>
      <c r="U18" s="190">
        <f t="shared" si="12"/>
        <v>0</v>
      </c>
      <c r="V18" s="190">
        <f t="shared" si="12"/>
        <v>0</v>
      </c>
      <c r="W18" s="190">
        <f t="shared" si="12"/>
        <v>0</v>
      </c>
      <c r="X18" s="190">
        <f t="shared" si="12"/>
        <v>0</v>
      </c>
      <c r="Y18" s="190">
        <f t="shared" si="12"/>
        <v>0</v>
      </c>
      <c r="Z18" s="190">
        <f t="shared" si="12"/>
        <v>0</v>
      </c>
      <c r="AA18" s="190">
        <f t="shared" si="12"/>
        <v>0</v>
      </c>
      <c r="AB18" s="190">
        <f t="shared" si="12"/>
        <v>-11991034.166034875</v>
      </c>
      <c r="AC18" s="190">
        <f t="shared" si="12"/>
        <v>0</v>
      </c>
      <c r="AD18" s="190">
        <f t="shared" si="12"/>
        <v>0</v>
      </c>
      <c r="AE18" s="190">
        <f t="shared" si="12"/>
        <v>0</v>
      </c>
      <c r="AF18" s="190">
        <f t="shared" si="12"/>
        <v>0</v>
      </c>
      <c r="AG18" s="190">
        <f t="shared" si="12"/>
        <v>0</v>
      </c>
      <c r="AH18" s="190">
        <f t="shared" si="12"/>
        <v>0</v>
      </c>
      <c r="AI18" s="190">
        <f t="shared" si="12"/>
        <v>0</v>
      </c>
      <c r="AJ18" s="190">
        <f t="shared" si="12"/>
        <v>0</v>
      </c>
      <c r="AK18" s="190">
        <f t="shared" si="12"/>
        <v>0</v>
      </c>
      <c r="AL18" s="190">
        <f t="shared" si="12"/>
        <v>0</v>
      </c>
      <c r="AM18" s="190">
        <f t="shared" si="12"/>
        <v>0</v>
      </c>
      <c r="AN18" s="190">
        <f t="shared" si="12"/>
        <v>0</v>
      </c>
      <c r="AO18" s="190">
        <f t="shared" si="12"/>
        <v>0</v>
      </c>
      <c r="AP18" s="190">
        <f t="shared" si="12"/>
        <v>0</v>
      </c>
      <c r="AQ18" s="190">
        <f t="shared" si="12"/>
        <v>0</v>
      </c>
      <c r="AR18" s="190">
        <f t="shared" si="12"/>
        <v>0</v>
      </c>
      <c r="AS18" s="190">
        <f t="shared" si="12"/>
        <v>0</v>
      </c>
      <c r="AT18" s="190">
        <f t="shared" si="12"/>
        <v>0</v>
      </c>
      <c r="AU18" s="190">
        <f t="shared" si="12"/>
        <v>0</v>
      </c>
      <c r="AV18" s="190">
        <f t="shared" si="12"/>
        <v>0</v>
      </c>
      <c r="AW18" s="190">
        <f t="shared" si="12"/>
        <v>0</v>
      </c>
      <c r="AX18" s="190">
        <f t="shared" si="12"/>
        <v>0</v>
      </c>
      <c r="AY18" s="190">
        <f t="shared" si="12"/>
        <v>0</v>
      </c>
      <c r="AZ18" s="190">
        <f t="shared" si="12"/>
        <v>0</v>
      </c>
      <c r="BA18" s="190">
        <f t="shared" si="12"/>
        <v>0</v>
      </c>
      <c r="BB18" s="190">
        <f t="shared" si="12"/>
        <v>0</v>
      </c>
      <c r="BC18" s="190">
        <f t="shared" si="12"/>
        <v>0</v>
      </c>
      <c r="BD18" s="190">
        <f t="shared" si="12"/>
        <v>0</v>
      </c>
      <c r="BE18" s="190">
        <f t="shared" si="12"/>
        <v>0</v>
      </c>
      <c r="BF18" s="190">
        <f t="shared" si="12"/>
        <v>0</v>
      </c>
      <c r="BG18" s="190">
        <f t="shared" si="12"/>
        <v>0</v>
      </c>
      <c r="BH18" s="190">
        <f t="shared" si="12"/>
        <v>0</v>
      </c>
      <c r="BI18" s="190">
        <f t="shared" si="12"/>
        <v>0</v>
      </c>
      <c r="BJ18" s="190">
        <f t="shared" si="12"/>
        <v>0</v>
      </c>
      <c r="BK18" s="190">
        <f t="shared" si="12"/>
        <v>0</v>
      </c>
      <c r="BL18" s="190">
        <f t="shared" si="12"/>
        <v>0</v>
      </c>
      <c r="BM18" s="190">
        <f t="shared" si="12"/>
        <v>0</v>
      </c>
      <c r="BN18" s="190">
        <f t="shared" si="12"/>
        <v>0</v>
      </c>
      <c r="BO18" s="190">
        <f t="shared" si="12"/>
        <v>0</v>
      </c>
      <c r="BP18" s="190">
        <f t="shared" si="12"/>
        <v>0</v>
      </c>
      <c r="BQ18" s="190">
        <f t="shared" si="12"/>
        <v>0</v>
      </c>
      <c r="BR18" s="190">
        <f t="shared" si="12"/>
        <v>0</v>
      </c>
      <c r="BS18" s="190">
        <f t="shared" si="12"/>
        <v>0</v>
      </c>
      <c r="BT18" s="190">
        <f t="shared" si="12"/>
        <v>0</v>
      </c>
      <c r="BU18" s="190">
        <f t="shared" si="12"/>
        <v>0</v>
      </c>
      <c r="BV18" s="190">
        <f t="shared" si="12"/>
        <v>0</v>
      </c>
      <c r="BW18" s="190">
        <f t="shared" si="12"/>
        <v>0</v>
      </c>
      <c r="BX18" s="190">
        <f t="shared" si="12"/>
        <v>0</v>
      </c>
      <c r="BY18" s="191">
        <f t="shared" si="12"/>
        <v>-14572244.886034876</v>
      </c>
      <c r="BZ18" s="474">
        <f>BY18+BY24+BY30+BY37+BY46+BY52+BY60+BY84</f>
        <v>-108529125.03586778</v>
      </c>
      <c r="CA18" s="168"/>
      <c r="CB18" s="192" t="e">
        <f t="array" ref="CB18">SUM(INDEX(E18:BX18, , 1):INDEX(E18:BX18, ,MATCH($CB$4, $E$3:$BX$3,0) ))</f>
        <v>#N/A</v>
      </c>
      <c r="CC18" s="474" t="e">
        <f>CB18+CB24+CB30+#REF!+CB37+CB46+CB52+CB60+CB84</f>
        <v>#N/A</v>
      </c>
    </row>
    <row r="19" spans="2:81" ht="16" hidden="1" outlineLevel="1" x14ac:dyDescent="0.2">
      <c r="B19" s="485"/>
      <c r="C19" s="193" t="s">
        <v>224</v>
      </c>
      <c r="D19" s="194" t="s">
        <v>218</v>
      </c>
      <c r="E19" s="195"/>
      <c r="F19" s="195"/>
      <c r="G19" s="195"/>
      <c r="H19" s="195"/>
      <c r="I19" s="195"/>
      <c r="J19" s="195"/>
      <c r="K19" s="195"/>
      <c r="L19" s="195"/>
      <c r="M19" s="195"/>
      <c r="N19" s="195">
        <f>-Businessplan_prodej!F11</f>
        <v>0</v>
      </c>
      <c r="O19" s="195"/>
      <c r="P19" s="195"/>
      <c r="Q19" s="195">
        <f>-887380.12-1693830.6</f>
        <v>-2581210.7200000002</v>
      </c>
      <c r="R19" s="195"/>
      <c r="S19" s="195"/>
      <c r="T19" s="195"/>
      <c r="U19" s="195"/>
      <c r="V19" s="195"/>
      <c r="W19" s="195"/>
      <c r="X19" s="195"/>
      <c r="Y19" s="195"/>
      <c r="Z19" s="195"/>
      <c r="AA19" s="195"/>
      <c r="AB19" s="195">
        <f>-Businessplan_prodej!F8</f>
        <v>-11906899.166034875</v>
      </c>
      <c r="AC19" s="195"/>
      <c r="AD19" s="195"/>
      <c r="AE19" s="195"/>
      <c r="AF19" s="195"/>
      <c r="AG19" s="195"/>
      <c r="AH19" s="195"/>
      <c r="AI19" s="195"/>
      <c r="AJ19" s="195"/>
      <c r="AK19" s="195"/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5"/>
      <c r="BE19" s="195"/>
      <c r="BF19" s="195"/>
      <c r="BG19" s="195"/>
      <c r="BH19" s="195"/>
      <c r="BI19" s="195"/>
      <c r="BJ19" s="195"/>
      <c r="BK19" s="195"/>
      <c r="BL19" s="195"/>
      <c r="BM19" s="195"/>
      <c r="BN19" s="195"/>
      <c r="BO19" s="195"/>
      <c r="BP19" s="195"/>
      <c r="BQ19" s="195"/>
      <c r="BR19" s="195"/>
      <c r="BS19" s="195"/>
      <c r="BT19" s="195"/>
      <c r="BU19" s="195"/>
      <c r="BV19" s="195"/>
      <c r="BW19" s="195"/>
      <c r="BX19" s="195"/>
      <c r="BY19" s="196">
        <f t="shared" ref="BY19:BY23" si="13">SUM(E19:BX19)</f>
        <v>-14488109.886034876</v>
      </c>
      <c r="BZ19" s="468"/>
      <c r="CA19" s="168"/>
      <c r="CB19" s="192" t="e">
        <f t="shared" ref="CB19:CB23" si="14">SUM(INDEX(AC19:BX19, , 1):INDEX(AC19:BX19, ,MATCH($CB$4, $E$3:$BX$3,0) ))</f>
        <v>#N/A</v>
      </c>
      <c r="CC19" s="468"/>
    </row>
    <row r="20" spans="2:81" ht="16" hidden="1" outlineLevel="1" x14ac:dyDescent="0.2">
      <c r="B20" s="485"/>
      <c r="C20" s="193" t="s">
        <v>225</v>
      </c>
      <c r="D20" s="194" t="s">
        <v>218</v>
      </c>
      <c r="E20" s="195"/>
      <c r="F20" s="195"/>
      <c r="G20" s="195"/>
      <c r="H20" s="195"/>
      <c r="I20" s="195"/>
      <c r="J20" s="195"/>
      <c r="K20" s="195"/>
      <c r="L20" s="195"/>
      <c r="M20" s="195"/>
      <c r="N20" s="195"/>
      <c r="O20" s="195"/>
      <c r="P20" s="195"/>
      <c r="Q20" s="195"/>
      <c r="R20" s="195"/>
      <c r="S20" s="195"/>
      <c r="T20" s="195"/>
      <c r="U20" s="195"/>
      <c r="V20" s="195"/>
      <c r="W20" s="195"/>
      <c r="X20" s="195"/>
      <c r="Y20" s="195"/>
      <c r="Z20" s="195"/>
      <c r="AA20" s="195"/>
      <c r="AB20" s="195">
        <f>-Businessplan_prodej!F9</f>
        <v>-84135</v>
      </c>
      <c r="AC20" s="195"/>
      <c r="AD20" s="195"/>
      <c r="AE20" s="195"/>
      <c r="AF20" s="195"/>
      <c r="AG20" s="195"/>
      <c r="AH20" s="195"/>
      <c r="AI20" s="195"/>
      <c r="AJ20" s="195"/>
      <c r="AK20" s="195"/>
      <c r="AL20" s="195"/>
      <c r="AM20" s="195"/>
      <c r="AN20" s="195"/>
      <c r="AO20" s="195"/>
      <c r="AP20" s="195"/>
      <c r="AQ20" s="195"/>
      <c r="AR20" s="195"/>
      <c r="AS20" s="195"/>
      <c r="AT20" s="195"/>
      <c r="AU20" s="195"/>
      <c r="AV20" s="195"/>
      <c r="AW20" s="195"/>
      <c r="AX20" s="195"/>
      <c r="AY20" s="195"/>
      <c r="AZ20" s="195"/>
      <c r="BA20" s="195"/>
      <c r="BB20" s="195"/>
      <c r="BC20" s="195"/>
      <c r="BD20" s="195"/>
      <c r="BE20" s="195"/>
      <c r="BF20" s="195"/>
      <c r="BG20" s="195"/>
      <c r="BH20" s="195"/>
      <c r="BI20" s="195"/>
      <c r="BJ20" s="195"/>
      <c r="BK20" s="195"/>
      <c r="BL20" s="195"/>
      <c r="BM20" s="195"/>
      <c r="BN20" s="195"/>
      <c r="BO20" s="195"/>
      <c r="BP20" s="195"/>
      <c r="BQ20" s="195"/>
      <c r="BR20" s="195"/>
      <c r="BS20" s="195"/>
      <c r="BT20" s="195"/>
      <c r="BU20" s="195"/>
      <c r="BV20" s="195"/>
      <c r="BW20" s="195"/>
      <c r="BX20" s="195"/>
      <c r="BY20" s="196">
        <f t="shared" si="13"/>
        <v>-84135</v>
      </c>
      <c r="BZ20" s="468"/>
      <c r="CA20" s="168"/>
      <c r="CB20" s="192" t="e">
        <f t="shared" si="14"/>
        <v>#N/A</v>
      </c>
      <c r="CC20" s="468"/>
    </row>
    <row r="21" spans="2:81" ht="16" hidden="1" outlineLevel="1" x14ac:dyDescent="0.2">
      <c r="B21" s="485"/>
      <c r="C21" s="193" t="s">
        <v>226</v>
      </c>
      <c r="D21" s="194" t="s">
        <v>218</v>
      </c>
      <c r="E21" s="195"/>
      <c r="F21" s="195"/>
      <c r="G21" s="195"/>
      <c r="H21" s="195"/>
      <c r="I21" s="195"/>
      <c r="J21" s="195"/>
      <c r="K21" s="195"/>
      <c r="L21" s="195"/>
      <c r="M21" s="195"/>
      <c r="N21" s="195"/>
      <c r="O21" s="195"/>
      <c r="P21" s="195"/>
      <c r="Q21" s="195"/>
      <c r="R21" s="195"/>
      <c r="S21" s="195"/>
      <c r="T21" s="195"/>
      <c r="U21" s="195"/>
      <c r="V21" s="195"/>
      <c r="W21" s="195"/>
      <c r="X21" s="195"/>
      <c r="Y21" s="195"/>
      <c r="Z21" s="195"/>
      <c r="AA21" s="195"/>
      <c r="AB21" s="195"/>
      <c r="AC21" s="195"/>
      <c r="AD21" s="195"/>
      <c r="AE21" s="195"/>
      <c r="AF21" s="195"/>
      <c r="AG21" s="195"/>
      <c r="AH21" s="195"/>
      <c r="AI21" s="195"/>
      <c r="AJ21" s="195"/>
      <c r="AK21" s="195"/>
      <c r="AL21" s="195"/>
      <c r="AM21" s="195"/>
      <c r="AN21" s="195"/>
      <c r="AO21" s="195"/>
      <c r="AP21" s="195"/>
      <c r="AQ21" s="195"/>
      <c r="AR21" s="195"/>
      <c r="AS21" s="195"/>
      <c r="AT21" s="195"/>
      <c r="AU21" s="195"/>
      <c r="AV21" s="195"/>
      <c r="AW21" s="195"/>
      <c r="AX21" s="195"/>
      <c r="AY21" s="195"/>
      <c r="AZ21" s="195"/>
      <c r="BA21" s="195"/>
      <c r="BB21" s="195"/>
      <c r="BC21" s="195"/>
      <c r="BD21" s="195"/>
      <c r="BE21" s="195"/>
      <c r="BF21" s="195"/>
      <c r="BG21" s="195"/>
      <c r="BH21" s="195"/>
      <c r="BI21" s="195"/>
      <c r="BJ21" s="195"/>
      <c r="BK21" s="195"/>
      <c r="BL21" s="195"/>
      <c r="BM21" s="195"/>
      <c r="BN21" s="195"/>
      <c r="BO21" s="195"/>
      <c r="BP21" s="195"/>
      <c r="BQ21" s="195"/>
      <c r="BR21" s="195"/>
      <c r="BS21" s="195"/>
      <c r="BT21" s="195"/>
      <c r="BU21" s="195"/>
      <c r="BV21" s="195"/>
      <c r="BW21" s="195"/>
      <c r="BX21" s="195"/>
      <c r="BY21" s="196">
        <f t="shared" si="13"/>
        <v>0</v>
      </c>
      <c r="BZ21" s="468"/>
      <c r="CA21" s="168"/>
      <c r="CB21" s="192" t="e">
        <f t="shared" si="14"/>
        <v>#N/A</v>
      </c>
      <c r="CC21" s="468"/>
    </row>
    <row r="22" spans="2:81" ht="16" hidden="1" outlineLevel="1" x14ac:dyDescent="0.2">
      <c r="B22" s="485"/>
      <c r="C22" s="193" t="s">
        <v>227</v>
      </c>
      <c r="D22" s="194" t="s">
        <v>218</v>
      </c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  <c r="BM22" s="195"/>
      <c r="BN22" s="195"/>
      <c r="BO22" s="195"/>
      <c r="BP22" s="195"/>
      <c r="BQ22" s="195"/>
      <c r="BR22" s="195"/>
      <c r="BS22" s="195"/>
      <c r="BT22" s="195"/>
      <c r="BU22" s="195"/>
      <c r="BV22" s="195"/>
      <c r="BW22" s="195"/>
      <c r="BX22" s="195"/>
      <c r="BY22" s="196">
        <f t="shared" si="13"/>
        <v>0</v>
      </c>
      <c r="BZ22" s="468"/>
      <c r="CA22" s="168"/>
      <c r="CB22" s="192" t="e">
        <f t="shared" si="14"/>
        <v>#N/A</v>
      </c>
      <c r="CC22" s="468"/>
    </row>
    <row r="23" spans="2:81" ht="16" hidden="1" outlineLevel="1" x14ac:dyDescent="0.2">
      <c r="B23" s="485"/>
      <c r="C23" s="193" t="s">
        <v>228</v>
      </c>
      <c r="D23" s="197" t="s">
        <v>218</v>
      </c>
      <c r="E23" s="195"/>
      <c r="F23" s="195"/>
      <c r="G23" s="195"/>
      <c r="H23" s="195"/>
      <c r="I23" s="195"/>
      <c r="J23" s="195"/>
      <c r="K23" s="195"/>
      <c r="L23" s="195"/>
      <c r="M23" s="195"/>
      <c r="N23" s="195"/>
      <c r="O23" s="195"/>
      <c r="P23" s="195"/>
      <c r="Q23" s="195"/>
      <c r="R23" s="195"/>
      <c r="S23" s="195"/>
      <c r="T23" s="195"/>
      <c r="U23" s="195"/>
      <c r="V23" s="195"/>
      <c r="W23" s="195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95"/>
      <c r="AI23" s="195"/>
      <c r="AJ23" s="195"/>
      <c r="AK23" s="195"/>
      <c r="AL23" s="195"/>
      <c r="AM23" s="195"/>
      <c r="AN23" s="195"/>
      <c r="AO23" s="195"/>
      <c r="AP23" s="195"/>
      <c r="AQ23" s="195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5"/>
      <c r="BH23" s="195"/>
      <c r="BI23" s="195"/>
      <c r="BJ23" s="195"/>
      <c r="BK23" s="195"/>
      <c r="BL23" s="195"/>
      <c r="BM23" s="195"/>
      <c r="BN23" s="195"/>
      <c r="BO23" s="195"/>
      <c r="BP23" s="195"/>
      <c r="BQ23" s="195"/>
      <c r="BR23" s="195"/>
      <c r="BS23" s="195"/>
      <c r="BT23" s="195"/>
      <c r="BU23" s="195"/>
      <c r="BV23" s="195"/>
      <c r="BW23" s="195"/>
      <c r="BX23" s="195"/>
      <c r="BY23" s="196">
        <f t="shared" si="13"/>
        <v>0</v>
      </c>
      <c r="BZ23" s="468"/>
      <c r="CA23" s="168"/>
      <c r="CB23" s="192" t="e">
        <f t="shared" si="14"/>
        <v>#N/A</v>
      </c>
      <c r="CC23" s="468"/>
    </row>
    <row r="24" spans="2:81" ht="16" collapsed="1" x14ac:dyDescent="0.2">
      <c r="B24" s="485"/>
      <c r="C24" s="188" t="s">
        <v>229</v>
      </c>
      <c r="D24" s="189"/>
      <c r="E24" s="190">
        <f t="shared" ref="E24:BY24" si="15">SUM(E25:E29)</f>
        <v>0</v>
      </c>
      <c r="F24" s="190">
        <f t="shared" si="15"/>
        <v>0</v>
      </c>
      <c r="G24" s="190">
        <f t="shared" si="15"/>
        <v>0</v>
      </c>
      <c r="H24" s="190">
        <f t="shared" si="15"/>
        <v>0</v>
      </c>
      <c r="I24" s="190">
        <f t="shared" si="15"/>
        <v>0</v>
      </c>
      <c r="J24" s="190">
        <f t="shared" si="15"/>
        <v>0</v>
      </c>
      <c r="K24" s="190">
        <f t="shared" si="15"/>
        <v>0</v>
      </c>
      <c r="L24" s="190">
        <f t="shared" si="15"/>
        <v>0</v>
      </c>
      <c r="M24" s="190">
        <f t="shared" si="15"/>
        <v>0</v>
      </c>
      <c r="N24" s="190">
        <f t="shared" si="15"/>
        <v>0</v>
      </c>
      <c r="O24" s="190">
        <f t="shared" si="15"/>
        <v>0</v>
      </c>
      <c r="P24" s="190">
        <f t="shared" si="15"/>
        <v>0</v>
      </c>
      <c r="Q24" s="190">
        <f t="shared" si="15"/>
        <v>0</v>
      </c>
      <c r="R24" s="190">
        <f t="shared" si="15"/>
        <v>0</v>
      </c>
      <c r="S24" s="190">
        <f t="shared" si="15"/>
        <v>0</v>
      </c>
      <c r="T24" s="190">
        <f t="shared" si="15"/>
        <v>0</v>
      </c>
      <c r="U24" s="190">
        <f t="shared" si="15"/>
        <v>-49000</v>
      </c>
      <c r="V24" s="190">
        <f t="shared" si="15"/>
        <v>-198000</v>
      </c>
      <c r="W24" s="190">
        <f t="shared" si="15"/>
        <v>-1913000</v>
      </c>
      <c r="X24" s="190">
        <f t="shared" si="15"/>
        <v>0</v>
      </c>
      <c r="Y24" s="190">
        <f t="shared" si="15"/>
        <v>0</v>
      </c>
      <c r="Z24" s="190">
        <f t="shared" si="15"/>
        <v>-290000</v>
      </c>
      <c r="AA24" s="190">
        <f t="shared" si="15"/>
        <v>0</v>
      </c>
      <c r="AB24" s="190">
        <f t="shared" si="15"/>
        <v>-226000</v>
      </c>
      <c r="AC24" s="190">
        <f t="shared" si="15"/>
        <v>-286000</v>
      </c>
      <c r="AD24" s="190">
        <f t="shared" si="15"/>
        <v>-226000</v>
      </c>
      <c r="AE24" s="190">
        <f t="shared" si="15"/>
        <v>-226000</v>
      </c>
      <c r="AF24" s="190">
        <f t="shared" si="15"/>
        <v>0</v>
      </c>
      <c r="AG24" s="190">
        <f t="shared" si="15"/>
        <v>0</v>
      </c>
      <c r="AH24" s="190">
        <f t="shared" si="15"/>
        <v>0</v>
      </c>
      <c r="AI24" s="190">
        <f t="shared" si="15"/>
        <v>0</v>
      </c>
      <c r="AJ24" s="190">
        <f t="shared" si="15"/>
        <v>0</v>
      </c>
      <c r="AK24" s="190">
        <f t="shared" si="15"/>
        <v>0</v>
      </c>
      <c r="AL24" s="190">
        <f t="shared" si="15"/>
        <v>0</v>
      </c>
      <c r="AM24" s="190">
        <f t="shared" si="15"/>
        <v>0</v>
      </c>
      <c r="AN24" s="190">
        <f t="shared" si="15"/>
        <v>0</v>
      </c>
      <c r="AO24" s="190">
        <f t="shared" si="15"/>
        <v>0</v>
      </c>
      <c r="AP24" s="190">
        <f t="shared" si="15"/>
        <v>0</v>
      </c>
      <c r="AQ24" s="190">
        <f t="shared" si="15"/>
        <v>0</v>
      </c>
      <c r="AR24" s="190">
        <f t="shared" si="15"/>
        <v>0</v>
      </c>
      <c r="AS24" s="190">
        <f t="shared" si="15"/>
        <v>0</v>
      </c>
      <c r="AT24" s="190">
        <f t="shared" si="15"/>
        <v>0</v>
      </c>
      <c r="AU24" s="190">
        <f t="shared" si="15"/>
        <v>0</v>
      </c>
      <c r="AV24" s="190">
        <f t="shared" si="15"/>
        <v>0</v>
      </c>
      <c r="AW24" s="190">
        <f t="shared" si="15"/>
        <v>0</v>
      </c>
      <c r="AX24" s="190">
        <f t="shared" si="15"/>
        <v>0</v>
      </c>
      <c r="AY24" s="190">
        <f t="shared" si="15"/>
        <v>0</v>
      </c>
      <c r="AZ24" s="190">
        <f t="shared" si="15"/>
        <v>0</v>
      </c>
      <c r="BA24" s="190">
        <f t="shared" si="15"/>
        <v>0</v>
      </c>
      <c r="BB24" s="190">
        <f t="shared" si="15"/>
        <v>0</v>
      </c>
      <c r="BC24" s="190">
        <f t="shared" si="15"/>
        <v>0</v>
      </c>
      <c r="BD24" s="190">
        <f t="shared" si="15"/>
        <v>0</v>
      </c>
      <c r="BE24" s="190">
        <f t="shared" si="15"/>
        <v>0</v>
      </c>
      <c r="BF24" s="190">
        <f t="shared" si="15"/>
        <v>0</v>
      </c>
      <c r="BG24" s="190">
        <f t="shared" si="15"/>
        <v>0</v>
      </c>
      <c r="BH24" s="190">
        <f t="shared" si="15"/>
        <v>0</v>
      </c>
      <c r="BI24" s="190">
        <f t="shared" si="15"/>
        <v>0</v>
      </c>
      <c r="BJ24" s="190">
        <f t="shared" si="15"/>
        <v>0</v>
      </c>
      <c r="BK24" s="190">
        <f t="shared" si="15"/>
        <v>0</v>
      </c>
      <c r="BL24" s="190">
        <f t="shared" si="15"/>
        <v>0</v>
      </c>
      <c r="BM24" s="190">
        <f t="shared" si="15"/>
        <v>0</v>
      </c>
      <c r="BN24" s="190">
        <f t="shared" si="15"/>
        <v>0</v>
      </c>
      <c r="BO24" s="190">
        <f t="shared" si="15"/>
        <v>0</v>
      </c>
      <c r="BP24" s="190">
        <f t="shared" si="15"/>
        <v>0</v>
      </c>
      <c r="BQ24" s="190">
        <f t="shared" si="15"/>
        <v>0</v>
      </c>
      <c r="BR24" s="190">
        <f t="shared" si="15"/>
        <v>0</v>
      </c>
      <c r="BS24" s="190">
        <f t="shared" si="15"/>
        <v>0</v>
      </c>
      <c r="BT24" s="190">
        <f t="shared" si="15"/>
        <v>0</v>
      </c>
      <c r="BU24" s="190">
        <f t="shared" si="15"/>
        <v>0</v>
      </c>
      <c r="BV24" s="190">
        <f t="shared" si="15"/>
        <v>0</v>
      </c>
      <c r="BW24" s="190">
        <f t="shared" si="15"/>
        <v>0</v>
      </c>
      <c r="BX24" s="190">
        <f t="shared" si="15"/>
        <v>0</v>
      </c>
      <c r="BY24" s="191">
        <f t="shared" si="15"/>
        <v>-3414000</v>
      </c>
      <c r="BZ24" s="468"/>
      <c r="CA24" s="168"/>
      <c r="CB24" s="192" t="e">
        <f t="array" ref="CB24">SUM(INDEX(E24:BX24, , 1):INDEX(E24:BX24, ,MATCH($CB$4, $E$3:$BX$3,0) ))</f>
        <v>#N/A</v>
      </c>
      <c r="CC24" s="468"/>
    </row>
    <row r="25" spans="2:81" ht="16" hidden="1" outlineLevel="1" x14ac:dyDescent="0.2">
      <c r="B25" s="485"/>
      <c r="C25" s="193" t="s">
        <v>230</v>
      </c>
      <c r="D25" s="197" t="s">
        <v>218</v>
      </c>
      <c r="E25" s="195"/>
      <c r="F25" s="195"/>
      <c r="G25" s="195"/>
      <c r="H25" s="195"/>
      <c r="I25" s="195"/>
      <c r="J25" s="195"/>
      <c r="K25" s="195"/>
      <c r="L25" s="195"/>
      <c r="M25" s="195"/>
      <c r="N25" s="195"/>
      <c r="O25" s="195"/>
      <c r="P25" s="195"/>
      <c r="Q25" s="195"/>
      <c r="R25" s="195"/>
      <c r="S25" s="195"/>
      <c r="T25" s="195"/>
      <c r="U25" s="195">
        <f>-49000</f>
        <v>-49000</v>
      </c>
      <c r="V25" s="195">
        <f>-198000</f>
        <v>-198000</v>
      </c>
      <c r="W25" s="195">
        <f>-1913000</f>
        <v>-1913000</v>
      </c>
      <c r="X25" s="195"/>
      <c r="Y25" s="195"/>
      <c r="Z25" s="195">
        <f>-290000</f>
        <v>-290000</v>
      </c>
      <c r="AA25" s="195"/>
      <c r="AB25" s="195"/>
      <c r="AC25" s="195">
        <f>-10000-50000</f>
        <v>-60000</v>
      </c>
      <c r="AD25" s="195"/>
      <c r="AE25" s="195"/>
      <c r="AF25" s="195"/>
      <c r="AG25" s="195"/>
      <c r="AH25" s="195"/>
      <c r="AI25" s="195"/>
      <c r="AJ25" s="195"/>
      <c r="AK25" s="195"/>
      <c r="AL25" s="195"/>
      <c r="AM25" s="195"/>
      <c r="AN25" s="195"/>
      <c r="AO25" s="195"/>
      <c r="AP25" s="195"/>
      <c r="AQ25" s="195"/>
      <c r="AR25" s="195"/>
      <c r="AS25" s="195"/>
      <c r="AT25" s="195"/>
      <c r="AU25" s="195"/>
      <c r="AV25" s="195"/>
      <c r="AW25" s="195"/>
      <c r="AX25" s="195"/>
      <c r="AY25" s="195"/>
      <c r="AZ25" s="195"/>
      <c r="BA25" s="195"/>
      <c r="BB25" s="195"/>
      <c r="BC25" s="195"/>
      <c r="BD25" s="195"/>
      <c r="BE25" s="195"/>
      <c r="BF25" s="195"/>
      <c r="BG25" s="195"/>
      <c r="BH25" s="195"/>
      <c r="BI25" s="195"/>
      <c r="BJ25" s="195"/>
      <c r="BK25" s="195"/>
      <c r="BL25" s="195"/>
      <c r="BM25" s="195"/>
      <c r="BN25" s="198"/>
      <c r="BO25" s="198"/>
      <c r="BP25" s="198"/>
      <c r="BQ25" s="198"/>
      <c r="BR25" s="198"/>
      <c r="BS25" s="198"/>
      <c r="BT25" s="198"/>
      <c r="BU25" s="198"/>
      <c r="BV25" s="198"/>
      <c r="BW25" s="198"/>
      <c r="BX25" s="198"/>
      <c r="BY25" s="199">
        <f t="shared" ref="BY25:BY29" si="16">SUM(E25:BX25)</f>
        <v>-2510000</v>
      </c>
      <c r="BZ25" s="468"/>
      <c r="CA25" s="168"/>
      <c r="CB25" s="192" t="e">
        <f t="array" ref="CB25">SUM(INDEX(AC25:BX25, , 1):INDEX(AC25:BX25, ,MATCH(#REF!, $E$3:$BX$3,0) ))</f>
        <v>#REF!</v>
      </c>
      <c r="CC25" s="468"/>
    </row>
    <row r="26" spans="2:81" ht="16" hidden="1" outlineLevel="1" x14ac:dyDescent="0.2">
      <c r="B26" s="485"/>
      <c r="C26" s="193" t="s">
        <v>231</v>
      </c>
      <c r="D26" s="197" t="s">
        <v>218</v>
      </c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195"/>
      <c r="AC26" s="195"/>
      <c r="AD26" s="195"/>
      <c r="AE26" s="195"/>
      <c r="AF26" s="195"/>
      <c r="AG26" s="195"/>
      <c r="AH26" s="195"/>
      <c r="AI26" s="195"/>
      <c r="AJ26" s="195"/>
      <c r="AK26" s="195"/>
      <c r="AL26" s="195"/>
      <c r="AM26" s="195"/>
      <c r="AN26" s="195"/>
      <c r="AO26" s="195"/>
      <c r="AP26" s="195"/>
      <c r="AQ26" s="195"/>
      <c r="AR26" s="195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5"/>
      <c r="BG26" s="195"/>
      <c r="BH26" s="195"/>
      <c r="BI26" s="195"/>
      <c r="BJ26" s="195"/>
      <c r="BK26" s="195"/>
      <c r="BL26" s="195"/>
      <c r="BM26" s="195"/>
      <c r="BN26" s="198"/>
      <c r="BO26" s="198"/>
      <c r="BP26" s="198"/>
      <c r="BQ26" s="198"/>
      <c r="BR26" s="198"/>
      <c r="BS26" s="198"/>
      <c r="BT26" s="198"/>
      <c r="BU26" s="198"/>
      <c r="BV26" s="198"/>
      <c r="BW26" s="198"/>
      <c r="BX26" s="198"/>
      <c r="BY26" s="199">
        <f t="shared" si="16"/>
        <v>0</v>
      </c>
      <c r="BZ26" s="468"/>
      <c r="CA26" s="168"/>
      <c r="CB26" s="192"/>
      <c r="CC26" s="468"/>
    </row>
    <row r="27" spans="2:81" ht="16" hidden="1" outlineLevel="1" x14ac:dyDescent="0.2">
      <c r="B27" s="485"/>
      <c r="C27" s="193" t="s">
        <v>232</v>
      </c>
      <c r="D27" s="197" t="s">
        <v>218</v>
      </c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  <c r="AO27" s="195"/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5"/>
      <c r="BG27" s="195"/>
      <c r="BH27" s="195"/>
      <c r="BI27" s="195"/>
      <c r="BJ27" s="195"/>
      <c r="BK27" s="195"/>
      <c r="BL27" s="195"/>
      <c r="BM27" s="195"/>
      <c r="BN27" s="198"/>
      <c r="BO27" s="198"/>
      <c r="BP27" s="198"/>
      <c r="BQ27" s="198"/>
      <c r="BR27" s="198"/>
      <c r="BS27" s="198"/>
      <c r="BT27" s="198"/>
      <c r="BU27" s="198"/>
      <c r="BV27" s="198"/>
      <c r="BW27" s="198"/>
      <c r="BX27" s="198"/>
      <c r="BY27" s="199">
        <f t="shared" si="16"/>
        <v>0</v>
      </c>
      <c r="BZ27" s="468"/>
      <c r="CA27" s="168"/>
      <c r="CB27" s="192"/>
      <c r="CC27" s="468"/>
    </row>
    <row r="28" spans="2:81" ht="16" hidden="1" outlineLevel="1" x14ac:dyDescent="0.2">
      <c r="B28" s="485"/>
      <c r="C28" s="193" t="s">
        <v>233</v>
      </c>
      <c r="D28" s="197" t="s">
        <v>218</v>
      </c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>
        <f>-Businessplan_prodej!$F$32/4</f>
        <v>-226000</v>
      </c>
      <c r="AC28" s="195">
        <f>-Businessplan_prodej!$F$32/4</f>
        <v>-226000</v>
      </c>
      <c r="AD28" s="195">
        <f>-Businessplan_prodej!$F$32/4</f>
        <v>-226000</v>
      </c>
      <c r="AE28" s="195">
        <f>-Businessplan_prodej!$F$32/4</f>
        <v>-226000</v>
      </c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5"/>
      <c r="BH28" s="195"/>
      <c r="BI28" s="195"/>
      <c r="BJ28" s="195"/>
      <c r="BK28" s="195"/>
      <c r="BL28" s="195"/>
      <c r="BM28" s="195"/>
      <c r="BN28" s="198"/>
      <c r="BO28" s="198"/>
      <c r="BP28" s="198"/>
      <c r="BQ28" s="198"/>
      <c r="BR28" s="198"/>
      <c r="BS28" s="198"/>
      <c r="BT28" s="198"/>
      <c r="BU28" s="198"/>
      <c r="BV28" s="198"/>
      <c r="BW28" s="198"/>
      <c r="BX28" s="198"/>
      <c r="BY28" s="199">
        <f t="shared" si="16"/>
        <v>-904000</v>
      </c>
      <c r="BZ28" s="468"/>
      <c r="CA28" s="168"/>
      <c r="CB28" s="192"/>
      <c r="CC28" s="468"/>
    </row>
    <row r="29" spans="2:81" ht="16" hidden="1" outlineLevel="1" x14ac:dyDescent="0.2">
      <c r="B29" s="485"/>
      <c r="C29" s="193" t="s">
        <v>234</v>
      </c>
      <c r="D29" s="197" t="s">
        <v>218</v>
      </c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5"/>
      <c r="BH29" s="195"/>
      <c r="BI29" s="195"/>
      <c r="BJ29" s="195"/>
      <c r="BK29" s="195"/>
      <c r="BL29" s="195"/>
      <c r="BM29" s="195"/>
      <c r="BN29" s="198"/>
      <c r="BO29" s="198"/>
      <c r="BP29" s="198"/>
      <c r="BQ29" s="198"/>
      <c r="BR29" s="198"/>
      <c r="BS29" s="198"/>
      <c r="BT29" s="198"/>
      <c r="BU29" s="198"/>
      <c r="BV29" s="198"/>
      <c r="BW29" s="198"/>
      <c r="BX29" s="198"/>
      <c r="BY29" s="199">
        <f t="shared" si="16"/>
        <v>0</v>
      </c>
      <c r="BZ29" s="468"/>
      <c r="CA29" s="168"/>
      <c r="CB29" s="192" t="e">
        <f t="array" ref="CB29">SUM(INDEX(AC29:BX29, , 1):INDEX(AC29:BX29, ,MATCH(#REF!, $E$3:$BX$3,0) ))</f>
        <v>#REF!</v>
      </c>
      <c r="CC29" s="468"/>
    </row>
    <row r="30" spans="2:81" ht="16" collapsed="1" x14ac:dyDescent="0.2">
      <c r="B30" s="485"/>
      <c r="C30" s="188" t="s">
        <v>235</v>
      </c>
      <c r="D30" s="189"/>
      <c r="E30" s="190">
        <f t="shared" ref="E30:BX30" si="17">SUM(E31:E36)</f>
        <v>0</v>
      </c>
      <c r="F30" s="190">
        <f t="shared" si="17"/>
        <v>0</v>
      </c>
      <c r="G30" s="190">
        <f t="shared" si="17"/>
        <v>0</v>
      </c>
      <c r="H30" s="190">
        <f t="shared" si="17"/>
        <v>0</v>
      </c>
      <c r="I30" s="190">
        <f t="shared" si="17"/>
        <v>0</v>
      </c>
      <c r="J30" s="190">
        <f t="shared" si="17"/>
        <v>0</v>
      </c>
      <c r="K30" s="190">
        <f t="shared" si="17"/>
        <v>0</v>
      </c>
      <c r="L30" s="190">
        <f t="shared" si="17"/>
        <v>0</v>
      </c>
      <c r="M30" s="190">
        <f t="shared" si="17"/>
        <v>0</v>
      </c>
      <c r="N30" s="190">
        <f t="shared" si="17"/>
        <v>0</v>
      </c>
      <c r="O30" s="190">
        <f t="shared" si="17"/>
        <v>0</v>
      </c>
      <c r="P30" s="190">
        <f t="shared" si="17"/>
        <v>0</v>
      </c>
      <c r="Q30" s="190">
        <f t="shared" si="17"/>
        <v>0</v>
      </c>
      <c r="R30" s="190">
        <f t="shared" si="17"/>
        <v>0</v>
      </c>
      <c r="S30" s="190">
        <f t="shared" si="17"/>
        <v>0</v>
      </c>
      <c r="T30" s="190">
        <f t="shared" si="17"/>
        <v>-245504.95867768597</v>
      </c>
      <c r="U30" s="190">
        <f t="shared" si="17"/>
        <v>0</v>
      </c>
      <c r="V30" s="190">
        <f t="shared" si="17"/>
        <v>-333333.33333333331</v>
      </c>
      <c r="W30" s="190">
        <f t="shared" si="17"/>
        <v>-333333.33333333331</v>
      </c>
      <c r="X30" s="190">
        <f t="shared" si="17"/>
        <v>-333333.33333333331</v>
      </c>
      <c r="Y30" s="190">
        <f t="shared" si="17"/>
        <v>-333333.33333333331</v>
      </c>
      <c r="Z30" s="190">
        <f t="shared" si="17"/>
        <v>-333333.33333333331</v>
      </c>
      <c r="AA30" s="190">
        <f t="shared" si="17"/>
        <v>-333333.33333333331</v>
      </c>
      <c r="AB30" s="190">
        <f t="shared" si="17"/>
        <v>-333333.33333333331</v>
      </c>
      <c r="AC30" s="190">
        <f t="shared" si="17"/>
        <v>-8683029.6708333325</v>
      </c>
      <c r="AD30" s="190">
        <f t="shared" si="17"/>
        <v>-8683029.6708333325</v>
      </c>
      <c r="AE30" s="190">
        <f t="shared" si="17"/>
        <v>-8683029.6708333325</v>
      </c>
      <c r="AF30" s="190">
        <f t="shared" si="17"/>
        <v>-8683029.6708333325</v>
      </c>
      <c r="AG30" s="190">
        <f t="shared" si="17"/>
        <v>-8683029.6708333325</v>
      </c>
      <c r="AH30" s="190">
        <f t="shared" si="17"/>
        <v>-8683029.6708333325</v>
      </c>
      <c r="AI30" s="190">
        <f t="shared" si="17"/>
        <v>-8683029.6708333325</v>
      </c>
      <c r="AJ30" s="190">
        <f t="shared" si="17"/>
        <v>-8683029.6708333325</v>
      </c>
      <c r="AK30" s="190">
        <f t="shared" si="17"/>
        <v>0</v>
      </c>
      <c r="AL30" s="190">
        <f t="shared" si="17"/>
        <v>0</v>
      </c>
      <c r="AM30" s="190">
        <f t="shared" si="17"/>
        <v>0</v>
      </c>
      <c r="AN30" s="190">
        <f t="shared" si="17"/>
        <v>0</v>
      </c>
      <c r="AO30" s="190">
        <f t="shared" si="17"/>
        <v>0</v>
      </c>
      <c r="AP30" s="190">
        <f t="shared" si="17"/>
        <v>0</v>
      </c>
      <c r="AQ30" s="190">
        <f t="shared" si="17"/>
        <v>0</v>
      </c>
      <c r="AR30" s="190">
        <f t="shared" si="17"/>
        <v>0</v>
      </c>
      <c r="AS30" s="190">
        <f t="shared" si="17"/>
        <v>0</v>
      </c>
      <c r="AT30" s="190">
        <f t="shared" si="17"/>
        <v>0</v>
      </c>
      <c r="AU30" s="190">
        <f t="shared" si="17"/>
        <v>0</v>
      </c>
      <c r="AV30" s="190">
        <f t="shared" si="17"/>
        <v>0</v>
      </c>
      <c r="AW30" s="190">
        <f t="shared" si="17"/>
        <v>0</v>
      </c>
      <c r="AX30" s="190">
        <f t="shared" si="17"/>
        <v>0</v>
      </c>
      <c r="AY30" s="190">
        <f t="shared" si="17"/>
        <v>0</v>
      </c>
      <c r="AZ30" s="190">
        <f t="shared" si="17"/>
        <v>0</v>
      </c>
      <c r="BA30" s="190">
        <f t="shared" si="17"/>
        <v>0</v>
      </c>
      <c r="BB30" s="190">
        <f t="shared" si="17"/>
        <v>0</v>
      </c>
      <c r="BC30" s="190">
        <f t="shared" si="17"/>
        <v>0</v>
      </c>
      <c r="BD30" s="190">
        <f t="shared" si="17"/>
        <v>0</v>
      </c>
      <c r="BE30" s="190">
        <f t="shared" si="17"/>
        <v>0</v>
      </c>
      <c r="BF30" s="190">
        <f t="shared" si="17"/>
        <v>0</v>
      </c>
      <c r="BG30" s="190">
        <f t="shared" si="17"/>
        <v>0</v>
      </c>
      <c r="BH30" s="190">
        <f t="shared" si="17"/>
        <v>0</v>
      </c>
      <c r="BI30" s="190">
        <f t="shared" si="17"/>
        <v>0</v>
      </c>
      <c r="BJ30" s="190">
        <f t="shared" si="17"/>
        <v>0</v>
      </c>
      <c r="BK30" s="190">
        <f t="shared" si="17"/>
        <v>0</v>
      </c>
      <c r="BL30" s="190">
        <f t="shared" si="17"/>
        <v>0</v>
      </c>
      <c r="BM30" s="190">
        <f t="shared" si="17"/>
        <v>0</v>
      </c>
      <c r="BN30" s="190">
        <f t="shared" si="17"/>
        <v>0</v>
      </c>
      <c r="BO30" s="190">
        <f t="shared" si="17"/>
        <v>0</v>
      </c>
      <c r="BP30" s="190">
        <f t="shared" si="17"/>
        <v>0</v>
      </c>
      <c r="BQ30" s="190">
        <f t="shared" si="17"/>
        <v>0</v>
      </c>
      <c r="BR30" s="190">
        <f t="shared" si="17"/>
        <v>0</v>
      </c>
      <c r="BS30" s="190">
        <f t="shared" si="17"/>
        <v>0</v>
      </c>
      <c r="BT30" s="190">
        <f t="shared" si="17"/>
        <v>0</v>
      </c>
      <c r="BU30" s="190">
        <f t="shared" si="17"/>
        <v>0</v>
      </c>
      <c r="BV30" s="190">
        <f t="shared" si="17"/>
        <v>0</v>
      </c>
      <c r="BW30" s="190">
        <f t="shared" si="17"/>
        <v>0</v>
      </c>
      <c r="BX30" s="190">
        <f t="shared" si="17"/>
        <v>0</v>
      </c>
      <c r="BY30" s="192">
        <f>SUM(BY31:BY36)</f>
        <v>-72043075.658677682</v>
      </c>
      <c r="BZ30" s="468"/>
      <c r="CA30" s="168"/>
      <c r="CB30" s="192" t="e">
        <f t="array" ref="CB30">SUM(INDEX(E30:BX30, , 1):INDEX(E30:BX30, ,MATCH($CB$4, $E$3:$BX$3,0) ))</f>
        <v>#N/A</v>
      </c>
      <c r="CC30" s="468"/>
    </row>
    <row r="31" spans="2:81" ht="16" hidden="1" outlineLevel="1" x14ac:dyDescent="0.2">
      <c r="B31" s="485"/>
      <c r="C31" s="193" t="str">
        <f>Businessplan_prodej!B40</f>
        <v>Shell &amp; Core</v>
      </c>
      <c r="D31" s="194" t="s">
        <v>218</v>
      </c>
      <c r="E31" s="195"/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95"/>
      <c r="R31" s="195"/>
      <c r="S31" s="195"/>
      <c r="T31" s="195"/>
      <c r="U31" s="195"/>
      <c r="V31" s="195"/>
      <c r="W31" s="195"/>
      <c r="X31" s="195"/>
      <c r="Y31" s="195"/>
      <c r="Z31" s="195"/>
      <c r="AA31" s="195"/>
      <c r="AB31" s="195"/>
      <c r="AC31" s="195">
        <f>-Businessplan_prodej!$F$40/8</f>
        <v>-4578797.5</v>
      </c>
      <c r="AD31" s="195">
        <f>-Businessplan_prodej!$F$40/8</f>
        <v>-4578797.5</v>
      </c>
      <c r="AE31" s="195">
        <f>-Businessplan_prodej!$F$40/8</f>
        <v>-4578797.5</v>
      </c>
      <c r="AF31" s="195">
        <f>-Businessplan_prodej!$F$40/8</f>
        <v>-4578797.5</v>
      </c>
      <c r="AG31" s="195">
        <f>-Businessplan_prodej!$F$40/8</f>
        <v>-4578797.5</v>
      </c>
      <c r="AH31" s="195">
        <f>-Businessplan_prodej!$F$40/8</f>
        <v>-4578797.5</v>
      </c>
      <c r="AI31" s="195">
        <f>-Businessplan_prodej!$F$40/8</f>
        <v>-4578797.5</v>
      </c>
      <c r="AJ31" s="195">
        <f>-Businessplan_prodej!$F$40/8</f>
        <v>-4578797.5</v>
      </c>
      <c r="AK31" s="195"/>
      <c r="AL31" s="195"/>
      <c r="AM31" s="195"/>
      <c r="AN31" s="195"/>
      <c r="AO31" s="195"/>
      <c r="AP31" s="195"/>
      <c r="AQ31" s="195"/>
      <c r="AR31" s="195"/>
      <c r="AS31" s="195"/>
      <c r="AT31" s="195"/>
      <c r="AU31" s="195"/>
      <c r="AV31" s="195"/>
      <c r="AW31" s="195"/>
      <c r="AX31" s="195"/>
      <c r="AY31" s="195"/>
      <c r="AZ31" s="195"/>
      <c r="BA31" s="195"/>
      <c r="BB31" s="195"/>
      <c r="BC31" s="195"/>
      <c r="BD31" s="195"/>
      <c r="BE31" s="195"/>
      <c r="BF31" s="195"/>
      <c r="BG31" s="195"/>
      <c r="BH31" s="195"/>
      <c r="BI31" s="195"/>
      <c r="BJ31" s="195"/>
      <c r="BK31" s="195"/>
      <c r="BL31" s="195"/>
      <c r="BM31" s="195"/>
      <c r="BN31" s="195"/>
      <c r="BO31" s="195"/>
      <c r="BP31" s="195"/>
      <c r="BQ31" s="195"/>
      <c r="BR31" s="195"/>
      <c r="BS31" s="195"/>
      <c r="BT31" s="195"/>
      <c r="BU31" s="195"/>
      <c r="BV31" s="195"/>
      <c r="BW31" s="195"/>
      <c r="BX31" s="200"/>
      <c r="BY31" s="201">
        <f t="shared" ref="BY31:BY36" si="18">SUM(E31:BX31)</f>
        <v>-36630380</v>
      </c>
      <c r="BZ31" s="468"/>
      <c r="CA31" s="168"/>
      <c r="CB31" s="192"/>
      <c r="CC31" s="468"/>
    </row>
    <row r="32" spans="2:81" ht="16" hidden="1" outlineLevel="1" x14ac:dyDescent="0.2">
      <c r="B32" s="485"/>
      <c r="C32" s="193" t="str">
        <f>Businessplan_prodej!B50</f>
        <v>Full Fit-out</v>
      </c>
      <c r="D32" s="194" t="s">
        <v>218</v>
      </c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>
        <f>-Businessplan_prodej!$F$50/8</f>
        <v>-661887.5</v>
      </c>
      <c r="AD32" s="195">
        <f>-Businessplan_prodej!$F$50/8</f>
        <v>-661887.5</v>
      </c>
      <c r="AE32" s="195">
        <f>-Businessplan_prodej!$F$50/8</f>
        <v>-661887.5</v>
      </c>
      <c r="AF32" s="195">
        <f>-Businessplan_prodej!$F$50/8</f>
        <v>-661887.5</v>
      </c>
      <c r="AG32" s="195">
        <f>-Businessplan_prodej!$F$50/8</f>
        <v>-661887.5</v>
      </c>
      <c r="AH32" s="195">
        <f>-Businessplan_prodej!$F$50/8</f>
        <v>-661887.5</v>
      </c>
      <c r="AI32" s="195">
        <f>-Businessplan_prodej!$F$50/8</f>
        <v>-661887.5</v>
      </c>
      <c r="AJ32" s="195">
        <f>-Businessplan_prodej!$F$50/8</f>
        <v>-661887.5</v>
      </c>
      <c r="AK32" s="195"/>
      <c r="AL32" s="195"/>
      <c r="AM32" s="195"/>
      <c r="AN32" s="195"/>
      <c r="AO32" s="195"/>
      <c r="AP32" s="195"/>
      <c r="AQ32" s="195"/>
      <c r="AR32" s="195"/>
      <c r="AS32" s="195"/>
      <c r="AT32" s="195"/>
      <c r="AU32" s="195"/>
      <c r="AV32" s="195"/>
      <c r="AW32" s="195"/>
      <c r="AX32" s="195"/>
      <c r="AY32" s="195"/>
      <c r="AZ32" s="195"/>
      <c r="BA32" s="195"/>
      <c r="BB32" s="195"/>
      <c r="BC32" s="195"/>
      <c r="BD32" s="195"/>
      <c r="BE32" s="195"/>
      <c r="BF32" s="195"/>
      <c r="BG32" s="195"/>
      <c r="BH32" s="195"/>
      <c r="BI32" s="195"/>
      <c r="BJ32" s="195"/>
      <c r="BK32" s="195"/>
      <c r="BL32" s="195"/>
      <c r="BM32" s="195"/>
      <c r="BN32" s="195"/>
      <c r="BO32" s="195"/>
      <c r="BP32" s="195"/>
      <c r="BQ32" s="195"/>
      <c r="BR32" s="195"/>
      <c r="BS32" s="195"/>
      <c r="BT32" s="195"/>
      <c r="BU32" s="195"/>
      <c r="BV32" s="195"/>
      <c r="BW32" s="195"/>
      <c r="BX32" s="200"/>
      <c r="BY32" s="201">
        <f t="shared" si="18"/>
        <v>-5295100</v>
      </c>
      <c r="BZ32" s="468"/>
      <c r="CA32" s="168"/>
      <c r="CB32" s="192"/>
      <c r="CC32" s="468"/>
    </row>
    <row r="33" spans="2:81" ht="16" hidden="1" outlineLevel="1" x14ac:dyDescent="0.2">
      <c r="B33" s="485"/>
      <c r="C33" s="193" t="str">
        <f>Businessplan_prodej!B60</f>
        <v>Komunikace</v>
      </c>
      <c r="D33" s="194" t="s">
        <v>218</v>
      </c>
      <c r="E33" s="195"/>
      <c r="F33" s="195"/>
      <c r="G33" s="195"/>
      <c r="H33" s="195"/>
      <c r="I33" s="195"/>
      <c r="J33" s="195"/>
      <c r="K33" s="195"/>
      <c r="L33" s="195"/>
      <c r="M33" s="195"/>
      <c r="N33" s="195"/>
      <c r="O33" s="195"/>
      <c r="P33" s="195"/>
      <c r="Q33" s="195"/>
      <c r="R33" s="195"/>
      <c r="S33" s="195"/>
      <c r="T33" s="195"/>
      <c r="U33" s="195"/>
      <c r="V33" s="195"/>
      <c r="W33" s="195"/>
      <c r="X33" s="195"/>
      <c r="Y33" s="195"/>
      <c r="Z33" s="195"/>
      <c r="AA33" s="195"/>
      <c r="AB33" s="195"/>
      <c r="AC33" s="195">
        <f>-Businessplan_prodej!$F$60/8</f>
        <v>-2711406.75</v>
      </c>
      <c r="AD33" s="195">
        <f>-Businessplan_prodej!$F$60/8</f>
        <v>-2711406.75</v>
      </c>
      <c r="AE33" s="195">
        <f>-Businessplan_prodej!$F$60/8</f>
        <v>-2711406.75</v>
      </c>
      <c r="AF33" s="195">
        <f>-Businessplan_prodej!$F$60/8</f>
        <v>-2711406.75</v>
      </c>
      <c r="AG33" s="195">
        <f>-Businessplan_prodej!$F$60/8</f>
        <v>-2711406.75</v>
      </c>
      <c r="AH33" s="195">
        <f>-Businessplan_prodej!$F$60/8</f>
        <v>-2711406.75</v>
      </c>
      <c r="AI33" s="195">
        <f>-Businessplan_prodej!$F$60/8</f>
        <v>-2711406.75</v>
      </c>
      <c r="AJ33" s="195">
        <f>-Businessplan_prodej!$F$60/8</f>
        <v>-2711406.75</v>
      </c>
      <c r="AK33" s="195"/>
      <c r="AL33" s="195"/>
      <c r="AM33" s="195"/>
      <c r="AN33" s="195"/>
      <c r="AO33" s="195"/>
      <c r="AP33" s="195"/>
      <c r="AQ33" s="195"/>
      <c r="AR33" s="195"/>
      <c r="AS33" s="195"/>
      <c r="AT33" s="195"/>
      <c r="AU33" s="195"/>
      <c r="AV33" s="195"/>
      <c r="AW33" s="195"/>
      <c r="AX33" s="195"/>
      <c r="AY33" s="195"/>
      <c r="AZ33" s="195"/>
      <c r="BA33" s="195"/>
      <c r="BB33" s="195"/>
      <c r="BC33" s="195"/>
      <c r="BD33" s="195"/>
      <c r="BE33" s="195"/>
      <c r="BF33" s="195"/>
      <c r="BG33" s="195"/>
      <c r="BH33" s="195"/>
      <c r="BI33" s="195"/>
      <c r="BJ33" s="195"/>
      <c r="BK33" s="195"/>
      <c r="BL33" s="195"/>
      <c r="BM33" s="195"/>
      <c r="BN33" s="195"/>
      <c r="BO33" s="195"/>
      <c r="BP33" s="195"/>
      <c r="BQ33" s="195"/>
      <c r="BR33" s="195"/>
      <c r="BS33" s="195"/>
      <c r="BT33" s="195"/>
      <c r="BU33" s="195"/>
      <c r="BV33" s="195"/>
      <c r="BW33" s="195"/>
      <c r="BX33" s="200"/>
      <c r="BY33" s="201">
        <f t="shared" si="18"/>
        <v>-21691254</v>
      </c>
      <c r="BZ33" s="468"/>
      <c r="CA33" s="168"/>
      <c r="CB33" s="192" t="e">
        <f t="shared" ref="CB33:CB36" si="19">SUM(INDEX(AC33:BX33, , 1):INDEX(AC33:BX33, ,MATCH(#REF!, $E$3:$BX$3,0) ))</f>
        <v>#REF!</v>
      </c>
      <c r="CC33" s="468"/>
    </row>
    <row r="34" spans="2:81" ht="16" hidden="1" outlineLevel="1" x14ac:dyDescent="0.2">
      <c r="B34" s="485"/>
      <c r="C34" s="193" t="str">
        <f>Businessplan_prodej!B61</f>
        <v>Vynucené investice</v>
      </c>
      <c r="D34" s="194" t="s">
        <v>218</v>
      </c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  <c r="V34" s="195">
        <f>-Businessplan_prodej!$F$61/15</f>
        <v>-333333.33333333331</v>
      </c>
      <c r="W34" s="195">
        <f>-Businessplan_prodej!$F$61/15</f>
        <v>-333333.33333333331</v>
      </c>
      <c r="X34" s="195">
        <f>-Businessplan_prodej!$F$61/15</f>
        <v>-333333.33333333331</v>
      </c>
      <c r="Y34" s="195">
        <f>-Businessplan_prodej!$F$61/15</f>
        <v>-333333.33333333331</v>
      </c>
      <c r="Z34" s="195">
        <f>-Businessplan_prodej!$F$61/15</f>
        <v>-333333.33333333331</v>
      </c>
      <c r="AA34" s="195">
        <f>-Businessplan_prodej!$F$61/15</f>
        <v>-333333.33333333331</v>
      </c>
      <c r="AB34" s="195">
        <f>-Businessplan_prodej!$F$61/15</f>
        <v>-333333.33333333331</v>
      </c>
      <c r="AC34" s="195">
        <f>-Businessplan_prodej!$F$61/15</f>
        <v>-333333.33333333331</v>
      </c>
      <c r="AD34" s="195">
        <f>-Businessplan_prodej!$F$61/15</f>
        <v>-333333.33333333331</v>
      </c>
      <c r="AE34" s="195">
        <f>-Businessplan_prodej!$F$61/15</f>
        <v>-333333.33333333331</v>
      </c>
      <c r="AF34" s="195">
        <f>-Businessplan_prodej!$F$61/15</f>
        <v>-333333.33333333331</v>
      </c>
      <c r="AG34" s="195">
        <f>-Businessplan_prodej!$F$61/15</f>
        <v>-333333.33333333331</v>
      </c>
      <c r="AH34" s="195">
        <f>-Businessplan_prodej!$F$61/15</f>
        <v>-333333.33333333331</v>
      </c>
      <c r="AI34" s="195">
        <f>-Businessplan_prodej!$F$61/15</f>
        <v>-333333.33333333331</v>
      </c>
      <c r="AJ34" s="195">
        <f>-Businessplan_prodej!$F$61/15</f>
        <v>-333333.33333333331</v>
      </c>
      <c r="AK34" s="195"/>
      <c r="AL34" s="195"/>
      <c r="AM34" s="195"/>
      <c r="AN34" s="195"/>
      <c r="AO34" s="195"/>
      <c r="AP34" s="195"/>
      <c r="AQ34" s="195"/>
      <c r="AR34" s="195"/>
      <c r="AS34" s="195"/>
      <c r="AT34" s="195"/>
      <c r="AU34" s="195"/>
      <c r="AV34" s="195"/>
      <c r="AW34" s="195"/>
      <c r="AX34" s="195"/>
      <c r="AY34" s="195"/>
      <c r="AZ34" s="195"/>
      <c r="BA34" s="195"/>
      <c r="BB34" s="195"/>
      <c r="BC34" s="195"/>
      <c r="BD34" s="195"/>
      <c r="BE34" s="195"/>
      <c r="BF34" s="195"/>
      <c r="BG34" s="195"/>
      <c r="BH34" s="195"/>
      <c r="BI34" s="195"/>
      <c r="BJ34" s="195"/>
      <c r="BK34" s="195"/>
      <c r="BL34" s="195"/>
      <c r="BM34" s="195"/>
      <c r="BN34" s="195"/>
      <c r="BO34" s="195"/>
      <c r="BP34" s="195"/>
      <c r="BQ34" s="195"/>
      <c r="BR34" s="195"/>
      <c r="BS34" s="195"/>
      <c r="BT34" s="195"/>
      <c r="BU34" s="195"/>
      <c r="BV34" s="195"/>
      <c r="BW34" s="195"/>
      <c r="BX34" s="200"/>
      <c r="BY34" s="201">
        <f t="shared" si="18"/>
        <v>-5000000</v>
      </c>
      <c r="BZ34" s="468"/>
      <c r="CA34" s="168"/>
      <c r="CB34" s="192" t="e">
        <f t="shared" si="19"/>
        <v>#REF!</v>
      </c>
      <c r="CC34" s="468"/>
    </row>
    <row r="35" spans="2:81" ht="16" hidden="1" outlineLevel="1" x14ac:dyDescent="0.2">
      <c r="B35" s="485"/>
      <c r="C35" s="193" t="s">
        <v>236</v>
      </c>
      <c r="D35" s="194" t="s">
        <v>218</v>
      </c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>
        <f>-297061/1.21</f>
        <v>-245504.95867768597</v>
      </c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  <c r="AG35" s="195"/>
      <c r="AH35" s="195"/>
      <c r="AI35" s="195"/>
      <c r="AJ35" s="195"/>
      <c r="AK35" s="195"/>
      <c r="AL35" s="195"/>
      <c r="AM35" s="195"/>
      <c r="AN35" s="195"/>
      <c r="AO35" s="195"/>
      <c r="AP35" s="195"/>
      <c r="AQ35" s="195"/>
      <c r="AR35" s="195"/>
      <c r="AS35" s="195"/>
      <c r="AT35" s="195"/>
      <c r="AU35" s="195"/>
      <c r="AV35" s="195"/>
      <c r="AW35" s="195"/>
      <c r="AX35" s="195"/>
      <c r="AY35" s="195"/>
      <c r="AZ35" s="195"/>
      <c r="BA35" s="195"/>
      <c r="BB35" s="195"/>
      <c r="BC35" s="195"/>
      <c r="BD35" s="195"/>
      <c r="BE35" s="195"/>
      <c r="BF35" s="195"/>
      <c r="BG35" s="195"/>
      <c r="BH35" s="195"/>
      <c r="BI35" s="195"/>
      <c r="BJ35" s="195"/>
      <c r="BK35" s="195"/>
      <c r="BL35" s="195"/>
      <c r="BM35" s="195"/>
      <c r="BN35" s="195"/>
      <c r="BO35" s="195"/>
      <c r="BP35" s="195"/>
      <c r="BQ35" s="195"/>
      <c r="BR35" s="195"/>
      <c r="BS35" s="195"/>
      <c r="BT35" s="195"/>
      <c r="BU35" s="195"/>
      <c r="BV35" s="195"/>
      <c r="BW35" s="195"/>
      <c r="BX35" s="200"/>
      <c r="BY35" s="201">
        <f t="shared" si="18"/>
        <v>-245504.95867768597</v>
      </c>
      <c r="BZ35" s="468"/>
      <c r="CA35" s="168"/>
      <c r="CB35" s="192" t="e">
        <f t="shared" si="19"/>
        <v>#REF!</v>
      </c>
      <c r="CC35" s="468"/>
    </row>
    <row r="36" spans="2:81" ht="16" hidden="1" outlineLevel="1" x14ac:dyDescent="0.2">
      <c r="B36" s="485"/>
      <c r="C36" s="193" t="s">
        <v>237</v>
      </c>
      <c r="D36" s="197" t="s">
        <v>218</v>
      </c>
      <c r="E36" s="195"/>
      <c r="F36" s="195"/>
      <c r="G36" s="195"/>
      <c r="H36" s="195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>
        <f>-Businessplan_prodej!$F$64/8</f>
        <v>-397604.58750000002</v>
      </c>
      <c r="AD36" s="195">
        <f>-Businessplan_prodej!$F$64/8</f>
        <v>-397604.58750000002</v>
      </c>
      <c r="AE36" s="195">
        <f>-Businessplan_prodej!$F$64/8</f>
        <v>-397604.58750000002</v>
      </c>
      <c r="AF36" s="195">
        <f>-Businessplan_prodej!$F$64/8</f>
        <v>-397604.58750000002</v>
      </c>
      <c r="AG36" s="195">
        <f>-Businessplan_prodej!$F$64/8</f>
        <v>-397604.58750000002</v>
      </c>
      <c r="AH36" s="195">
        <f>-Businessplan_prodej!$F$64/8</f>
        <v>-397604.58750000002</v>
      </c>
      <c r="AI36" s="195">
        <f>-Businessplan_prodej!$F$64/8</f>
        <v>-397604.58750000002</v>
      </c>
      <c r="AJ36" s="195">
        <f>-Businessplan_prodej!$F$64/8</f>
        <v>-397604.58750000002</v>
      </c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195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195"/>
      <c r="BK36" s="195"/>
      <c r="BL36" s="195"/>
      <c r="BM36" s="195"/>
      <c r="BN36" s="195"/>
      <c r="BO36" s="195"/>
      <c r="BP36" s="195"/>
      <c r="BQ36" s="195"/>
      <c r="BR36" s="195"/>
      <c r="BS36" s="195"/>
      <c r="BT36" s="195"/>
      <c r="BU36" s="195"/>
      <c r="BV36" s="195"/>
      <c r="BW36" s="195"/>
      <c r="BX36" s="200"/>
      <c r="BY36" s="202">
        <f t="shared" si="18"/>
        <v>-3180836.6999999997</v>
      </c>
      <c r="BZ36" s="468"/>
      <c r="CA36" s="168"/>
      <c r="CB36" s="192" t="e">
        <f t="shared" si="19"/>
        <v>#REF!</v>
      </c>
      <c r="CC36" s="468"/>
    </row>
    <row r="37" spans="2:81" ht="16" collapsed="1" x14ac:dyDescent="0.2">
      <c r="B37" s="485"/>
      <c r="C37" s="188" t="s">
        <v>238</v>
      </c>
      <c r="D37" s="189"/>
      <c r="E37" s="190">
        <f t="shared" ref="E37:AJ37" si="20">SUM(E38,E39,E40:E45)</f>
        <v>0</v>
      </c>
      <c r="F37" s="190">
        <f t="shared" si="20"/>
        <v>0</v>
      </c>
      <c r="G37" s="190">
        <f t="shared" si="20"/>
        <v>0</v>
      </c>
      <c r="H37" s="190">
        <f t="shared" si="20"/>
        <v>0</v>
      </c>
      <c r="I37" s="190">
        <f t="shared" si="20"/>
        <v>0</v>
      </c>
      <c r="J37" s="190">
        <f t="shared" si="20"/>
        <v>0</v>
      </c>
      <c r="K37" s="190">
        <f t="shared" si="20"/>
        <v>0</v>
      </c>
      <c r="L37" s="190">
        <f t="shared" si="20"/>
        <v>0</v>
      </c>
      <c r="M37" s="190">
        <f t="shared" si="20"/>
        <v>0</v>
      </c>
      <c r="N37" s="190">
        <f t="shared" si="20"/>
        <v>0</v>
      </c>
      <c r="O37" s="190">
        <f t="shared" si="20"/>
        <v>-257023.96694214875</v>
      </c>
      <c r="P37" s="190">
        <f t="shared" si="20"/>
        <v>-252928</v>
      </c>
      <c r="Q37" s="190">
        <f t="shared" si="20"/>
        <v>-256138.01652892563</v>
      </c>
      <c r="R37" s="190">
        <f t="shared" si="20"/>
        <v>-260048.76033057852</v>
      </c>
      <c r="S37" s="190">
        <f t="shared" si="20"/>
        <v>-255520</v>
      </c>
      <c r="T37" s="190">
        <f t="shared" si="20"/>
        <v>-261396.69421487604</v>
      </c>
      <c r="U37" s="190">
        <f t="shared" si="20"/>
        <v>-1847791.7339999999</v>
      </c>
      <c r="V37" s="190">
        <f t="shared" si="20"/>
        <v>-347791.734</v>
      </c>
      <c r="W37" s="190">
        <f t="shared" si="20"/>
        <v>-279175</v>
      </c>
      <c r="X37" s="190">
        <f t="shared" si="20"/>
        <v>-279175</v>
      </c>
      <c r="Y37" s="190">
        <f t="shared" si="20"/>
        <v>-710355.6399999999</v>
      </c>
      <c r="Z37" s="190">
        <f t="shared" si="20"/>
        <v>-279175</v>
      </c>
      <c r="AA37" s="190">
        <f t="shared" si="20"/>
        <v>-279175</v>
      </c>
      <c r="AB37" s="190">
        <f t="shared" si="20"/>
        <v>-279175</v>
      </c>
      <c r="AC37" s="190">
        <f t="shared" si="20"/>
        <v>-805784.83499999996</v>
      </c>
      <c r="AD37" s="190">
        <f t="shared" si="20"/>
        <v>-279175</v>
      </c>
      <c r="AE37" s="190">
        <f t="shared" si="20"/>
        <v>-279175</v>
      </c>
      <c r="AF37" s="190">
        <f t="shared" si="20"/>
        <v>-279175</v>
      </c>
      <c r="AG37" s="190">
        <f t="shared" si="20"/>
        <v>-279175</v>
      </c>
      <c r="AH37" s="190">
        <f t="shared" si="20"/>
        <v>-279175</v>
      </c>
      <c r="AI37" s="190">
        <f t="shared" si="20"/>
        <v>-279175</v>
      </c>
      <c r="AJ37" s="190">
        <f t="shared" si="20"/>
        <v>-279175</v>
      </c>
      <c r="AK37" s="190">
        <f t="shared" ref="AK37:BP37" si="21">SUM(AK38,AK39,AK40:AK45)</f>
        <v>-123500</v>
      </c>
      <c r="AL37" s="190">
        <f t="shared" si="21"/>
        <v>-226425.101</v>
      </c>
      <c r="AM37" s="190">
        <f t="shared" si="21"/>
        <v>-123500</v>
      </c>
      <c r="AN37" s="190">
        <f t="shared" si="21"/>
        <v>-1078365.3739999998</v>
      </c>
      <c r="AO37" s="190">
        <f t="shared" si="21"/>
        <v>0</v>
      </c>
      <c r="AP37" s="190">
        <f t="shared" si="21"/>
        <v>0</v>
      </c>
      <c r="AQ37" s="190">
        <f t="shared" si="21"/>
        <v>0</v>
      </c>
      <c r="AR37" s="190">
        <f t="shared" si="21"/>
        <v>0</v>
      </c>
      <c r="AS37" s="190">
        <f t="shared" si="21"/>
        <v>0</v>
      </c>
      <c r="AT37" s="190">
        <f t="shared" si="21"/>
        <v>0</v>
      </c>
      <c r="AU37" s="190">
        <f t="shared" si="21"/>
        <v>0</v>
      </c>
      <c r="AV37" s="190">
        <f t="shared" si="21"/>
        <v>0</v>
      </c>
      <c r="AW37" s="190">
        <f t="shared" si="21"/>
        <v>0</v>
      </c>
      <c r="AX37" s="190">
        <f t="shared" si="21"/>
        <v>0</v>
      </c>
      <c r="AY37" s="190">
        <f t="shared" si="21"/>
        <v>0</v>
      </c>
      <c r="AZ37" s="190">
        <f t="shared" si="21"/>
        <v>0</v>
      </c>
      <c r="BA37" s="190">
        <f t="shared" si="21"/>
        <v>0</v>
      </c>
      <c r="BB37" s="190">
        <f t="shared" si="21"/>
        <v>0</v>
      </c>
      <c r="BC37" s="190">
        <f t="shared" si="21"/>
        <v>0</v>
      </c>
      <c r="BD37" s="190">
        <f t="shared" si="21"/>
        <v>0</v>
      </c>
      <c r="BE37" s="190">
        <f t="shared" si="21"/>
        <v>0</v>
      </c>
      <c r="BF37" s="190">
        <f t="shared" si="21"/>
        <v>0</v>
      </c>
      <c r="BG37" s="190">
        <f t="shared" si="21"/>
        <v>0</v>
      </c>
      <c r="BH37" s="190">
        <f t="shared" si="21"/>
        <v>0</v>
      </c>
      <c r="BI37" s="190">
        <f t="shared" si="21"/>
        <v>0</v>
      </c>
      <c r="BJ37" s="190">
        <f t="shared" si="21"/>
        <v>0</v>
      </c>
      <c r="BK37" s="190">
        <f t="shared" si="21"/>
        <v>0</v>
      </c>
      <c r="BL37" s="190">
        <f t="shared" si="21"/>
        <v>0</v>
      </c>
      <c r="BM37" s="190">
        <f t="shared" si="21"/>
        <v>0</v>
      </c>
      <c r="BN37" s="190">
        <f t="shared" si="21"/>
        <v>0</v>
      </c>
      <c r="BO37" s="190">
        <f t="shared" si="21"/>
        <v>0</v>
      </c>
      <c r="BP37" s="190">
        <f t="shared" si="21"/>
        <v>0</v>
      </c>
      <c r="BQ37" s="190">
        <f t="shared" ref="BQ37:BY37" si="22">SUM(BQ38,BQ39,BQ40:BQ45)</f>
        <v>0</v>
      </c>
      <c r="BR37" s="190">
        <f t="shared" si="22"/>
        <v>0</v>
      </c>
      <c r="BS37" s="190">
        <f t="shared" si="22"/>
        <v>0</v>
      </c>
      <c r="BT37" s="190">
        <f t="shared" si="22"/>
        <v>0</v>
      </c>
      <c r="BU37" s="190">
        <f t="shared" si="22"/>
        <v>0</v>
      </c>
      <c r="BV37" s="190">
        <f t="shared" si="22"/>
        <v>0</v>
      </c>
      <c r="BW37" s="190">
        <f t="shared" si="22"/>
        <v>0</v>
      </c>
      <c r="BX37" s="190">
        <f t="shared" si="22"/>
        <v>0</v>
      </c>
      <c r="BY37" s="192">
        <f t="shared" si="22"/>
        <v>-10156669.856016528</v>
      </c>
      <c r="BZ37" s="468"/>
      <c r="CA37" s="168"/>
      <c r="CB37" s="192" t="e">
        <f t="array" ref="CB37">SUM(INDEX(E37:BX37, , 1):INDEX(E37:BX37, ,MATCH($CB$4, $E$3:$BX$3,0) ))</f>
        <v>#N/A</v>
      </c>
      <c r="CC37" s="468"/>
    </row>
    <row r="38" spans="2:81" ht="16" hidden="1" outlineLevel="1" x14ac:dyDescent="0.2">
      <c r="B38" s="485"/>
      <c r="C38" s="203" t="str">
        <f>Businessplan_prodej!B72</f>
        <v>Land Development (LDS)</v>
      </c>
      <c r="D38" s="194" t="s">
        <v>218</v>
      </c>
      <c r="E38" s="198"/>
      <c r="F38" s="198"/>
      <c r="G38" s="198"/>
      <c r="H38" s="198"/>
      <c r="I38" s="198"/>
      <c r="J38" s="198"/>
      <c r="K38" s="198"/>
      <c r="L38" s="198"/>
      <c r="M38" s="198"/>
      <c r="N38" s="198"/>
      <c r="O38" s="198">
        <f t="shared" ref="O38:T38" si="23">-250000</f>
        <v>-250000</v>
      </c>
      <c r="P38" s="198">
        <f t="shared" si="23"/>
        <v>-250000</v>
      </c>
      <c r="Q38" s="198">
        <f t="shared" si="23"/>
        <v>-250000</v>
      </c>
      <c r="R38" s="198">
        <f t="shared" si="23"/>
        <v>-250000</v>
      </c>
      <c r="S38" s="198">
        <f t="shared" si="23"/>
        <v>-250000</v>
      </c>
      <c r="T38" s="198">
        <f t="shared" si="23"/>
        <v>-250000</v>
      </c>
      <c r="U38" s="198">
        <f>-250000*6</f>
        <v>-1500000</v>
      </c>
      <c r="V38" s="198"/>
      <c r="W38" s="198"/>
      <c r="X38" s="198"/>
      <c r="Y38" s="198"/>
      <c r="Z38" s="198"/>
      <c r="AA38" s="198"/>
      <c r="AB38" s="198"/>
      <c r="AC38" s="198"/>
      <c r="AD38" s="198"/>
      <c r="AE38" s="198"/>
      <c r="AF38" s="198"/>
      <c r="AG38" s="198"/>
      <c r="AH38" s="198"/>
      <c r="AI38" s="198"/>
      <c r="AJ38" s="198"/>
      <c r="AK38" s="198"/>
      <c r="AL38" s="198"/>
      <c r="AM38" s="198"/>
      <c r="AN38" s="198"/>
      <c r="AO38" s="198"/>
      <c r="AP38" s="198"/>
      <c r="AQ38" s="198"/>
      <c r="AR38" s="198"/>
      <c r="AS38" s="198"/>
      <c r="AT38" s="198"/>
      <c r="AU38" s="198"/>
      <c r="AV38" s="198"/>
      <c r="AW38" s="198"/>
      <c r="AX38" s="198"/>
      <c r="AY38" s="198"/>
      <c r="AZ38" s="198"/>
      <c r="BA38" s="198"/>
      <c r="BB38" s="198"/>
      <c r="BC38" s="198"/>
      <c r="BD38" s="198"/>
      <c r="BE38" s="198"/>
      <c r="BF38" s="198"/>
      <c r="BG38" s="198"/>
      <c r="BH38" s="198"/>
      <c r="BI38" s="198"/>
      <c r="BJ38" s="198"/>
      <c r="BK38" s="198"/>
      <c r="BL38" s="198"/>
      <c r="BM38" s="198"/>
      <c r="BN38" s="198"/>
      <c r="BO38" s="198"/>
      <c r="BP38" s="198"/>
      <c r="BQ38" s="198"/>
      <c r="BR38" s="198"/>
      <c r="BS38" s="198"/>
      <c r="BT38" s="198"/>
      <c r="BU38" s="198"/>
      <c r="BV38" s="198"/>
      <c r="BW38" s="198"/>
      <c r="BX38" s="204"/>
      <c r="BY38" s="205">
        <f t="shared" ref="BY38:BY45" si="24">SUM(E38:BX38)</f>
        <v>-3000000</v>
      </c>
      <c r="BZ38" s="468"/>
      <c r="CA38" s="168"/>
      <c r="CB38" s="192" t="e">
        <f>SUM(INDEX(AC38:BX38, , 1):INDEX(AC38:BX38, ,MATCH(#REF!, $E$3:$BX$3,0) ))</f>
        <v>#REF!</v>
      </c>
      <c r="CC38" s="468"/>
    </row>
    <row r="39" spans="2:81" ht="16" hidden="1" outlineLevel="1" x14ac:dyDescent="0.2">
      <c r="B39" s="485"/>
      <c r="C39" s="203" t="s">
        <v>239</v>
      </c>
      <c r="D39" s="194" t="s">
        <v>218</v>
      </c>
      <c r="E39" s="206"/>
      <c r="F39" s="206"/>
      <c r="G39" s="206"/>
      <c r="H39" s="206"/>
      <c r="I39" s="206"/>
      <c r="J39" s="206"/>
      <c r="K39" s="206"/>
      <c r="L39" s="206"/>
      <c r="M39" s="206"/>
      <c r="N39" s="206"/>
      <c r="O39" s="206"/>
      <c r="P39" s="206"/>
      <c r="Q39" s="206"/>
      <c r="R39" s="206"/>
      <c r="S39" s="206"/>
      <c r="T39" s="206"/>
      <c r="U39" s="206">
        <f t="shared" ref="U39:AM39" si="25">-100000</f>
        <v>-100000</v>
      </c>
      <c r="V39" s="206">
        <f t="shared" si="25"/>
        <v>-100000</v>
      </c>
      <c r="W39" s="206">
        <f t="shared" si="25"/>
        <v>-100000</v>
      </c>
      <c r="X39" s="206">
        <f t="shared" si="25"/>
        <v>-100000</v>
      </c>
      <c r="Y39" s="206">
        <f t="shared" si="25"/>
        <v>-100000</v>
      </c>
      <c r="Z39" s="206">
        <f t="shared" si="25"/>
        <v>-100000</v>
      </c>
      <c r="AA39" s="206">
        <f t="shared" si="25"/>
        <v>-100000</v>
      </c>
      <c r="AB39" s="206">
        <f t="shared" si="25"/>
        <v>-100000</v>
      </c>
      <c r="AC39" s="206">
        <f t="shared" si="25"/>
        <v>-100000</v>
      </c>
      <c r="AD39" s="206">
        <f t="shared" si="25"/>
        <v>-100000</v>
      </c>
      <c r="AE39" s="206">
        <f t="shared" si="25"/>
        <v>-100000</v>
      </c>
      <c r="AF39" s="206">
        <f t="shared" si="25"/>
        <v>-100000</v>
      </c>
      <c r="AG39" s="206">
        <f t="shared" si="25"/>
        <v>-100000</v>
      </c>
      <c r="AH39" s="206">
        <f t="shared" si="25"/>
        <v>-100000</v>
      </c>
      <c r="AI39" s="206">
        <f t="shared" si="25"/>
        <v>-100000</v>
      </c>
      <c r="AJ39" s="206">
        <f t="shared" si="25"/>
        <v>-100000</v>
      </c>
      <c r="AK39" s="206">
        <f t="shared" si="25"/>
        <v>-100000</v>
      </c>
      <c r="AL39" s="206">
        <f t="shared" si="25"/>
        <v>-100000</v>
      </c>
      <c r="AM39" s="206">
        <f t="shared" si="25"/>
        <v>-100000</v>
      </c>
      <c r="AN39" s="206">
        <f>-100000*2</f>
        <v>-200000</v>
      </c>
      <c r="AO39" s="206"/>
      <c r="AP39" s="206"/>
      <c r="AQ39" s="206"/>
      <c r="AR39" s="206"/>
      <c r="AS39" s="206"/>
      <c r="AT39" s="206"/>
      <c r="AU39" s="206"/>
      <c r="AV39" s="206"/>
      <c r="AW39" s="206"/>
      <c r="AX39" s="206"/>
      <c r="AY39" s="206"/>
      <c r="AZ39" s="206"/>
      <c r="BA39" s="206"/>
      <c r="BB39" s="206"/>
      <c r="BC39" s="206"/>
      <c r="BD39" s="206"/>
      <c r="BE39" s="206"/>
      <c r="BF39" s="206"/>
      <c r="BG39" s="206"/>
      <c r="BH39" s="206"/>
      <c r="BI39" s="206"/>
      <c r="BJ39" s="206"/>
      <c r="BK39" s="206"/>
      <c r="BL39" s="206"/>
      <c r="BM39" s="206"/>
      <c r="BN39" s="206"/>
      <c r="BO39" s="206"/>
      <c r="BP39" s="206"/>
      <c r="BQ39" s="206"/>
      <c r="BR39" s="206"/>
      <c r="BS39" s="206"/>
      <c r="BT39" s="206"/>
      <c r="BU39" s="206"/>
      <c r="BV39" s="206"/>
      <c r="BW39" s="206"/>
      <c r="BX39" s="206"/>
      <c r="BY39" s="201">
        <f t="shared" si="24"/>
        <v>-2100000</v>
      </c>
      <c r="BZ39" s="468"/>
      <c r="CA39" s="168"/>
      <c r="CB39" s="192" t="e">
        <f>SUM(INDEX(AC39:BX39, , 1):INDEX(AC39:BX39, ,MATCH(#REF!, $E$3:$BX$3,0) ))</f>
        <v>#REF!</v>
      </c>
      <c r="CC39" s="468"/>
    </row>
    <row r="40" spans="2:81" ht="16" hidden="1" outlineLevel="1" x14ac:dyDescent="0.2">
      <c r="B40" s="485"/>
      <c r="C40" s="203" t="s">
        <v>240</v>
      </c>
      <c r="D40" s="194" t="s">
        <v>218</v>
      </c>
      <c r="E40" s="206"/>
      <c r="F40" s="206"/>
      <c r="G40" s="206"/>
      <c r="H40" s="206"/>
      <c r="I40" s="206"/>
      <c r="J40" s="206"/>
      <c r="K40" s="206"/>
      <c r="L40" s="206"/>
      <c r="M40" s="206"/>
      <c r="N40" s="206"/>
      <c r="O40" s="206"/>
      <c r="P40" s="206"/>
      <c r="Q40" s="206"/>
      <c r="R40" s="206"/>
      <c r="S40" s="206"/>
      <c r="T40" s="206"/>
      <c r="U40" s="206">
        <f>-Businessplan_prodej!$F$74/20</f>
        <v>-155675</v>
      </c>
      <c r="V40" s="206">
        <f>-Businessplan_prodej!$F$74/20</f>
        <v>-155675</v>
      </c>
      <c r="W40" s="206">
        <f>-Businessplan_prodej!$F$74/20</f>
        <v>-155675</v>
      </c>
      <c r="X40" s="206">
        <f>-Businessplan_prodej!$F$74/20</f>
        <v>-155675</v>
      </c>
      <c r="Y40" s="206">
        <f>-Businessplan_prodej!$F$74/20</f>
        <v>-155675</v>
      </c>
      <c r="Z40" s="206">
        <f>-Businessplan_prodej!$F$74/20</f>
        <v>-155675</v>
      </c>
      <c r="AA40" s="206">
        <f>-Businessplan_prodej!$F$74/20</f>
        <v>-155675</v>
      </c>
      <c r="AB40" s="206">
        <f>-Businessplan_prodej!$F$74/20</f>
        <v>-155675</v>
      </c>
      <c r="AC40" s="206">
        <f>-Businessplan_prodej!$F$74/20</f>
        <v>-155675</v>
      </c>
      <c r="AD40" s="206">
        <f>-Businessplan_prodej!$F$74/20</f>
        <v>-155675</v>
      </c>
      <c r="AE40" s="206">
        <f>-Businessplan_prodej!$F$74/20</f>
        <v>-155675</v>
      </c>
      <c r="AF40" s="206">
        <f>-Businessplan_prodej!$F$74/20</f>
        <v>-155675</v>
      </c>
      <c r="AG40" s="206">
        <f>-Businessplan_prodej!$F$74/20</f>
        <v>-155675</v>
      </c>
      <c r="AH40" s="206">
        <f>-Businessplan_prodej!$F$74/20</f>
        <v>-155675</v>
      </c>
      <c r="AI40" s="206">
        <f>-Businessplan_prodej!$F$74/20</f>
        <v>-155675</v>
      </c>
      <c r="AJ40" s="206">
        <f>-Businessplan_prodej!$F$74/20</f>
        <v>-155675</v>
      </c>
      <c r="AK40" s="206"/>
      <c r="AL40" s="206"/>
      <c r="AM40" s="206"/>
      <c r="AN40" s="206"/>
      <c r="AO40" s="206"/>
      <c r="AP40" s="206"/>
      <c r="AQ40" s="206"/>
      <c r="AR40" s="206"/>
      <c r="AS40" s="206"/>
      <c r="AT40" s="206"/>
      <c r="AU40" s="206"/>
      <c r="AV40" s="206"/>
      <c r="AW40" s="206"/>
      <c r="AX40" s="206"/>
      <c r="AY40" s="206"/>
      <c r="AZ40" s="206"/>
      <c r="BA40" s="206"/>
      <c r="BB40" s="206"/>
      <c r="BC40" s="206"/>
      <c r="BD40" s="206"/>
      <c r="BE40" s="206"/>
      <c r="BF40" s="206"/>
      <c r="BG40" s="206"/>
      <c r="BH40" s="206"/>
      <c r="BI40" s="206"/>
      <c r="BJ40" s="206"/>
      <c r="BK40" s="206"/>
      <c r="BL40" s="206"/>
      <c r="BM40" s="206"/>
      <c r="BN40" s="206"/>
      <c r="BO40" s="206"/>
      <c r="BP40" s="206"/>
      <c r="BQ40" s="206"/>
      <c r="BR40" s="206"/>
      <c r="BS40" s="206"/>
      <c r="BT40" s="206"/>
      <c r="BU40" s="206"/>
      <c r="BV40" s="206"/>
      <c r="BW40" s="206"/>
      <c r="BX40" s="206"/>
      <c r="BY40" s="201">
        <f t="shared" ref="BY40" si="26">SUM(E40:BX40)</f>
        <v>-2490800</v>
      </c>
      <c r="BZ40" s="468"/>
      <c r="CA40" s="168"/>
      <c r="CB40" s="192" t="e">
        <f>SUM(INDEX(AC40:BX40, , 1):INDEX(AC40:BX40, ,MATCH(#REF!, $E$3:$BX$3,0) ))</f>
        <v>#REF!</v>
      </c>
      <c r="CC40" s="468"/>
    </row>
    <row r="41" spans="2:81" ht="16" hidden="1" outlineLevel="1" x14ac:dyDescent="0.2">
      <c r="B41" s="485"/>
      <c r="C41" s="207" t="s">
        <v>241</v>
      </c>
      <c r="D41" s="194" t="s">
        <v>218</v>
      </c>
      <c r="E41" s="195"/>
      <c r="F41" s="195"/>
      <c r="G41" s="195"/>
      <c r="H41" s="195"/>
      <c r="I41" s="195"/>
      <c r="J41" s="195"/>
      <c r="K41" s="195"/>
      <c r="L41" s="195"/>
      <c r="M41" s="195"/>
      <c r="N41" s="195"/>
      <c r="O41" s="195">
        <f>-2146/1.21</f>
        <v>-1773.5537190082646</v>
      </c>
      <c r="P41" s="195">
        <f>-3542.88/1.21</f>
        <v>-2928</v>
      </c>
      <c r="Q41" s="195">
        <f>-3227/1.21</f>
        <v>-2666.9421487603308</v>
      </c>
      <c r="R41" s="195">
        <f>-4218/1.21</f>
        <v>-3485.9504132231405</v>
      </c>
      <c r="S41" s="195">
        <f>-6679.2/1.21</f>
        <v>-5520</v>
      </c>
      <c r="T41" s="195">
        <f>-4101/1.21</f>
        <v>-3389.2561983471073</v>
      </c>
      <c r="U41" s="195">
        <f>-Businessplan_prodej!$F$80/26</f>
        <v>-8500</v>
      </c>
      <c r="V41" s="195">
        <f>-Businessplan_prodej!$F$80/26</f>
        <v>-8500</v>
      </c>
      <c r="W41" s="195">
        <f>-Businessplan_prodej!$F$80/26</f>
        <v>-8500</v>
      </c>
      <c r="X41" s="195">
        <f>-Businessplan_prodej!$F$80/26</f>
        <v>-8500</v>
      </c>
      <c r="Y41" s="195">
        <f>-Businessplan_prodej!$F$80/26</f>
        <v>-8500</v>
      </c>
      <c r="Z41" s="195">
        <f>-Businessplan_prodej!$F$80/26</f>
        <v>-8500</v>
      </c>
      <c r="AA41" s="195">
        <f>-Businessplan_prodej!$F$80/26</f>
        <v>-8500</v>
      </c>
      <c r="AB41" s="195">
        <f>-Businessplan_prodej!$F$80/26</f>
        <v>-8500</v>
      </c>
      <c r="AC41" s="195">
        <f>-Businessplan_prodej!$F$80/26</f>
        <v>-8500</v>
      </c>
      <c r="AD41" s="195">
        <f>-Businessplan_prodej!$F$80/26</f>
        <v>-8500</v>
      </c>
      <c r="AE41" s="195">
        <f>-Businessplan_prodej!$F$80/26</f>
        <v>-8500</v>
      </c>
      <c r="AF41" s="195">
        <f>-Businessplan_prodej!$F$80/26</f>
        <v>-8500</v>
      </c>
      <c r="AG41" s="195">
        <f>-Businessplan_prodej!$F$80/26</f>
        <v>-8500</v>
      </c>
      <c r="AH41" s="195">
        <f>-Businessplan_prodej!$F$80/26</f>
        <v>-8500</v>
      </c>
      <c r="AI41" s="195">
        <f>-Businessplan_prodej!$F$80/26</f>
        <v>-8500</v>
      </c>
      <c r="AJ41" s="195">
        <f>-Businessplan_prodej!$F$80/26</f>
        <v>-8500</v>
      </c>
      <c r="AK41" s="195">
        <f>-Businessplan_prodej!$F$80/26</f>
        <v>-8500</v>
      </c>
      <c r="AL41" s="195">
        <f>-Businessplan_prodej!$F$80/26</f>
        <v>-8500</v>
      </c>
      <c r="AM41" s="195">
        <f>-Businessplan_prodej!$F$80/26</f>
        <v>-8500</v>
      </c>
      <c r="AN41" s="195">
        <f>-Businessplan_prodej!$F$80/26</f>
        <v>-8500</v>
      </c>
      <c r="AO41" s="195"/>
      <c r="AP41" s="195"/>
      <c r="AQ41" s="195"/>
      <c r="AR41" s="195"/>
      <c r="AS41" s="195"/>
      <c r="AT41" s="195"/>
      <c r="AU41" s="195"/>
      <c r="AV41" s="195"/>
      <c r="AW41" s="195"/>
      <c r="AX41" s="195"/>
      <c r="AY41" s="195"/>
      <c r="AZ41" s="195"/>
      <c r="BA41" s="195"/>
      <c r="BB41" s="195"/>
      <c r="BC41" s="195"/>
      <c r="BD41" s="195"/>
      <c r="BE41" s="195"/>
      <c r="BF41" s="195"/>
      <c r="BG41" s="195"/>
      <c r="BH41" s="195"/>
      <c r="BI41" s="195"/>
      <c r="BJ41" s="195"/>
      <c r="BK41" s="195"/>
      <c r="BL41" s="195"/>
      <c r="BM41" s="195"/>
      <c r="BN41" s="195"/>
      <c r="BO41" s="195"/>
      <c r="BP41" s="195"/>
      <c r="BQ41" s="195"/>
      <c r="BR41" s="195"/>
      <c r="BS41" s="195"/>
      <c r="BT41" s="195"/>
      <c r="BU41" s="195"/>
      <c r="BV41" s="195"/>
      <c r="BW41" s="195"/>
      <c r="BX41" s="200"/>
      <c r="BY41" s="201">
        <f t="shared" si="24"/>
        <v>-189763.70247933886</v>
      </c>
      <c r="BZ41" s="468"/>
      <c r="CA41" s="168"/>
      <c r="CB41" s="192" t="e">
        <f t="shared" ref="CB41:CB42" si="27">SUM(INDEX(AC41:BX41, , 1):INDEX(AC41:BX41, ,MATCH(#REF!, $E$3:$BX$3,0) ))</f>
        <v>#REF!</v>
      </c>
      <c r="CC41" s="468"/>
    </row>
    <row r="42" spans="2:81" ht="16" hidden="1" outlineLevel="1" x14ac:dyDescent="0.2">
      <c r="B42" s="485"/>
      <c r="C42" s="207" t="s">
        <v>242</v>
      </c>
      <c r="D42" s="194" t="s">
        <v>218</v>
      </c>
      <c r="E42" s="195"/>
      <c r="F42" s="195"/>
      <c r="G42" s="195"/>
      <c r="H42" s="195"/>
      <c r="I42" s="195"/>
      <c r="J42" s="195"/>
      <c r="K42" s="195"/>
      <c r="L42" s="195"/>
      <c r="M42" s="195"/>
      <c r="N42" s="195"/>
      <c r="O42" s="195">
        <f>-6353/1.21</f>
        <v>-5250.4132231404956</v>
      </c>
      <c r="P42" s="195"/>
      <c r="Q42" s="195">
        <f>-4200/1.21</f>
        <v>-3471.0743801652893</v>
      </c>
      <c r="R42" s="195">
        <f>-7941/1.21</f>
        <v>-6562.8099173553719</v>
      </c>
      <c r="S42" s="195"/>
      <c r="T42" s="195">
        <f>-3336/1.21-6353/1.21</f>
        <v>-8007.4380165289258</v>
      </c>
      <c r="U42" s="195">
        <f>-Businessplan_prodej!$F$81/26</f>
        <v>-15000</v>
      </c>
      <c r="V42" s="195">
        <f>-Businessplan_prodej!$F$81/26</f>
        <v>-15000</v>
      </c>
      <c r="W42" s="195">
        <f>-Businessplan_prodej!$F$81/26</f>
        <v>-15000</v>
      </c>
      <c r="X42" s="195">
        <f>-Businessplan_prodej!$F$81/26</f>
        <v>-15000</v>
      </c>
      <c r="Y42" s="195">
        <f>-Businessplan_prodej!$F$81/26</f>
        <v>-15000</v>
      </c>
      <c r="Z42" s="195">
        <f>-Businessplan_prodej!$F$81/26</f>
        <v>-15000</v>
      </c>
      <c r="AA42" s="195">
        <f>-Businessplan_prodej!$F$81/26</f>
        <v>-15000</v>
      </c>
      <c r="AB42" s="195">
        <f>-Businessplan_prodej!$F$81/26</f>
        <v>-15000</v>
      </c>
      <c r="AC42" s="195">
        <f>-Businessplan_prodej!$F$81/26</f>
        <v>-15000</v>
      </c>
      <c r="AD42" s="195">
        <f>-Businessplan_prodej!$F$81/26</f>
        <v>-15000</v>
      </c>
      <c r="AE42" s="195">
        <f>-Businessplan_prodej!$F$81/26</f>
        <v>-15000</v>
      </c>
      <c r="AF42" s="195">
        <f>-Businessplan_prodej!$F$81/26</f>
        <v>-15000</v>
      </c>
      <c r="AG42" s="195">
        <f>-Businessplan_prodej!$F$81/26</f>
        <v>-15000</v>
      </c>
      <c r="AH42" s="195">
        <f>-Businessplan_prodej!$F$81/26</f>
        <v>-15000</v>
      </c>
      <c r="AI42" s="195">
        <f>-Businessplan_prodej!$F$81/26</f>
        <v>-15000</v>
      </c>
      <c r="AJ42" s="195">
        <f>-Businessplan_prodej!$F$81/26</f>
        <v>-15000</v>
      </c>
      <c r="AK42" s="195">
        <f>-Businessplan_prodej!$F$81/26</f>
        <v>-15000</v>
      </c>
      <c r="AL42" s="195">
        <f>-Businessplan_prodej!$F$81/26</f>
        <v>-15000</v>
      </c>
      <c r="AM42" s="195">
        <f>-Businessplan_prodej!$F$81/26</f>
        <v>-15000</v>
      </c>
      <c r="AN42" s="195">
        <f>-Businessplan_prodej!$F$81/26</f>
        <v>-15000</v>
      </c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195"/>
      <c r="AZ42" s="195"/>
      <c r="BA42" s="195"/>
      <c r="BB42" s="195"/>
      <c r="BC42" s="195"/>
      <c r="BD42" s="195"/>
      <c r="BE42" s="195"/>
      <c r="BF42" s="195"/>
      <c r="BG42" s="195"/>
      <c r="BH42" s="195"/>
      <c r="BI42" s="195"/>
      <c r="BJ42" s="195"/>
      <c r="BK42" s="195"/>
      <c r="BL42" s="195"/>
      <c r="BM42" s="195"/>
      <c r="BN42" s="195"/>
      <c r="BO42" s="195"/>
      <c r="BP42" s="195"/>
      <c r="BQ42" s="195"/>
      <c r="BR42" s="195"/>
      <c r="BS42" s="195"/>
      <c r="BT42" s="195"/>
      <c r="BU42" s="195"/>
      <c r="BV42" s="195"/>
      <c r="BW42" s="195"/>
      <c r="BX42" s="200"/>
      <c r="BY42" s="201">
        <f t="shared" si="24"/>
        <v>-323291.73553719011</v>
      </c>
      <c r="BZ42" s="468"/>
      <c r="CA42" s="168"/>
      <c r="CB42" s="192" t="e">
        <f t="shared" si="27"/>
        <v>#REF!</v>
      </c>
      <c r="CC42" s="468"/>
    </row>
    <row r="43" spans="2:81" ht="14.25" hidden="1" customHeight="1" outlineLevel="1" x14ac:dyDescent="0.2">
      <c r="B43" s="485"/>
      <c r="C43" s="207" t="s">
        <v>243</v>
      </c>
      <c r="D43" s="194" t="s">
        <v>218</v>
      </c>
      <c r="E43" s="195"/>
      <c r="F43" s="195"/>
      <c r="G43" s="195"/>
      <c r="H43" s="195"/>
      <c r="I43" s="195"/>
      <c r="J43" s="195"/>
      <c r="K43" s="195"/>
      <c r="L43" s="195"/>
      <c r="M43" s="195"/>
      <c r="N43" s="195"/>
      <c r="O43" s="195"/>
      <c r="P43" s="195"/>
      <c r="Q43" s="195"/>
      <c r="R43" s="195"/>
      <c r="S43" s="195"/>
      <c r="T43" s="195"/>
      <c r="U43" s="195">
        <f>-Businessplan_prodej!$F$82*0.25</f>
        <v>-68616.733999999997</v>
      </c>
      <c r="V43" s="195">
        <f>-Businessplan_prodej!$F$82*0.25</f>
        <v>-68616.733999999997</v>
      </c>
      <c r="W43" s="195"/>
      <c r="X43" s="195"/>
      <c r="Y43" s="195"/>
      <c r="Z43" s="195"/>
      <c r="AA43" s="195"/>
      <c r="AB43" s="195"/>
      <c r="AC43" s="195">
        <f>-Businessplan_prodej!$F$82*0.25</f>
        <v>-68616.733999999997</v>
      </c>
      <c r="AD43" s="195"/>
      <c r="AE43" s="195"/>
      <c r="AF43" s="195"/>
      <c r="AG43" s="195"/>
      <c r="AH43" s="195"/>
      <c r="AI43" s="195"/>
      <c r="AJ43" s="195"/>
      <c r="AK43" s="195"/>
      <c r="AL43" s="195"/>
      <c r="AM43" s="195"/>
      <c r="AN43" s="195">
        <f>-Businessplan_prodej!$F$82*0.25</f>
        <v>-68616.733999999997</v>
      </c>
      <c r="AO43" s="195"/>
      <c r="AP43" s="195"/>
      <c r="AQ43" s="195"/>
      <c r="AR43" s="195"/>
      <c r="AS43" s="195"/>
      <c r="AT43" s="195"/>
      <c r="AU43" s="195"/>
      <c r="AV43" s="195"/>
      <c r="AW43" s="195"/>
      <c r="AX43" s="195"/>
      <c r="AY43" s="195"/>
      <c r="AZ43" s="195"/>
      <c r="BA43" s="195"/>
      <c r="BB43" s="195"/>
      <c r="BC43" s="195"/>
      <c r="BD43" s="195"/>
      <c r="BE43" s="195"/>
      <c r="BF43" s="195"/>
      <c r="BG43" s="195"/>
      <c r="BH43" s="195"/>
      <c r="BI43" s="195"/>
      <c r="BJ43" s="195"/>
      <c r="BK43" s="195"/>
      <c r="BL43" s="195"/>
      <c r="BM43" s="195"/>
      <c r="BN43" s="195"/>
      <c r="BO43" s="195"/>
      <c r="BP43" s="195"/>
      <c r="BQ43" s="195"/>
      <c r="BR43" s="195"/>
      <c r="BS43" s="195"/>
      <c r="BT43" s="195"/>
      <c r="BU43" s="195"/>
      <c r="BV43" s="195"/>
      <c r="BW43" s="195"/>
      <c r="BX43" s="200"/>
      <c r="BY43" s="201">
        <f t="shared" si="24"/>
        <v>-274466.93599999999</v>
      </c>
      <c r="BZ43" s="468"/>
      <c r="CA43" s="168"/>
      <c r="CB43" s="192" t="e">
        <f>SUM(INDEX(AC43:BX43, , 1):INDEX(AC43:BX43, ,MATCH(CB1, $E$3:$BX$3,0) ))</f>
        <v>#N/A</v>
      </c>
      <c r="CC43" s="468"/>
    </row>
    <row r="44" spans="2:81" ht="14.25" hidden="1" customHeight="1" outlineLevel="1" x14ac:dyDescent="0.2">
      <c r="B44" s="485"/>
      <c r="C44" s="207" t="s">
        <v>244</v>
      </c>
      <c r="D44" s="194" t="s">
        <v>218</v>
      </c>
      <c r="E44" s="195"/>
      <c r="F44" s="195"/>
      <c r="G44" s="195"/>
      <c r="H44" s="195"/>
      <c r="I44" s="195"/>
      <c r="J44" s="195"/>
      <c r="K44" s="195"/>
      <c r="L44" s="195"/>
      <c r="M44" s="195"/>
      <c r="N44" s="195"/>
      <c r="O44" s="195"/>
      <c r="P44" s="195"/>
      <c r="Q44" s="195"/>
      <c r="R44" s="195"/>
      <c r="S44" s="195"/>
      <c r="T44" s="195"/>
      <c r="U44" s="195"/>
      <c r="V44" s="195"/>
      <c r="W44" s="195"/>
      <c r="X44" s="195"/>
      <c r="Y44" s="195"/>
      <c r="Z44" s="195"/>
      <c r="AA44" s="195"/>
      <c r="AB44" s="195"/>
      <c r="AC44" s="195">
        <f>-Businessplan_prodej!$F$83*0.5</f>
        <v>-102925.101</v>
      </c>
      <c r="AD44" s="195"/>
      <c r="AE44" s="195"/>
      <c r="AF44" s="195"/>
      <c r="AG44" s="195"/>
      <c r="AH44" s="195"/>
      <c r="AI44" s="195"/>
      <c r="AJ44" s="195"/>
      <c r="AK44" s="195"/>
      <c r="AL44" s="195">
        <f>-Businessplan_prodej!$F$83*0.5</f>
        <v>-102925.101</v>
      </c>
      <c r="AM44" s="195"/>
      <c r="AN44" s="195"/>
      <c r="AO44" s="195"/>
      <c r="AP44" s="195"/>
      <c r="AQ44" s="195"/>
      <c r="AR44" s="195"/>
      <c r="AS44" s="195"/>
      <c r="AT44" s="195"/>
      <c r="AU44" s="195"/>
      <c r="AV44" s="195"/>
      <c r="AW44" s="195"/>
      <c r="AX44" s="195"/>
      <c r="AY44" s="195"/>
      <c r="AZ44" s="195"/>
      <c r="BA44" s="195"/>
      <c r="BB44" s="195"/>
      <c r="BC44" s="195"/>
      <c r="BD44" s="195"/>
      <c r="BE44" s="195"/>
      <c r="BF44" s="195"/>
      <c r="BG44" s="195"/>
      <c r="BH44" s="195"/>
      <c r="BI44" s="195"/>
      <c r="BJ44" s="195"/>
      <c r="BK44" s="195"/>
      <c r="BL44" s="195"/>
      <c r="BM44" s="195"/>
      <c r="BN44" s="195"/>
      <c r="BO44" s="195"/>
      <c r="BP44" s="195"/>
      <c r="BQ44" s="195"/>
      <c r="BR44" s="195"/>
      <c r="BS44" s="195"/>
      <c r="BT44" s="195"/>
      <c r="BU44" s="195"/>
      <c r="BV44" s="195"/>
      <c r="BW44" s="195"/>
      <c r="BX44" s="200"/>
      <c r="BY44" s="201">
        <f t="shared" si="24"/>
        <v>-205850.20199999999</v>
      </c>
      <c r="BZ44" s="468"/>
      <c r="CA44" s="168"/>
      <c r="CB44" s="192" t="e">
        <f>SUM(INDEX(AC44:BX44, , 1):INDEX(AC44:BX44, ,MATCH(CB2, $E$3:$BX$3,0) ))</f>
        <v>#N/A</v>
      </c>
      <c r="CC44" s="468"/>
    </row>
    <row r="45" spans="2:81" ht="14.25" hidden="1" customHeight="1" outlineLevel="1" x14ac:dyDescent="0.2">
      <c r="B45" s="485"/>
      <c r="C45" s="207" t="s">
        <v>245</v>
      </c>
      <c r="D45" s="197" t="s">
        <v>218</v>
      </c>
      <c r="E45" s="195"/>
      <c r="F45" s="195"/>
      <c r="G45" s="195"/>
      <c r="H45" s="195"/>
      <c r="I45" s="195"/>
      <c r="J45" s="195"/>
      <c r="K45" s="195"/>
      <c r="L45" s="195"/>
      <c r="M45" s="195"/>
      <c r="N45" s="195"/>
      <c r="O45" s="195"/>
      <c r="P45" s="195"/>
      <c r="Q45" s="195"/>
      <c r="R45" s="195"/>
      <c r="S45" s="195"/>
      <c r="T45" s="195"/>
      <c r="U45" s="195"/>
      <c r="V45" s="195"/>
      <c r="W45" s="195"/>
      <c r="X45" s="195"/>
      <c r="Y45" s="195">
        <f>-Rentroll!L2*12*0.075</f>
        <v>-431180.63999999996</v>
      </c>
      <c r="Z45" s="195"/>
      <c r="AA45" s="195"/>
      <c r="AB45" s="195"/>
      <c r="AC45" s="195">
        <f>-Businessplan_prodej!$F$84/2-Y45</f>
        <v>-355067.99999999994</v>
      </c>
      <c r="AD45" s="195"/>
      <c r="AE45" s="195"/>
      <c r="AF45" s="195"/>
      <c r="AG45" s="195"/>
      <c r="AH45" s="195"/>
      <c r="AI45" s="195"/>
      <c r="AJ45" s="195"/>
      <c r="AK45" s="195"/>
      <c r="AL45" s="195"/>
      <c r="AM45" s="195"/>
      <c r="AN45" s="195">
        <f>-Businessplan_prodej!$F$84/2</f>
        <v>-786248.6399999999</v>
      </c>
      <c r="AO45" s="195"/>
      <c r="AP45" s="195"/>
      <c r="AQ45" s="195"/>
      <c r="AR45" s="195"/>
      <c r="AS45" s="195"/>
      <c r="AT45" s="195"/>
      <c r="AU45" s="195"/>
      <c r="AV45" s="195"/>
      <c r="AW45" s="195"/>
      <c r="AX45" s="195"/>
      <c r="AY45" s="195"/>
      <c r="AZ45" s="195"/>
      <c r="BA45" s="195"/>
      <c r="BB45" s="195"/>
      <c r="BC45" s="195"/>
      <c r="BD45" s="195"/>
      <c r="BE45" s="195"/>
      <c r="BF45" s="195"/>
      <c r="BG45" s="195"/>
      <c r="BH45" s="195"/>
      <c r="BI45" s="195"/>
      <c r="BJ45" s="195"/>
      <c r="BK45" s="195"/>
      <c r="BL45" s="195"/>
      <c r="BM45" s="195"/>
      <c r="BN45" s="195"/>
      <c r="BO45" s="195"/>
      <c r="BP45" s="195"/>
      <c r="BQ45" s="195"/>
      <c r="BR45" s="195"/>
      <c r="BS45" s="195"/>
      <c r="BT45" s="195"/>
      <c r="BU45" s="195"/>
      <c r="BV45" s="195"/>
      <c r="BW45" s="195"/>
      <c r="BX45" s="200"/>
      <c r="BY45" s="201">
        <f t="shared" si="24"/>
        <v>-1572497.2799999998</v>
      </c>
      <c r="BZ45" s="468"/>
      <c r="CA45" s="168"/>
      <c r="CB45" s="192" t="e">
        <f>SUM(INDEX(AC45:BX45, , 1):INDEX(AC45:BX45, ,MATCH(CB3, $E$3:$BX$3,0) ))</f>
        <v>#N/A</v>
      </c>
      <c r="CC45" s="468"/>
    </row>
    <row r="46" spans="2:81" ht="16" collapsed="1" x14ac:dyDescent="0.2">
      <c r="B46" s="485"/>
      <c r="C46" s="188" t="s">
        <v>246</v>
      </c>
      <c r="D46" s="189"/>
      <c r="E46" s="190">
        <f t="shared" ref="E46:BX46" si="28">SUM(E47:E51)</f>
        <v>0</v>
      </c>
      <c r="F46" s="190">
        <f t="shared" si="28"/>
        <v>0</v>
      </c>
      <c r="G46" s="190">
        <f t="shared" si="28"/>
        <v>0</v>
      </c>
      <c r="H46" s="190">
        <f t="shared" si="28"/>
        <v>0</v>
      </c>
      <c r="I46" s="190">
        <f t="shared" si="28"/>
        <v>0</v>
      </c>
      <c r="J46" s="190">
        <f t="shared" si="28"/>
        <v>0</v>
      </c>
      <c r="K46" s="190">
        <f t="shared" si="28"/>
        <v>0</v>
      </c>
      <c r="L46" s="190">
        <f t="shared" si="28"/>
        <v>0</v>
      </c>
      <c r="M46" s="190">
        <f t="shared" si="28"/>
        <v>0</v>
      </c>
      <c r="N46" s="190">
        <f t="shared" si="28"/>
        <v>0</v>
      </c>
      <c r="O46" s="190">
        <f t="shared" si="28"/>
        <v>-778</v>
      </c>
      <c r="P46" s="190">
        <f t="shared" si="28"/>
        <v>-778</v>
      </c>
      <c r="Q46" s="190">
        <f t="shared" si="28"/>
        <v>-883</v>
      </c>
      <c r="R46" s="190">
        <f t="shared" si="28"/>
        <v>-778</v>
      </c>
      <c r="S46" s="190">
        <f t="shared" si="28"/>
        <v>-778</v>
      </c>
      <c r="T46" s="190">
        <f t="shared" si="28"/>
        <v>-799</v>
      </c>
      <c r="U46" s="190">
        <f t="shared" si="28"/>
        <v>0</v>
      </c>
      <c r="V46" s="190">
        <f t="shared" si="28"/>
        <v>0</v>
      </c>
      <c r="W46" s="190">
        <f t="shared" si="28"/>
        <v>0</v>
      </c>
      <c r="X46" s="190">
        <f t="shared" si="28"/>
        <v>0</v>
      </c>
      <c r="Y46" s="190">
        <f t="shared" si="28"/>
        <v>0</v>
      </c>
      <c r="Z46" s="190">
        <f t="shared" si="28"/>
        <v>0</v>
      </c>
      <c r="AA46" s="190">
        <f t="shared" si="28"/>
        <v>0</v>
      </c>
      <c r="AB46" s="190">
        <f t="shared" si="28"/>
        <v>-130623.89506924534</v>
      </c>
      <c r="AC46" s="190">
        <f t="shared" si="28"/>
        <v>0</v>
      </c>
      <c r="AD46" s="190">
        <f t="shared" si="28"/>
        <v>0</v>
      </c>
      <c r="AE46" s="190">
        <f t="shared" si="28"/>
        <v>0</v>
      </c>
      <c r="AF46" s="190">
        <f t="shared" si="28"/>
        <v>0</v>
      </c>
      <c r="AG46" s="190">
        <f t="shared" si="28"/>
        <v>0</v>
      </c>
      <c r="AH46" s="190">
        <f t="shared" si="28"/>
        <v>0</v>
      </c>
      <c r="AI46" s="190">
        <f t="shared" si="28"/>
        <v>0</v>
      </c>
      <c r="AJ46" s="190">
        <f t="shared" si="28"/>
        <v>0</v>
      </c>
      <c r="AK46" s="190">
        <f t="shared" si="28"/>
        <v>0</v>
      </c>
      <c r="AL46" s="190">
        <f t="shared" si="28"/>
        <v>0</v>
      </c>
      <c r="AM46" s="190">
        <f t="shared" si="28"/>
        <v>0</v>
      </c>
      <c r="AN46" s="190">
        <f t="shared" si="28"/>
        <v>-28800</v>
      </c>
      <c r="AO46" s="190">
        <f t="shared" si="28"/>
        <v>0</v>
      </c>
      <c r="AP46" s="190">
        <f t="shared" si="28"/>
        <v>0</v>
      </c>
      <c r="AQ46" s="190">
        <f t="shared" si="28"/>
        <v>0</v>
      </c>
      <c r="AR46" s="190">
        <f t="shared" si="28"/>
        <v>0</v>
      </c>
      <c r="AS46" s="190">
        <f t="shared" si="28"/>
        <v>0</v>
      </c>
      <c r="AT46" s="190">
        <f t="shared" si="28"/>
        <v>0</v>
      </c>
      <c r="AU46" s="190">
        <f t="shared" si="28"/>
        <v>0</v>
      </c>
      <c r="AV46" s="190">
        <f t="shared" si="28"/>
        <v>0</v>
      </c>
      <c r="AW46" s="190">
        <f t="shared" si="28"/>
        <v>0</v>
      </c>
      <c r="AX46" s="190">
        <f t="shared" si="28"/>
        <v>0</v>
      </c>
      <c r="AY46" s="190">
        <f t="shared" si="28"/>
        <v>0</v>
      </c>
      <c r="AZ46" s="190">
        <f t="shared" si="28"/>
        <v>0</v>
      </c>
      <c r="BA46" s="190">
        <f t="shared" si="28"/>
        <v>0</v>
      </c>
      <c r="BB46" s="190">
        <f t="shared" si="28"/>
        <v>0</v>
      </c>
      <c r="BC46" s="190">
        <f t="shared" si="28"/>
        <v>0</v>
      </c>
      <c r="BD46" s="190">
        <f t="shared" si="28"/>
        <v>0</v>
      </c>
      <c r="BE46" s="190">
        <f t="shared" si="28"/>
        <v>0</v>
      </c>
      <c r="BF46" s="190">
        <f t="shared" si="28"/>
        <v>0</v>
      </c>
      <c r="BG46" s="190">
        <f t="shared" si="28"/>
        <v>0</v>
      </c>
      <c r="BH46" s="190">
        <f t="shared" si="28"/>
        <v>0</v>
      </c>
      <c r="BI46" s="190">
        <f t="shared" si="28"/>
        <v>0</v>
      </c>
      <c r="BJ46" s="190">
        <f t="shared" si="28"/>
        <v>0</v>
      </c>
      <c r="BK46" s="190">
        <f t="shared" si="28"/>
        <v>0</v>
      </c>
      <c r="BL46" s="190">
        <f t="shared" si="28"/>
        <v>0</v>
      </c>
      <c r="BM46" s="190">
        <f t="shared" si="28"/>
        <v>0</v>
      </c>
      <c r="BN46" s="190">
        <f t="shared" si="28"/>
        <v>0</v>
      </c>
      <c r="BO46" s="190">
        <f t="shared" si="28"/>
        <v>0</v>
      </c>
      <c r="BP46" s="190">
        <f t="shared" si="28"/>
        <v>0</v>
      </c>
      <c r="BQ46" s="190">
        <f t="shared" si="28"/>
        <v>0</v>
      </c>
      <c r="BR46" s="190">
        <f t="shared" si="28"/>
        <v>0</v>
      </c>
      <c r="BS46" s="190">
        <f t="shared" si="28"/>
        <v>0</v>
      </c>
      <c r="BT46" s="190">
        <f t="shared" si="28"/>
        <v>0</v>
      </c>
      <c r="BU46" s="190">
        <f t="shared" si="28"/>
        <v>0</v>
      </c>
      <c r="BV46" s="190">
        <f t="shared" si="28"/>
        <v>0</v>
      </c>
      <c r="BW46" s="190">
        <f t="shared" si="28"/>
        <v>0</v>
      </c>
      <c r="BX46" s="190">
        <f t="shared" si="28"/>
        <v>0</v>
      </c>
      <c r="BY46" s="192">
        <f>SUM(BY47:BY51)</f>
        <v>-164217.89506924534</v>
      </c>
      <c r="BZ46" s="468"/>
      <c r="CA46" s="168"/>
      <c r="CB46" s="192" t="e">
        <f t="array" ref="CB46">SUM(INDEX(E46:BX46, , 1):INDEX(E46:BX46, ,MATCH($CB$4, $E$3:$BX$3,0) ))</f>
        <v>#N/A</v>
      </c>
      <c r="CC46" s="468"/>
    </row>
    <row r="47" spans="2:81" ht="16" hidden="1" outlineLevel="1" x14ac:dyDescent="0.2">
      <c r="B47" s="485"/>
      <c r="C47" s="207" t="s">
        <v>247</v>
      </c>
      <c r="D47" s="194" t="s">
        <v>218</v>
      </c>
      <c r="E47" s="195"/>
      <c r="F47" s="195"/>
      <c r="G47" s="195"/>
      <c r="H47" s="195"/>
      <c r="I47" s="195"/>
      <c r="J47" s="195"/>
      <c r="K47" s="195"/>
      <c r="L47" s="195"/>
      <c r="M47" s="195"/>
      <c r="N47" s="195"/>
      <c r="O47" s="195"/>
      <c r="P47" s="195"/>
      <c r="Q47" s="195"/>
      <c r="R47" s="195"/>
      <c r="S47" s="195"/>
      <c r="T47" s="195"/>
      <c r="U47" s="195"/>
      <c r="V47" s="195"/>
      <c r="W47" s="195"/>
      <c r="X47" s="195"/>
      <c r="Y47" s="195"/>
      <c r="Z47" s="195"/>
      <c r="AA47" s="195"/>
      <c r="AB47" s="195">
        <f>-Businessplan_prodej!F91</f>
        <v>-130623.89506924534</v>
      </c>
      <c r="AC47" s="195"/>
      <c r="AD47" s="195"/>
      <c r="AE47" s="195"/>
      <c r="AF47" s="195"/>
      <c r="AG47" s="195"/>
      <c r="AH47" s="195"/>
      <c r="AI47" s="195"/>
      <c r="AJ47" s="195"/>
      <c r="AK47" s="195"/>
      <c r="AL47" s="195"/>
      <c r="AM47" s="195"/>
      <c r="AN47" s="195"/>
      <c r="AO47" s="195"/>
      <c r="AP47" s="195"/>
      <c r="AQ47" s="195"/>
      <c r="AR47" s="195"/>
      <c r="AS47" s="195"/>
      <c r="AT47" s="195"/>
      <c r="AU47" s="195"/>
      <c r="AV47" s="195"/>
      <c r="AW47" s="195"/>
      <c r="AX47" s="195"/>
      <c r="AY47" s="195"/>
      <c r="AZ47" s="195"/>
      <c r="BA47" s="195"/>
      <c r="BB47" s="195"/>
      <c r="BC47" s="195"/>
      <c r="BD47" s="195"/>
      <c r="BE47" s="195"/>
      <c r="BF47" s="195"/>
      <c r="BG47" s="195"/>
      <c r="BH47" s="195"/>
      <c r="BI47" s="195"/>
      <c r="BJ47" s="195"/>
      <c r="BK47" s="195"/>
      <c r="BL47" s="195"/>
      <c r="BM47" s="195"/>
      <c r="BN47" s="195"/>
      <c r="BO47" s="195"/>
      <c r="BP47" s="195"/>
      <c r="BQ47" s="195"/>
      <c r="BR47" s="195"/>
      <c r="BS47" s="195"/>
      <c r="BT47" s="195"/>
      <c r="BU47" s="195"/>
      <c r="BV47" s="195"/>
      <c r="BW47" s="195"/>
      <c r="BX47" s="200"/>
      <c r="BY47" s="205">
        <f t="shared" ref="BY47:BY51" si="29">SUM(E47:BX47)</f>
        <v>-130623.89506924534</v>
      </c>
      <c r="BZ47" s="468"/>
      <c r="CA47" s="168"/>
      <c r="CB47" s="192" t="e">
        <f>SUM(INDEX(AC47:BX47, , 1):INDEX(AC47:BX47, ,MATCH(CB5, E4:BX4,0) ))</f>
        <v>#N/A</v>
      </c>
      <c r="CC47" s="468"/>
    </row>
    <row r="48" spans="2:81" ht="16" hidden="1" outlineLevel="1" x14ac:dyDescent="0.2">
      <c r="B48" s="485"/>
      <c r="C48" s="207" t="s">
        <v>248</v>
      </c>
      <c r="D48" s="194" t="s">
        <v>218</v>
      </c>
      <c r="E48" s="195"/>
      <c r="F48" s="195"/>
      <c r="G48" s="195"/>
      <c r="H48" s="195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5"/>
      <c r="Z48" s="195"/>
      <c r="AA48" s="195"/>
      <c r="AB48" s="195"/>
      <c r="AC48" s="195"/>
      <c r="AD48" s="195"/>
      <c r="AE48" s="195"/>
      <c r="AF48" s="195"/>
      <c r="AG48" s="195"/>
      <c r="AH48" s="195"/>
      <c r="AI48" s="195"/>
      <c r="AJ48" s="195"/>
      <c r="AK48" s="195"/>
      <c r="AL48" s="195"/>
      <c r="AM48" s="195"/>
      <c r="AN48" s="195"/>
      <c r="AO48" s="195"/>
      <c r="AP48" s="195"/>
      <c r="AQ48" s="195"/>
      <c r="AR48" s="195"/>
      <c r="AS48" s="195"/>
      <c r="AT48" s="195"/>
      <c r="AU48" s="195"/>
      <c r="AV48" s="195"/>
      <c r="AW48" s="195"/>
      <c r="AX48" s="195"/>
      <c r="AY48" s="195"/>
      <c r="AZ48" s="195"/>
      <c r="BA48" s="195"/>
      <c r="BB48" s="195"/>
      <c r="BC48" s="195"/>
      <c r="BD48" s="195"/>
      <c r="BE48" s="195"/>
      <c r="BF48" s="195"/>
      <c r="BG48" s="195"/>
      <c r="BH48" s="195"/>
      <c r="BI48" s="195"/>
      <c r="BJ48" s="195"/>
      <c r="BK48" s="195"/>
      <c r="BL48" s="195"/>
      <c r="BM48" s="195"/>
      <c r="BN48" s="195"/>
      <c r="BO48" s="195"/>
      <c r="BP48" s="195"/>
      <c r="BQ48" s="195"/>
      <c r="BR48" s="195"/>
      <c r="BS48" s="195"/>
      <c r="BT48" s="195"/>
      <c r="BU48" s="195"/>
      <c r="BV48" s="195"/>
      <c r="BW48" s="195"/>
      <c r="BX48" s="200"/>
      <c r="BY48" s="205">
        <f t="shared" si="29"/>
        <v>0</v>
      </c>
      <c r="BZ48" s="468"/>
      <c r="CA48" s="168"/>
      <c r="CB48" s="192" t="e">
        <f>SUM(INDEX(AC48:BX48, , 1):INDEX(AC48:BX48, ,MATCH(CB6, E5:BX5,0) ))</f>
        <v>#N/A</v>
      </c>
      <c r="CC48" s="468"/>
    </row>
    <row r="49" spans="2:81" ht="16" hidden="1" outlineLevel="1" x14ac:dyDescent="0.2">
      <c r="B49" s="485"/>
      <c r="C49" s="207" t="s">
        <v>249</v>
      </c>
      <c r="D49" s="194" t="s">
        <v>218</v>
      </c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195"/>
      <c r="S49" s="195"/>
      <c r="T49" s="195"/>
      <c r="U49" s="195"/>
      <c r="V49" s="195"/>
      <c r="W49" s="195"/>
      <c r="X49" s="195"/>
      <c r="Y49" s="195"/>
      <c r="Z49" s="195"/>
      <c r="AA49" s="195"/>
      <c r="AB49" s="195"/>
      <c r="AC49" s="195"/>
      <c r="AD49" s="195"/>
      <c r="AE49" s="195"/>
      <c r="AF49" s="195"/>
      <c r="AG49" s="195"/>
      <c r="AH49" s="195"/>
      <c r="AI49" s="195"/>
      <c r="AJ49" s="195"/>
      <c r="AK49" s="195"/>
      <c r="AL49" s="195"/>
      <c r="AM49" s="195"/>
      <c r="AN49" s="195"/>
      <c r="AO49" s="195"/>
      <c r="AP49" s="195"/>
      <c r="AQ49" s="195"/>
      <c r="AR49" s="195"/>
      <c r="AS49" s="195"/>
      <c r="AT49" s="195"/>
      <c r="AU49" s="195"/>
      <c r="AV49" s="195"/>
      <c r="AW49" s="195"/>
      <c r="AX49" s="195"/>
      <c r="AY49" s="195"/>
      <c r="AZ49" s="195"/>
      <c r="BA49" s="195"/>
      <c r="BB49" s="195"/>
      <c r="BC49" s="195"/>
      <c r="BD49" s="195"/>
      <c r="BE49" s="195"/>
      <c r="BF49" s="195"/>
      <c r="BG49" s="195"/>
      <c r="BH49" s="195"/>
      <c r="BI49" s="195"/>
      <c r="BJ49" s="195"/>
      <c r="BK49" s="195"/>
      <c r="BL49" s="195"/>
      <c r="BM49" s="195"/>
      <c r="BN49" s="195"/>
      <c r="BO49" s="195"/>
      <c r="BP49" s="195"/>
      <c r="BQ49" s="195"/>
      <c r="BR49" s="195"/>
      <c r="BS49" s="195"/>
      <c r="BT49" s="195"/>
      <c r="BU49" s="195"/>
      <c r="BV49" s="195"/>
      <c r="BW49" s="195"/>
      <c r="BX49" s="200"/>
      <c r="BY49" s="205">
        <f t="shared" si="29"/>
        <v>0</v>
      </c>
      <c r="BZ49" s="468"/>
      <c r="CA49" s="168"/>
      <c r="CB49" s="192" t="e">
        <f>SUM(INDEX(AC49:BX49, , 1):INDEX(AC49:BX49, ,MATCH(CB7, E6:BX6,0) ))</f>
        <v>#N/A</v>
      </c>
      <c r="CC49" s="468"/>
    </row>
    <row r="50" spans="2:81" ht="16" hidden="1" outlineLevel="1" x14ac:dyDescent="0.2">
      <c r="B50" s="485"/>
      <c r="C50" s="207" t="s">
        <v>250</v>
      </c>
      <c r="D50" s="194" t="s">
        <v>218</v>
      </c>
      <c r="E50" s="195"/>
      <c r="F50" s="195"/>
      <c r="G50" s="195"/>
      <c r="H50" s="195"/>
      <c r="I50" s="195"/>
      <c r="J50" s="195"/>
      <c r="K50" s="195"/>
      <c r="L50" s="195"/>
      <c r="M50" s="195"/>
      <c r="N50" s="195"/>
      <c r="O50" s="195">
        <f>-12-400-16-350</f>
        <v>-778</v>
      </c>
      <c r="P50" s="195">
        <f>-12-2-400-5-9-350</f>
        <v>-778</v>
      </c>
      <c r="Q50" s="195">
        <f>-4-52-8-33-30-400-6-350</f>
        <v>-883</v>
      </c>
      <c r="R50" s="195">
        <f>-12-2-400-5-9-350</f>
        <v>-778</v>
      </c>
      <c r="S50" s="195">
        <f>-2-8-10-2-400-6-350</f>
        <v>-778</v>
      </c>
      <c r="T50" s="195">
        <f>-350-20-2-10-2-12-400-3</f>
        <v>-799</v>
      </c>
      <c r="U50" s="195"/>
      <c r="V50" s="195"/>
      <c r="W50" s="195"/>
      <c r="X50" s="195"/>
      <c r="Y50" s="195"/>
      <c r="Z50" s="195"/>
      <c r="AA50" s="195"/>
      <c r="AB50" s="195"/>
      <c r="AC50" s="195"/>
      <c r="AD50" s="195"/>
      <c r="AE50" s="195"/>
      <c r="AF50" s="195"/>
      <c r="AG50" s="195"/>
      <c r="AH50" s="195"/>
      <c r="AI50" s="195"/>
      <c r="AJ50" s="195"/>
      <c r="AK50" s="195"/>
      <c r="AL50" s="195"/>
      <c r="AM50" s="195"/>
      <c r="AN50" s="195">
        <f>-Businessplan_prodej!F94</f>
        <v>-28800</v>
      </c>
      <c r="AO50" s="195"/>
      <c r="AP50" s="195"/>
      <c r="AQ50" s="195"/>
      <c r="AR50" s="195"/>
      <c r="AS50" s="195"/>
      <c r="AT50" s="195"/>
      <c r="AU50" s="195"/>
      <c r="AV50" s="195"/>
      <c r="AW50" s="195"/>
      <c r="AX50" s="195"/>
      <c r="AY50" s="195"/>
      <c r="AZ50" s="195"/>
      <c r="BA50" s="195"/>
      <c r="BB50" s="195"/>
      <c r="BC50" s="195"/>
      <c r="BD50" s="195"/>
      <c r="BE50" s="195"/>
      <c r="BF50" s="195"/>
      <c r="BG50" s="195"/>
      <c r="BH50" s="195"/>
      <c r="BI50" s="195"/>
      <c r="BJ50" s="195"/>
      <c r="BK50" s="195"/>
      <c r="BL50" s="195"/>
      <c r="BM50" s="195"/>
      <c r="BN50" s="195"/>
      <c r="BO50" s="195"/>
      <c r="BP50" s="195"/>
      <c r="BQ50" s="195"/>
      <c r="BR50" s="195"/>
      <c r="BS50" s="195"/>
      <c r="BT50" s="195"/>
      <c r="BU50" s="195"/>
      <c r="BV50" s="195"/>
      <c r="BW50" s="195"/>
      <c r="BX50" s="200"/>
      <c r="BY50" s="201">
        <f t="shared" si="29"/>
        <v>-33594</v>
      </c>
      <c r="BZ50" s="468"/>
      <c r="CA50" s="168"/>
      <c r="CB50" s="192" t="e">
        <f>SUM(INDEX(AC50:BX50, , 1):INDEX(AC50:BX50, ,MATCH(CB8, E7:BX7,0) ))</f>
        <v>#N/A</v>
      </c>
      <c r="CC50" s="468"/>
    </row>
    <row r="51" spans="2:81" ht="16" hidden="1" outlineLevel="1" x14ac:dyDescent="0.2">
      <c r="B51" s="485"/>
      <c r="C51" s="207" t="s">
        <v>251</v>
      </c>
      <c r="D51" s="197" t="s">
        <v>218</v>
      </c>
      <c r="E51" s="198"/>
      <c r="F51" s="198"/>
      <c r="G51" s="195"/>
      <c r="H51" s="195"/>
      <c r="I51" s="195"/>
      <c r="J51" s="195"/>
      <c r="K51" s="195"/>
      <c r="L51" s="195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5"/>
      <c r="AA51" s="195"/>
      <c r="AB51" s="195"/>
      <c r="AC51" s="195"/>
      <c r="AD51" s="195"/>
      <c r="AE51" s="195"/>
      <c r="AF51" s="195"/>
      <c r="AG51" s="195"/>
      <c r="AH51" s="195"/>
      <c r="AI51" s="195"/>
      <c r="AJ51" s="195"/>
      <c r="AK51" s="195"/>
      <c r="AL51" s="195"/>
      <c r="AM51" s="195"/>
      <c r="AN51" s="195"/>
      <c r="AO51" s="195"/>
      <c r="AP51" s="195"/>
      <c r="AQ51" s="195"/>
      <c r="AR51" s="195"/>
      <c r="AS51" s="195"/>
      <c r="AT51" s="195"/>
      <c r="AU51" s="195"/>
      <c r="AV51" s="195"/>
      <c r="AW51" s="195"/>
      <c r="AX51" s="195"/>
      <c r="AY51" s="195"/>
      <c r="AZ51" s="195"/>
      <c r="BA51" s="195"/>
      <c r="BB51" s="195"/>
      <c r="BC51" s="195"/>
      <c r="BD51" s="195"/>
      <c r="BE51" s="195"/>
      <c r="BF51" s="195"/>
      <c r="BG51" s="195"/>
      <c r="BH51" s="195"/>
      <c r="BI51" s="195"/>
      <c r="BJ51" s="195"/>
      <c r="BK51" s="195"/>
      <c r="BL51" s="195"/>
      <c r="BM51" s="195"/>
      <c r="BN51" s="195"/>
      <c r="BO51" s="195"/>
      <c r="BP51" s="195"/>
      <c r="BQ51" s="195"/>
      <c r="BR51" s="195"/>
      <c r="BS51" s="195"/>
      <c r="BT51" s="195"/>
      <c r="BU51" s="195"/>
      <c r="BV51" s="195"/>
      <c r="BW51" s="195"/>
      <c r="BX51" s="200"/>
      <c r="BY51" s="202">
        <f t="shared" si="29"/>
        <v>0</v>
      </c>
      <c r="BZ51" s="468"/>
      <c r="CA51" s="168"/>
      <c r="CB51" s="192" t="e">
        <f>SUM(INDEX(AC51:BX51, , 1):INDEX(AC51:BX51, ,MATCH(CB9, E8:BX8,0) ))</f>
        <v>#N/A</v>
      </c>
      <c r="CC51" s="468"/>
    </row>
    <row r="52" spans="2:81" ht="16" collapsed="1" x14ac:dyDescent="0.2">
      <c r="B52" s="485"/>
      <c r="C52" s="188" t="s">
        <v>252</v>
      </c>
      <c r="D52" s="189"/>
      <c r="E52" s="190">
        <f t="shared" ref="E52:BX52" si="30">SUM(E53:E59)</f>
        <v>0</v>
      </c>
      <c r="F52" s="190">
        <f t="shared" si="30"/>
        <v>0</v>
      </c>
      <c r="G52" s="190">
        <f t="shared" si="30"/>
        <v>0</v>
      </c>
      <c r="H52" s="190">
        <f t="shared" si="30"/>
        <v>0</v>
      </c>
      <c r="I52" s="190">
        <f t="shared" si="30"/>
        <v>0</v>
      </c>
      <c r="J52" s="190">
        <f t="shared" si="30"/>
        <v>0</v>
      </c>
      <c r="K52" s="190">
        <f t="shared" si="30"/>
        <v>0</v>
      </c>
      <c r="L52" s="190">
        <f t="shared" si="30"/>
        <v>0</v>
      </c>
      <c r="M52" s="190">
        <f t="shared" si="30"/>
        <v>0</v>
      </c>
      <c r="N52" s="190">
        <f t="shared" si="30"/>
        <v>0</v>
      </c>
      <c r="O52" s="190">
        <f t="shared" si="30"/>
        <v>-19110</v>
      </c>
      <c r="P52" s="190">
        <f t="shared" si="30"/>
        <v>-18493</v>
      </c>
      <c r="Q52" s="190">
        <f t="shared" si="30"/>
        <v>-373912</v>
      </c>
      <c r="R52" s="190">
        <f t="shared" si="30"/>
        <v>0</v>
      </c>
      <c r="S52" s="190">
        <f t="shared" si="30"/>
        <v>0</v>
      </c>
      <c r="T52" s="190">
        <f t="shared" si="30"/>
        <v>0</v>
      </c>
      <c r="U52" s="190">
        <f t="shared" si="30"/>
        <v>0</v>
      </c>
      <c r="V52" s="190">
        <f t="shared" si="30"/>
        <v>0</v>
      </c>
      <c r="W52" s="190">
        <f t="shared" si="30"/>
        <v>0</v>
      </c>
      <c r="X52" s="190">
        <f t="shared" si="30"/>
        <v>0</v>
      </c>
      <c r="Y52" s="190">
        <f t="shared" si="30"/>
        <v>0</v>
      </c>
      <c r="Z52" s="190">
        <f t="shared" si="30"/>
        <v>0</v>
      </c>
      <c r="AA52" s="190">
        <f t="shared" si="30"/>
        <v>0</v>
      </c>
      <c r="AB52" s="190">
        <f t="shared" si="30"/>
        <v>0</v>
      </c>
      <c r="AC52" s="190">
        <f t="shared" si="30"/>
        <v>-36179.29029513889</v>
      </c>
      <c r="AD52" s="190">
        <f t="shared" si="30"/>
        <v>-72358.580590277779</v>
      </c>
      <c r="AE52" s="190">
        <f t="shared" si="30"/>
        <v>-108537.87088541665</v>
      </c>
      <c r="AF52" s="190">
        <f t="shared" si="30"/>
        <v>-144717.16118055556</v>
      </c>
      <c r="AG52" s="190">
        <f t="shared" si="30"/>
        <v>-180896.45147569443</v>
      </c>
      <c r="AH52" s="190">
        <f t="shared" si="30"/>
        <v>-217075.74177083335</v>
      </c>
      <c r="AI52" s="190">
        <f t="shared" si="30"/>
        <v>-253255.03206597222</v>
      </c>
      <c r="AJ52" s="190">
        <f t="shared" si="30"/>
        <v>-289434.32236111112</v>
      </c>
      <c r="AK52" s="190">
        <f t="shared" si="30"/>
        <v>-289434.32236111112</v>
      </c>
      <c r="AL52" s="190">
        <f t="shared" si="30"/>
        <v>-289434.32236111112</v>
      </c>
      <c r="AM52" s="190">
        <f t="shared" si="30"/>
        <v>-289434.32236111112</v>
      </c>
      <c r="AN52" s="190">
        <f t="shared" si="30"/>
        <v>-5379684.3223611107</v>
      </c>
      <c r="AO52" s="190">
        <f t="shared" si="30"/>
        <v>0</v>
      </c>
      <c r="AP52" s="190">
        <f t="shared" si="30"/>
        <v>0</v>
      </c>
      <c r="AQ52" s="190">
        <f t="shared" si="30"/>
        <v>0</v>
      </c>
      <c r="AR52" s="190">
        <f t="shared" si="30"/>
        <v>0</v>
      </c>
      <c r="AS52" s="190">
        <f t="shared" si="30"/>
        <v>0</v>
      </c>
      <c r="AT52" s="190">
        <f t="shared" si="30"/>
        <v>0</v>
      </c>
      <c r="AU52" s="190">
        <f t="shared" si="30"/>
        <v>0</v>
      </c>
      <c r="AV52" s="190">
        <f t="shared" si="30"/>
        <v>0</v>
      </c>
      <c r="AW52" s="190">
        <f t="shared" si="30"/>
        <v>0</v>
      </c>
      <c r="AX52" s="190">
        <f t="shared" si="30"/>
        <v>0</v>
      </c>
      <c r="AY52" s="190">
        <f t="shared" si="30"/>
        <v>0</v>
      </c>
      <c r="AZ52" s="190">
        <f t="shared" si="30"/>
        <v>0</v>
      </c>
      <c r="BA52" s="190">
        <f t="shared" si="30"/>
        <v>0</v>
      </c>
      <c r="BB52" s="190">
        <f t="shared" si="30"/>
        <v>0</v>
      </c>
      <c r="BC52" s="190">
        <f t="shared" si="30"/>
        <v>0</v>
      </c>
      <c r="BD52" s="190">
        <f t="shared" si="30"/>
        <v>0</v>
      </c>
      <c r="BE52" s="190">
        <f t="shared" si="30"/>
        <v>0</v>
      </c>
      <c r="BF52" s="190">
        <f t="shared" si="30"/>
        <v>0</v>
      </c>
      <c r="BG52" s="190">
        <f t="shared" si="30"/>
        <v>0</v>
      </c>
      <c r="BH52" s="190">
        <f t="shared" si="30"/>
        <v>0</v>
      </c>
      <c r="BI52" s="190">
        <f t="shared" si="30"/>
        <v>0</v>
      </c>
      <c r="BJ52" s="190">
        <f t="shared" si="30"/>
        <v>0</v>
      </c>
      <c r="BK52" s="190">
        <f t="shared" si="30"/>
        <v>0</v>
      </c>
      <c r="BL52" s="190">
        <f t="shared" si="30"/>
        <v>0</v>
      </c>
      <c r="BM52" s="190">
        <f t="shared" si="30"/>
        <v>0</v>
      </c>
      <c r="BN52" s="190">
        <f t="shared" si="30"/>
        <v>0</v>
      </c>
      <c r="BO52" s="190">
        <f t="shared" si="30"/>
        <v>0</v>
      </c>
      <c r="BP52" s="190">
        <f t="shared" si="30"/>
        <v>0</v>
      </c>
      <c r="BQ52" s="190">
        <f t="shared" si="30"/>
        <v>0</v>
      </c>
      <c r="BR52" s="190">
        <f t="shared" si="30"/>
        <v>0</v>
      </c>
      <c r="BS52" s="190">
        <f t="shared" si="30"/>
        <v>0</v>
      </c>
      <c r="BT52" s="190">
        <f t="shared" si="30"/>
        <v>0</v>
      </c>
      <c r="BU52" s="190">
        <f t="shared" si="30"/>
        <v>0</v>
      </c>
      <c r="BV52" s="190">
        <f t="shared" si="30"/>
        <v>0</v>
      </c>
      <c r="BW52" s="190">
        <f t="shared" si="30"/>
        <v>0</v>
      </c>
      <c r="BX52" s="190">
        <f t="shared" si="30"/>
        <v>0</v>
      </c>
      <c r="BY52" s="192">
        <f>SUM(BY53:BY59)</f>
        <v>-7961956.7400694452</v>
      </c>
      <c r="BZ52" s="468"/>
      <c r="CA52" s="168"/>
      <c r="CB52" s="192" t="e">
        <f t="array" ref="CB52">SUM(INDEX(E52:BX52, , 1):INDEX(E52:BX52, ,MATCH($CB$4, $E$3:$BX$3,0) ))</f>
        <v>#N/A</v>
      </c>
      <c r="CC52" s="468"/>
    </row>
    <row r="53" spans="2:81" ht="16" hidden="1" outlineLevel="1" x14ac:dyDescent="0.2">
      <c r="B53" s="485"/>
      <c r="C53" s="207" t="s">
        <v>253</v>
      </c>
      <c r="D53" s="208">
        <v>0.11</v>
      </c>
      <c r="E53" s="195"/>
      <c r="F53" s="195"/>
      <c r="G53" s="195"/>
      <c r="H53" s="195"/>
      <c r="I53" s="195"/>
      <c r="J53" s="195"/>
      <c r="K53" s="195"/>
      <c r="L53" s="195"/>
      <c r="M53" s="195"/>
      <c r="N53" s="195"/>
      <c r="O53" s="195"/>
      <c r="P53" s="195"/>
      <c r="Q53" s="195"/>
      <c r="R53" s="195"/>
      <c r="S53" s="195"/>
      <c r="T53" s="195"/>
      <c r="U53" s="195"/>
      <c r="V53" s="195"/>
      <c r="W53" s="195"/>
      <c r="X53" s="195"/>
      <c r="Y53" s="195"/>
      <c r="Z53" s="195"/>
      <c r="AA53" s="195"/>
      <c r="AB53" s="195"/>
      <c r="AC53" s="195"/>
      <c r="AD53" s="195"/>
      <c r="AE53" s="195"/>
      <c r="AF53" s="195"/>
      <c r="AG53" s="195"/>
      <c r="AH53" s="195"/>
      <c r="AI53" s="195"/>
      <c r="AJ53" s="195"/>
      <c r="AK53" s="195"/>
      <c r="AL53" s="195"/>
      <c r="AM53" s="195"/>
      <c r="AN53" s="195">
        <f>-SUM('Interest Calc EQ'!E18:E42)-'Interest Calc EQ'!E42</f>
        <v>-5090250</v>
      </c>
      <c r="AO53" s="195"/>
      <c r="AP53" s="195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  <c r="BA53" s="195"/>
      <c r="BB53" s="195"/>
      <c r="BC53" s="195"/>
      <c r="BD53" s="195"/>
      <c r="BE53" s="195"/>
      <c r="BF53" s="195"/>
      <c r="BG53" s="195"/>
      <c r="BH53" s="195"/>
      <c r="BI53" s="195"/>
      <c r="BJ53" s="195"/>
      <c r="BK53" s="195"/>
      <c r="BL53" s="195"/>
      <c r="BM53" s="200"/>
      <c r="BN53" s="200"/>
      <c r="BO53" s="200"/>
      <c r="BP53" s="200"/>
      <c r="BQ53" s="200"/>
      <c r="BR53" s="200"/>
      <c r="BS53" s="200"/>
      <c r="BT53" s="200"/>
      <c r="BU53" s="200"/>
      <c r="BV53" s="200"/>
      <c r="BW53" s="200"/>
      <c r="BX53" s="200"/>
      <c r="BY53" s="209">
        <f t="shared" ref="BY53:BY59" si="31">SUM(E53:BX53)</f>
        <v>-5090250</v>
      </c>
      <c r="BZ53" s="468"/>
      <c r="CA53" s="168"/>
      <c r="CB53" s="192" t="e">
        <f>SUM(INDEX(AC53:BX53, , 1):INDEX(AC53:BX53, ,MATCH(CB11, E10:BX10,0) ))</f>
        <v>#N/A</v>
      </c>
      <c r="CC53" s="468"/>
    </row>
    <row r="54" spans="2:81" ht="16" hidden="1" outlineLevel="1" x14ac:dyDescent="0.2">
      <c r="B54" s="485"/>
      <c r="C54" s="207" t="s">
        <v>254</v>
      </c>
      <c r="D54" s="208">
        <v>0.11</v>
      </c>
      <c r="E54" s="195"/>
      <c r="F54" s="195"/>
      <c r="G54" s="195"/>
      <c r="H54" s="195"/>
      <c r="I54" s="195"/>
      <c r="J54" s="195"/>
      <c r="K54" s="195"/>
      <c r="L54" s="195"/>
      <c r="M54" s="195"/>
      <c r="N54" s="195"/>
      <c r="O54" s="198">
        <f>-19110</f>
        <v>-19110</v>
      </c>
      <c r="P54" s="198">
        <f>-18493</f>
        <v>-18493</v>
      </c>
      <c r="Q54" s="198">
        <f>-19110-25685</f>
        <v>-44795</v>
      </c>
      <c r="R54" s="195"/>
      <c r="S54" s="195"/>
      <c r="T54" s="195"/>
      <c r="U54" s="195"/>
      <c r="V54" s="195"/>
      <c r="W54" s="195"/>
      <c r="X54" s="195"/>
      <c r="Y54" s="195"/>
      <c r="Z54" s="195"/>
      <c r="AA54" s="195"/>
      <c r="AB54" s="195"/>
      <c r="AC54" s="195"/>
      <c r="AD54" s="195"/>
      <c r="AE54" s="195"/>
      <c r="AF54" s="195"/>
      <c r="AG54" s="195"/>
      <c r="AH54" s="195"/>
      <c r="AI54" s="195"/>
      <c r="AJ54" s="195"/>
      <c r="AK54" s="195"/>
      <c r="AL54" s="195"/>
      <c r="AM54" s="195"/>
      <c r="AN54" s="195"/>
      <c r="AO54" s="195"/>
      <c r="AP54" s="195"/>
      <c r="AQ54" s="195"/>
      <c r="AR54" s="195"/>
      <c r="AS54" s="195"/>
      <c r="AT54" s="195"/>
      <c r="AU54" s="195"/>
      <c r="AV54" s="195"/>
      <c r="AW54" s="195"/>
      <c r="AX54" s="195"/>
      <c r="AY54" s="195"/>
      <c r="AZ54" s="195"/>
      <c r="BA54" s="195"/>
      <c r="BB54" s="195"/>
      <c r="BC54" s="195"/>
      <c r="BD54" s="195"/>
      <c r="BE54" s="195"/>
      <c r="BF54" s="195"/>
      <c r="BG54" s="195"/>
      <c r="BH54" s="195"/>
      <c r="BI54" s="195"/>
      <c r="BJ54" s="195"/>
      <c r="BK54" s="195"/>
      <c r="BL54" s="195"/>
      <c r="BM54" s="200"/>
      <c r="BN54" s="200"/>
      <c r="BO54" s="200"/>
      <c r="BP54" s="200"/>
      <c r="BQ54" s="200"/>
      <c r="BR54" s="200"/>
      <c r="BS54" s="200"/>
      <c r="BT54" s="200"/>
      <c r="BU54" s="200"/>
      <c r="BV54" s="200"/>
      <c r="BW54" s="200"/>
      <c r="BX54" s="200"/>
      <c r="BY54" s="210">
        <f t="shared" si="31"/>
        <v>-82398</v>
      </c>
      <c r="BZ54" s="468"/>
      <c r="CA54" s="168"/>
      <c r="CB54" s="192" t="e">
        <f>SUM(INDEX(AC54:BX54, , 1):INDEX(AC54:BX54, ,MATCH(CB12, E11:BX11,0) ))</f>
        <v>#N/A</v>
      </c>
      <c r="CC54" s="468"/>
    </row>
    <row r="55" spans="2:81" ht="16" hidden="1" outlineLevel="1" x14ac:dyDescent="0.2">
      <c r="B55" s="485"/>
      <c r="C55" s="207" t="s">
        <v>255</v>
      </c>
      <c r="D55" s="208">
        <v>0.11</v>
      </c>
      <c r="E55" s="195"/>
      <c r="F55" s="195"/>
      <c r="G55" s="195"/>
      <c r="H55" s="195"/>
      <c r="I55" s="195"/>
      <c r="J55" s="195"/>
      <c r="K55" s="195"/>
      <c r="L55" s="195"/>
      <c r="M55" s="195"/>
      <c r="N55" s="195"/>
      <c r="O55" s="195"/>
      <c r="P55" s="195"/>
      <c r="Q55" s="195">
        <f>-8942</f>
        <v>-8942</v>
      </c>
      <c r="R55" s="195"/>
      <c r="S55" s="195"/>
      <c r="T55" s="195"/>
      <c r="U55" s="195"/>
      <c r="V55" s="195"/>
      <c r="W55" s="195"/>
      <c r="X55" s="195"/>
      <c r="Y55" s="195"/>
      <c r="Z55" s="195"/>
      <c r="AA55" s="195"/>
      <c r="AB55" s="195"/>
      <c r="AC55" s="195"/>
      <c r="AD55" s="195"/>
      <c r="AE55" s="195"/>
      <c r="AF55" s="195"/>
      <c r="AG55" s="195"/>
      <c r="AH55" s="195"/>
      <c r="AI55" s="195"/>
      <c r="AJ55" s="195"/>
      <c r="AK55" s="195"/>
      <c r="AL55" s="195"/>
      <c r="AM55" s="195"/>
      <c r="AN55" s="195"/>
      <c r="AO55" s="195"/>
      <c r="AP55" s="195"/>
      <c r="AQ55" s="195"/>
      <c r="AR55" s="195"/>
      <c r="AS55" s="195"/>
      <c r="AT55" s="195"/>
      <c r="AU55" s="195"/>
      <c r="AV55" s="195"/>
      <c r="AW55" s="195"/>
      <c r="AX55" s="195"/>
      <c r="AY55" s="195"/>
      <c r="AZ55" s="195"/>
      <c r="BA55" s="195"/>
      <c r="BB55" s="195"/>
      <c r="BC55" s="195"/>
      <c r="BD55" s="195"/>
      <c r="BE55" s="195"/>
      <c r="BF55" s="195"/>
      <c r="BG55" s="195"/>
      <c r="BH55" s="195"/>
      <c r="BI55" s="195"/>
      <c r="BJ55" s="195"/>
      <c r="BK55" s="195"/>
      <c r="BL55" s="195"/>
      <c r="BM55" s="200"/>
      <c r="BN55" s="200"/>
      <c r="BO55" s="200"/>
      <c r="BP55" s="200"/>
      <c r="BQ55" s="200"/>
      <c r="BR55" s="200"/>
      <c r="BS55" s="200"/>
      <c r="BT55" s="200"/>
      <c r="BU55" s="200"/>
      <c r="BV55" s="200"/>
      <c r="BW55" s="200"/>
      <c r="BX55" s="200"/>
      <c r="BY55" s="210">
        <f t="shared" si="31"/>
        <v>-8942</v>
      </c>
      <c r="BZ55" s="468"/>
      <c r="CA55" s="168"/>
      <c r="CB55" s="192" t="e">
        <f>SUM(INDEX(AC55:BX55, , 1):INDEX(AC55:BX55, ,MATCH(CB13, E12:BX12,0) ))</f>
        <v>#N/A</v>
      </c>
      <c r="CC55" s="468"/>
    </row>
    <row r="56" spans="2:81" ht="16" hidden="1" outlineLevel="1" x14ac:dyDescent="0.2">
      <c r="B56" s="485"/>
      <c r="C56" s="207" t="s">
        <v>256</v>
      </c>
      <c r="D56" s="208">
        <v>0.11</v>
      </c>
      <c r="E56" s="195"/>
      <c r="F56" s="195"/>
      <c r="G56" s="195"/>
      <c r="H56" s="195"/>
      <c r="I56" s="195"/>
      <c r="J56" s="195"/>
      <c r="K56" s="195"/>
      <c r="L56" s="195"/>
      <c r="M56" s="195"/>
      <c r="N56" s="195"/>
      <c r="O56" s="195"/>
      <c r="P56" s="195"/>
      <c r="Q56" s="195"/>
      <c r="R56" s="195"/>
      <c r="S56" s="195"/>
      <c r="T56" s="195"/>
      <c r="U56" s="195"/>
      <c r="V56" s="195"/>
      <c r="W56" s="195"/>
      <c r="X56" s="195"/>
      <c r="Y56" s="195"/>
      <c r="Z56" s="195"/>
      <c r="AA56" s="195"/>
      <c r="AB56" s="195"/>
      <c r="AC56" s="195"/>
      <c r="AD56" s="195"/>
      <c r="AE56" s="195"/>
      <c r="AF56" s="195"/>
      <c r="AG56" s="195"/>
      <c r="AH56" s="195"/>
      <c r="AI56" s="195"/>
      <c r="AJ56" s="195"/>
      <c r="AK56" s="195"/>
      <c r="AL56" s="195"/>
      <c r="AM56" s="195"/>
      <c r="AN56" s="195"/>
      <c r="AO56" s="195"/>
      <c r="AP56" s="195"/>
      <c r="AQ56" s="195"/>
      <c r="AR56" s="195"/>
      <c r="AS56" s="195"/>
      <c r="AT56" s="195"/>
      <c r="AU56" s="195"/>
      <c r="AV56" s="195"/>
      <c r="AW56" s="195"/>
      <c r="AX56" s="195"/>
      <c r="AY56" s="195"/>
      <c r="AZ56" s="195"/>
      <c r="BA56" s="195"/>
      <c r="BB56" s="195"/>
      <c r="BC56" s="195"/>
      <c r="BD56" s="195"/>
      <c r="BE56" s="195"/>
      <c r="BF56" s="195"/>
      <c r="BG56" s="195"/>
      <c r="BH56" s="195"/>
      <c r="BI56" s="195"/>
      <c r="BJ56" s="195"/>
      <c r="BK56" s="195"/>
      <c r="BL56" s="195"/>
      <c r="BM56" s="200"/>
      <c r="BN56" s="200"/>
      <c r="BO56" s="200"/>
      <c r="BP56" s="200"/>
      <c r="BQ56" s="200"/>
      <c r="BR56" s="200"/>
      <c r="BS56" s="200"/>
      <c r="BT56" s="200"/>
      <c r="BU56" s="200"/>
      <c r="BV56" s="200"/>
      <c r="BW56" s="200"/>
      <c r="BX56" s="200"/>
      <c r="BY56" s="210">
        <f t="shared" si="31"/>
        <v>0</v>
      </c>
      <c r="BZ56" s="468"/>
      <c r="CA56" s="168"/>
      <c r="CB56" s="192" t="e">
        <f t="array" ref="CB56">SUM(INDEX(AC56:BX56, , 1):INDEX(AC56:BX56, ,MATCH(CB15, E13:BX13,0) ))</f>
        <v>#N/A</v>
      </c>
      <c r="CC56" s="468"/>
    </row>
    <row r="57" spans="2:81" ht="16" hidden="1" outlineLevel="1" x14ac:dyDescent="0.2">
      <c r="B57" s="485"/>
      <c r="C57" s="207" t="s">
        <v>257</v>
      </c>
      <c r="D57" s="208">
        <v>0.15</v>
      </c>
      <c r="E57" s="195"/>
      <c r="F57" s="195"/>
      <c r="G57" s="195"/>
      <c r="H57" s="195"/>
      <c r="I57" s="195"/>
      <c r="J57" s="195"/>
      <c r="K57" s="195"/>
      <c r="L57" s="195"/>
      <c r="M57" s="195"/>
      <c r="N57" s="195"/>
      <c r="O57" s="195"/>
      <c r="P57" s="195"/>
      <c r="Q57" s="195"/>
      <c r="R57" s="195"/>
      <c r="S57" s="195"/>
      <c r="T57" s="195"/>
      <c r="U57" s="195"/>
      <c r="V57" s="195"/>
      <c r="W57" s="195"/>
      <c r="X57" s="195"/>
      <c r="Y57" s="195"/>
      <c r="Z57" s="195"/>
      <c r="AA57" s="195"/>
      <c r="AB57" s="195"/>
      <c r="AC57" s="195"/>
      <c r="AD57" s="195"/>
      <c r="AE57" s="195"/>
      <c r="AF57" s="195"/>
      <c r="AG57" s="195"/>
      <c r="AH57" s="195"/>
      <c r="AI57" s="195"/>
      <c r="AJ57" s="195"/>
      <c r="AK57" s="195"/>
      <c r="AL57" s="195"/>
      <c r="AM57" s="195"/>
      <c r="AN57" s="195"/>
      <c r="AO57" s="195"/>
      <c r="AP57" s="195"/>
      <c r="AQ57" s="195"/>
      <c r="AR57" s="195"/>
      <c r="AS57" s="195"/>
      <c r="AT57" s="195"/>
      <c r="AU57" s="195"/>
      <c r="AV57" s="195"/>
      <c r="AW57" s="195"/>
      <c r="AX57" s="195"/>
      <c r="AY57" s="195"/>
      <c r="AZ57" s="195"/>
      <c r="BA57" s="195"/>
      <c r="BB57" s="195"/>
      <c r="BC57" s="195"/>
      <c r="BD57" s="195"/>
      <c r="BE57" s="195"/>
      <c r="BF57" s="195"/>
      <c r="BG57" s="195"/>
      <c r="BH57" s="195"/>
      <c r="BI57" s="195"/>
      <c r="BJ57" s="195"/>
      <c r="BK57" s="195"/>
      <c r="BL57" s="195"/>
      <c r="BM57" s="200"/>
      <c r="BN57" s="200"/>
      <c r="BO57" s="200"/>
      <c r="BP57" s="200"/>
      <c r="BQ57" s="200"/>
      <c r="BR57" s="200"/>
      <c r="BS57" s="200"/>
      <c r="BT57" s="200"/>
      <c r="BU57" s="200"/>
      <c r="BV57" s="200"/>
      <c r="BW57" s="200"/>
      <c r="BX57" s="200"/>
      <c r="BY57" s="211">
        <f t="shared" si="31"/>
        <v>0</v>
      </c>
      <c r="BZ57" s="468"/>
      <c r="CA57" s="168"/>
      <c r="CB57" s="192" t="e">
        <f>SUM(INDEX(AC57:BX57, , 1):INDEX(AC57:BX57, ,MATCH(CB16, E15:BX15,0) ))</f>
        <v>#N/A</v>
      </c>
      <c r="CC57" s="468"/>
    </row>
    <row r="58" spans="2:81" ht="16" hidden="1" outlineLevel="1" x14ac:dyDescent="0.2">
      <c r="B58" s="485"/>
      <c r="C58" s="207" t="s">
        <v>258</v>
      </c>
      <c r="D58" s="212">
        <f>25%/12</f>
        <v>2.0833333333333332E-2</v>
      </c>
      <c r="E58" s="198"/>
      <c r="F58" s="198"/>
      <c r="G58" s="198"/>
      <c r="H58" s="198"/>
      <c r="I58" s="198"/>
      <c r="J58" s="198"/>
      <c r="K58" s="198"/>
      <c r="L58" s="198"/>
      <c r="M58" s="198"/>
      <c r="N58" s="198"/>
      <c r="O58" s="198"/>
      <c r="P58" s="198"/>
      <c r="Q58" s="198">
        <f>-64037-128069-128069</f>
        <v>-320175</v>
      </c>
      <c r="R58" s="198"/>
      <c r="S58" s="198"/>
      <c r="T58" s="198"/>
      <c r="U58" s="198"/>
      <c r="V58" s="198"/>
      <c r="W58" s="198"/>
      <c r="X58" s="198"/>
      <c r="Y58" s="198"/>
      <c r="Z58" s="198"/>
      <c r="AA58" s="198"/>
      <c r="AB58" s="198"/>
      <c r="AC58" s="198"/>
      <c r="AD58" s="198"/>
      <c r="AE58" s="198"/>
      <c r="AF58" s="198"/>
      <c r="AG58" s="198"/>
      <c r="AH58" s="198"/>
      <c r="AI58" s="198"/>
      <c r="AJ58" s="198"/>
      <c r="AK58" s="198"/>
      <c r="AL58" s="198"/>
      <c r="AM58" s="198"/>
      <c r="AN58" s="198"/>
      <c r="AO58" s="198"/>
      <c r="AP58" s="198"/>
      <c r="AQ58" s="198"/>
      <c r="AR58" s="198"/>
      <c r="AS58" s="198"/>
      <c r="AT58" s="198"/>
      <c r="AU58" s="198"/>
      <c r="AV58" s="198"/>
      <c r="AW58" s="198"/>
      <c r="AX58" s="198"/>
      <c r="AY58" s="198"/>
      <c r="AZ58" s="198"/>
      <c r="BA58" s="198"/>
      <c r="BB58" s="198"/>
      <c r="BC58" s="198"/>
      <c r="BD58" s="198"/>
      <c r="BE58" s="198"/>
      <c r="BF58" s="198"/>
      <c r="BG58" s="198"/>
      <c r="BH58" s="198"/>
      <c r="BI58" s="198"/>
      <c r="BJ58" s="198"/>
      <c r="BK58" s="198"/>
      <c r="BL58" s="195"/>
      <c r="BM58" s="200"/>
      <c r="BN58" s="200"/>
      <c r="BO58" s="200"/>
      <c r="BP58" s="200"/>
      <c r="BQ58" s="200"/>
      <c r="BR58" s="200"/>
      <c r="BS58" s="200"/>
      <c r="BT58" s="200"/>
      <c r="BU58" s="200"/>
      <c r="BV58" s="200"/>
      <c r="BW58" s="200"/>
      <c r="BX58" s="200"/>
      <c r="BY58" s="211">
        <f t="shared" si="31"/>
        <v>-320175</v>
      </c>
      <c r="BZ58" s="468"/>
      <c r="CA58" s="168"/>
      <c r="CB58" s="192" t="e">
        <f>SUM(INDEX(AC58:BX58, , 1):INDEX(AC58:BX58, ,MATCH(CB17, E16:BX16,0) ))</f>
        <v>#N/A</v>
      </c>
      <c r="CC58" s="468"/>
    </row>
    <row r="59" spans="2:81" ht="16" hidden="1" outlineLevel="1" x14ac:dyDescent="0.2">
      <c r="B59" s="485"/>
      <c r="C59" s="213" t="s">
        <v>259</v>
      </c>
      <c r="D59" s="214">
        <v>0.08</v>
      </c>
      <c r="E59" s="215"/>
      <c r="F59" s="215"/>
      <c r="G59" s="215"/>
      <c r="H59" s="215"/>
      <c r="I59" s="215"/>
      <c r="J59" s="215"/>
      <c r="K59" s="215"/>
      <c r="L59" s="215"/>
      <c r="M59" s="215"/>
      <c r="N59" s="215"/>
      <c r="O59" s="215"/>
      <c r="P59" s="215"/>
      <c r="Q59" s="215"/>
      <c r="R59" s="215"/>
      <c r="S59" s="215"/>
      <c r="T59" s="215"/>
      <c r="U59" s="215"/>
      <c r="V59" s="215"/>
      <c r="W59" s="215"/>
      <c r="X59" s="215"/>
      <c r="Y59" s="215"/>
      <c r="Z59" s="215"/>
      <c r="AA59" s="215"/>
      <c r="AB59" s="215">
        <f>-SUM($AB$11:AB11)*Businessplan_prodej!$E$93/12</f>
        <v>0</v>
      </c>
      <c r="AC59" s="215">
        <f>-SUM($AB$11:AC11)*Businessplan_prodej!$E$93/12</f>
        <v>-36179.29029513889</v>
      </c>
      <c r="AD59" s="215">
        <f>-SUM($AB$11:AD11)*Businessplan_prodej!$E$93/12</f>
        <v>-72358.580590277779</v>
      </c>
      <c r="AE59" s="215">
        <f>-SUM($AB$11:AE11)*Businessplan_prodej!$E$93/12</f>
        <v>-108537.87088541665</v>
      </c>
      <c r="AF59" s="215">
        <f>-SUM($AB$11:AF11)*Businessplan_prodej!$E$93/12</f>
        <v>-144717.16118055556</v>
      </c>
      <c r="AG59" s="215">
        <f>-SUM($AB$11:AG11)*Businessplan_prodej!$E$93/12</f>
        <v>-180896.45147569443</v>
      </c>
      <c r="AH59" s="215">
        <f>-SUM($AB$11:AH11)*Businessplan_prodej!$E$93/12</f>
        <v>-217075.74177083335</v>
      </c>
      <c r="AI59" s="215">
        <f>-SUM($AB$11:AI11)*Businessplan_prodej!$E$93/12</f>
        <v>-253255.03206597222</v>
      </c>
      <c r="AJ59" s="215">
        <f>-SUM($AB$11:AJ11)*Businessplan_prodej!$E$93/12</f>
        <v>-289434.32236111112</v>
      </c>
      <c r="AK59" s="215">
        <f>-SUM($AB$11:AK11)*Businessplan_prodej!$E$93/12</f>
        <v>-289434.32236111112</v>
      </c>
      <c r="AL59" s="215">
        <f>-SUM($AB$11:AL11)*Businessplan_prodej!$E$93/12</f>
        <v>-289434.32236111112</v>
      </c>
      <c r="AM59" s="215">
        <f>-SUM($AB$11:AM11)*Businessplan_prodej!$E$93/12</f>
        <v>-289434.32236111112</v>
      </c>
      <c r="AN59" s="215">
        <f>-SUM($AB$11:AN11)*Businessplan_prodej!$E$93/12</f>
        <v>-289434.32236111112</v>
      </c>
      <c r="AO59" s="215"/>
      <c r="AP59" s="215"/>
      <c r="AQ59" s="215"/>
      <c r="AR59" s="215"/>
      <c r="AS59" s="215"/>
      <c r="AT59" s="215"/>
      <c r="AU59" s="215"/>
      <c r="AV59" s="215"/>
      <c r="AW59" s="215"/>
      <c r="AX59" s="215"/>
      <c r="AY59" s="215"/>
      <c r="AZ59" s="215"/>
      <c r="BA59" s="215"/>
      <c r="BB59" s="215"/>
      <c r="BC59" s="215"/>
      <c r="BD59" s="215"/>
      <c r="BE59" s="215"/>
      <c r="BF59" s="215"/>
      <c r="BG59" s="215"/>
      <c r="BH59" s="215"/>
      <c r="BI59" s="215"/>
      <c r="BJ59" s="215"/>
      <c r="BK59" s="215"/>
      <c r="BL59" s="215"/>
      <c r="BM59" s="216"/>
      <c r="BN59" s="216"/>
      <c r="BO59" s="216"/>
      <c r="BP59" s="216"/>
      <c r="BQ59" s="216"/>
      <c r="BR59" s="216"/>
      <c r="BS59" s="216"/>
      <c r="BT59" s="216"/>
      <c r="BU59" s="216"/>
      <c r="BV59" s="216"/>
      <c r="BW59" s="216"/>
      <c r="BX59" s="216"/>
      <c r="BY59" s="217">
        <f t="shared" si="31"/>
        <v>-2460191.7400694448</v>
      </c>
      <c r="BZ59" s="468"/>
      <c r="CA59" s="168"/>
      <c r="CB59" s="192" t="e">
        <f>SUM(INDEX(AC59:BX59, , 1):INDEX(AC59:BX59, ,MATCH(CB18, E17:BX17,0) ))</f>
        <v>#N/A</v>
      </c>
      <c r="CC59" s="468"/>
    </row>
    <row r="60" spans="2:81" ht="16" collapsed="1" x14ac:dyDescent="0.2">
      <c r="B60" s="485"/>
      <c r="C60" s="188" t="s">
        <v>260</v>
      </c>
      <c r="D60" s="189"/>
      <c r="E60" s="190">
        <f t="shared" ref="E60:BY60" si="32">SUM(E61:E83)</f>
        <v>0</v>
      </c>
      <c r="F60" s="190">
        <f t="shared" si="32"/>
        <v>0</v>
      </c>
      <c r="G60" s="190">
        <f t="shared" si="32"/>
        <v>0</v>
      </c>
      <c r="H60" s="190">
        <f t="shared" si="32"/>
        <v>0</v>
      </c>
      <c r="I60" s="190">
        <f t="shared" si="32"/>
        <v>0</v>
      </c>
      <c r="J60" s="190">
        <f t="shared" si="32"/>
        <v>0</v>
      </c>
      <c r="K60" s="190">
        <f t="shared" si="32"/>
        <v>0</v>
      </c>
      <c r="L60" s="190">
        <f t="shared" si="32"/>
        <v>0</v>
      </c>
      <c r="M60" s="190">
        <f t="shared" si="32"/>
        <v>0</v>
      </c>
      <c r="N60" s="190">
        <f t="shared" si="32"/>
        <v>0</v>
      </c>
      <c r="O60" s="190">
        <f t="shared" si="32"/>
        <v>0</v>
      </c>
      <c r="P60" s="190">
        <f t="shared" si="32"/>
        <v>0</v>
      </c>
      <c r="Q60" s="190">
        <f t="shared" si="32"/>
        <v>0</v>
      </c>
      <c r="R60" s="190">
        <f t="shared" si="32"/>
        <v>0</v>
      </c>
      <c r="S60" s="190">
        <f t="shared" si="32"/>
        <v>0</v>
      </c>
      <c r="T60" s="190">
        <f t="shared" si="32"/>
        <v>0</v>
      </c>
      <c r="U60" s="190">
        <f t="shared" si="32"/>
        <v>0</v>
      </c>
      <c r="V60" s="190">
        <f t="shared" si="32"/>
        <v>0</v>
      </c>
      <c r="W60" s="190">
        <f t="shared" si="32"/>
        <v>0</v>
      </c>
      <c r="X60" s="190">
        <f t="shared" si="32"/>
        <v>0</v>
      </c>
      <c r="Y60" s="190">
        <f t="shared" si="32"/>
        <v>0</v>
      </c>
      <c r="Z60" s="190">
        <f t="shared" si="32"/>
        <v>0</v>
      </c>
      <c r="AA60" s="190">
        <f t="shared" si="32"/>
        <v>0</v>
      </c>
      <c r="AB60" s="190">
        <f t="shared" si="32"/>
        <v>0</v>
      </c>
      <c r="AC60" s="190">
        <f t="shared" si="32"/>
        <v>0</v>
      </c>
      <c r="AD60" s="190">
        <f t="shared" si="32"/>
        <v>0</v>
      </c>
      <c r="AE60" s="190">
        <f t="shared" si="32"/>
        <v>0</v>
      </c>
      <c r="AF60" s="190">
        <f t="shared" si="32"/>
        <v>0</v>
      </c>
      <c r="AG60" s="190">
        <f t="shared" si="32"/>
        <v>0</v>
      </c>
      <c r="AH60" s="190">
        <f t="shared" si="32"/>
        <v>0</v>
      </c>
      <c r="AI60" s="190">
        <f t="shared" si="32"/>
        <v>0</v>
      </c>
      <c r="AJ60" s="190">
        <f t="shared" si="32"/>
        <v>0</v>
      </c>
      <c r="AK60" s="190">
        <f t="shared" si="32"/>
        <v>0</v>
      </c>
      <c r="AL60" s="190">
        <f t="shared" si="32"/>
        <v>-72320</v>
      </c>
      <c r="AM60" s="190">
        <f t="shared" si="32"/>
        <v>-72320</v>
      </c>
      <c r="AN60" s="190">
        <f t="shared" si="32"/>
        <v>-72320</v>
      </c>
      <c r="AO60" s="190">
        <f t="shared" si="32"/>
        <v>0</v>
      </c>
      <c r="AP60" s="190">
        <f t="shared" si="32"/>
        <v>0</v>
      </c>
      <c r="AQ60" s="190">
        <f t="shared" si="32"/>
        <v>0</v>
      </c>
      <c r="AR60" s="190">
        <f t="shared" si="32"/>
        <v>0</v>
      </c>
      <c r="AS60" s="190">
        <f t="shared" si="32"/>
        <v>0</v>
      </c>
      <c r="AT60" s="190">
        <f t="shared" si="32"/>
        <v>0</v>
      </c>
      <c r="AU60" s="190">
        <f t="shared" si="32"/>
        <v>0</v>
      </c>
      <c r="AV60" s="190">
        <f t="shared" si="32"/>
        <v>0</v>
      </c>
      <c r="AW60" s="190">
        <f t="shared" si="32"/>
        <v>0</v>
      </c>
      <c r="AX60" s="190">
        <f t="shared" si="32"/>
        <v>0</v>
      </c>
      <c r="AY60" s="190">
        <f t="shared" si="32"/>
        <v>0</v>
      </c>
      <c r="AZ60" s="190">
        <f t="shared" si="32"/>
        <v>0</v>
      </c>
      <c r="BA60" s="190">
        <f t="shared" si="32"/>
        <v>0</v>
      </c>
      <c r="BB60" s="190">
        <f t="shared" si="32"/>
        <v>0</v>
      </c>
      <c r="BC60" s="190">
        <f t="shared" si="32"/>
        <v>0</v>
      </c>
      <c r="BD60" s="190">
        <f t="shared" si="32"/>
        <v>0</v>
      </c>
      <c r="BE60" s="190">
        <f t="shared" si="32"/>
        <v>0</v>
      </c>
      <c r="BF60" s="190">
        <f t="shared" si="32"/>
        <v>0</v>
      </c>
      <c r="BG60" s="190">
        <f t="shared" si="32"/>
        <v>0</v>
      </c>
      <c r="BH60" s="190">
        <f t="shared" si="32"/>
        <v>0</v>
      </c>
      <c r="BI60" s="190">
        <f t="shared" si="32"/>
        <v>0</v>
      </c>
      <c r="BJ60" s="190">
        <f t="shared" si="32"/>
        <v>0</v>
      </c>
      <c r="BK60" s="190">
        <f t="shared" si="32"/>
        <v>0</v>
      </c>
      <c r="BL60" s="190">
        <f t="shared" si="32"/>
        <v>0</v>
      </c>
      <c r="BM60" s="190">
        <f t="shared" si="32"/>
        <v>0</v>
      </c>
      <c r="BN60" s="190">
        <f t="shared" si="32"/>
        <v>0</v>
      </c>
      <c r="BO60" s="190">
        <f t="shared" si="32"/>
        <v>0</v>
      </c>
      <c r="BP60" s="190">
        <f t="shared" si="32"/>
        <v>0</v>
      </c>
      <c r="BQ60" s="190">
        <f t="shared" si="32"/>
        <v>0</v>
      </c>
      <c r="BR60" s="190">
        <f t="shared" si="32"/>
        <v>0</v>
      </c>
      <c r="BS60" s="190">
        <f t="shared" si="32"/>
        <v>0</v>
      </c>
      <c r="BT60" s="190">
        <f t="shared" si="32"/>
        <v>0</v>
      </c>
      <c r="BU60" s="190">
        <f t="shared" si="32"/>
        <v>0</v>
      </c>
      <c r="BV60" s="190">
        <f t="shared" si="32"/>
        <v>0</v>
      </c>
      <c r="BW60" s="190">
        <f t="shared" si="32"/>
        <v>0</v>
      </c>
      <c r="BX60" s="190">
        <f t="shared" si="32"/>
        <v>0</v>
      </c>
      <c r="BY60" s="191">
        <f t="shared" si="32"/>
        <v>-216960</v>
      </c>
      <c r="BZ60" s="468"/>
      <c r="CA60" s="168"/>
      <c r="CB60" s="192" t="e">
        <f t="array" ref="CB60">SUM(INDEX(E60:BX60, , 1):INDEX(E60:BX60, ,MATCH($CB$4, $E$3:$BX$3,0) ))</f>
        <v>#N/A</v>
      </c>
      <c r="CC60" s="468"/>
    </row>
    <row r="61" spans="2:81" ht="16" hidden="1" outlineLevel="1" x14ac:dyDescent="0.2">
      <c r="B61" s="485"/>
      <c r="C61" s="218" t="s">
        <v>261</v>
      </c>
      <c r="D61" s="194" t="s">
        <v>218</v>
      </c>
      <c r="E61" s="219"/>
      <c r="F61" s="219"/>
      <c r="G61" s="219"/>
      <c r="H61" s="219"/>
      <c r="I61" s="219"/>
      <c r="J61" s="219"/>
      <c r="K61" s="219"/>
      <c r="L61" s="219"/>
      <c r="M61" s="219"/>
      <c r="N61" s="219"/>
      <c r="O61" s="219"/>
      <c r="P61" s="219"/>
      <c r="Q61" s="219"/>
      <c r="R61" s="219"/>
      <c r="S61" s="219"/>
      <c r="T61" s="219"/>
      <c r="U61" s="219"/>
      <c r="V61" s="219"/>
      <c r="W61" s="219"/>
      <c r="X61" s="219"/>
      <c r="Y61" s="219"/>
      <c r="Z61" s="219"/>
      <c r="AA61" s="219"/>
      <c r="AB61" s="219"/>
      <c r="AC61" s="219"/>
      <c r="AD61" s="219"/>
      <c r="AE61" s="219"/>
      <c r="AF61" s="219"/>
      <c r="AG61" s="219"/>
      <c r="AH61" s="219"/>
      <c r="AI61" s="219"/>
      <c r="AJ61" s="219"/>
      <c r="AK61" s="219"/>
      <c r="AL61" s="219"/>
      <c r="AM61" s="219"/>
      <c r="AN61" s="219"/>
      <c r="AO61" s="219"/>
      <c r="AP61" s="219"/>
      <c r="AQ61" s="219"/>
      <c r="AR61" s="219"/>
      <c r="AS61" s="219"/>
      <c r="AT61" s="219"/>
      <c r="AU61" s="219"/>
      <c r="AV61" s="219"/>
      <c r="AW61" s="219"/>
      <c r="AX61" s="219"/>
      <c r="AY61" s="219"/>
      <c r="AZ61" s="219"/>
      <c r="BA61" s="219"/>
      <c r="BB61" s="219"/>
      <c r="BC61" s="219"/>
      <c r="BD61" s="219"/>
      <c r="BE61" s="219"/>
      <c r="BF61" s="219"/>
      <c r="BG61" s="219"/>
      <c r="BH61" s="219"/>
      <c r="BI61" s="219"/>
      <c r="BJ61" s="219"/>
      <c r="BK61" s="219"/>
      <c r="BL61" s="219"/>
      <c r="BM61" s="219"/>
      <c r="BN61" s="219"/>
      <c r="BO61" s="219"/>
      <c r="BP61" s="219"/>
      <c r="BQ61" s="219"/>
      <c r="BR61" s="219"/>
      <c r="BS61" s="219"/>
      <c r="BT61" s="219"/>
      <c r="BU61" s="219"/>
      <c r="BV61" s="219"/>
      <c r="BW61" s="219"/>
      <c r="BX61" s="219"/>
      <c r="BY61" s="220">
        <f t="shared" ref="BY61:BY83" si="33">SUM(E61:BX61)</f>
        <v>0</v>
      </c>
      <c r="BZ61" s="468"/>
      <c r="CA61" s="168"/>
      <c r="CB61" s="192" t="e">
        <f>SUM(INDEX(AC61:BX61, , 1):INDEX(AC61:BX61, ,MATCH(CB20, E19:BX19,0) ))</f>
        <v>#N/A</v>
      </c>
      <c r="CC61" s="468"/>
    </row>
    <row r="62" spans="2:81" ht="16" hidden="1" outlineLevel="1" x14ac:dyDescent="0.2">
      <c r="B62" s="485"/>
      <c r="C62" s="221" t="s">
        <v>262</v>
      </c>
      <c r="D62" s="194" t="s">
        <v>218</v>
      </c>
      <c r="E62" s="219"/>
      <c r="F62" s="219"/>
      <c r="G62" s="219"/>
      <c r="H62" s="219"/>
      <c r="I62" s="219"/>
      <c r="J62" s="219"/>
      <c r="K62" s="219"/>
      <c r="L62" s="219"/>
      <c r="M62" s="219"/>
      <c r="N62" s="219"/>
      <c r="O62" s="219"/>
      <c r="P62" s="219"/>
      <c r="Q62" s="219"/>
      <c r="R62" s="219"/>
      <c r="S62" s="219"/>
      <c r="T62" s="219"/>
      <c r="U62" s="219"/>
      <c r="V62" s="219"/>
      <c r="W62" s="219"/>
      <c r="X62" s="219"/>
      <c r="Y62" s="219"/>
      <c r="Z62" s="219"/>
      <c r="AA62" s="219"/>
      <c r="AB62" s="219"/>
      <c r="AC62" s="219"/>
      <c r="AD62" s="219"/>
      <c r="AE62" s="219"/>
      <c r="AF62" s="219"/>
      <c r="AG62" s="219"/>
      <c r="AH62" s="219"/>
      <c r="AI62" s="219"/>
      <c r="AJ62" s="219"/>
      <c r="AK62" s="219"/>
      <c r="AL62" s="219"/>
      <c r="AM62" s="219"/>
      <c r="AN62" s="219"/>
      <c r="AO62" s="219"/>
      <c r="AP62" s="219"/>
      <c r="AQ62" s="219"/>
      <c r="AR62" s="219"/>
      <c r="AS62" s="219"/>
      <c r="AT62" s="219"/>
      <c r="AU62" s="219"/>
      <c r="AV62" s="219"/>
      <c r="AW62" s="219"/>
      <c r="AX62" s="219"/>
      <c r="AY62" s="219"/>
      <c r="AZ62" s="219"/>
      <c r="BA62" s="219"/>
      <c r="BB62" s="219"/>
      <c r="BC62" s="219"/>
      <c r="BD62" s="219"/>
      <c r="BE62" s="219"/>
      <c r="BF62" s="219"/>
      <c r="BG62" s="219"/>
      <c r="BH62" s="219"/>
      <c r="BI62" s="219"/>
      <c r="BJ62" s="219"/>
      <c r="BK62" s="219"/>
      <c r="BL62" s="219"/>
      <c r="BM62" s="219"/>
      <c r="BN62" s="219"/>
      <c r="BO62" s="219"/>
      <c r="BP62" s="219"/>
      <c r="BQ62" s="219"/>
      <c r="BR62" s="219"/>
      <c r="BS62" s="219"/>
      <c r="BT62" s="219"/>
      <c r="BU62" s="219"/>
      <c r="BV62" s="219"/>
      <c r="BW62" s="219"/>
      <c r="BX62" s="219"/>
      <c r="BY62" s="220">
        <f t="shared" si="33"/>
        <v>0</v>
      </c>
      <c r="BZ62" s="468"/>
      <c r="CA62" s="168"/>
      <c r="CB62" s="192" t="e">
        <f>SUM(INDEX(AC62:BX62, , 1):INDEX(AC62:BX62, ,MATCH(CB21, E20:BX20,0) ))</f>
        <v>#N/A</v>
      </c>
      <c r="CC62" s="468"/>
    </row>
    <row r="63" spans="2:81" ht="16" hidden="1" outlineLevel="1" x14ac:dyDescent="0.2">
      <c r="B63" s="485"/>
      <c r="C63" s="221" t="s">
        <v>263</v>
      </c>
      <c r="D63" s="194" t="s">
        <v>218</v>
      </c>
      <c r="E63" s="219"/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19"/>
      <c r="AT63" s="219"/>
      <c r="AU63" s="219"/>
      <c r="AV63" s="219"/>
      <c r="AW63" s="219"/>
      <c r="AX63" s="219"/>
      <c r="AY63" s="219"/>
      <c r="AZ63" s="219"/>
      <c r="BA63" s="219"/>
      <c r="BB63" s="219"/>
      <c r="BC63" s="219"/>
      <c r="BD63" s="219"/>
      <c r="BE63" s="219"/>
      <c r="BF63" s="219"/>
      <c r="BG63" s="219"/>
      <c r="BH63" s="219"/>
      <c r="BI63" s="219"/>
      <c r="BJ63" s="219"/>
      <c r="BK63" s="219"/>
      <c r="BL63" s="219"/>
      <c r="BM63" s="219"/>
      <c r="BN63" s="219"/>
      <c r="BO63" s="219"/>
      <c r="BP63" s="219"/>
      <c r="BQ63" s="219"/>
      <c r="BR63" s="219"/>
      <c r="BS63" s="219"/>
      <c r="BT63" s="219"/>
      <c r="BU63" s="219"/>
      <c r="BV63" s="219"/>
      <c r="BW63" s="219"/>
      <c r="BX63" s="219"/>
      <c r="BY63" s="220">
        <f t="shared" si="33"/>
        <v>0</v>
      </c>
      <c r="BZ63" s="468"/>
      <c r="CA63" s="168"/>
      <c r="CB63" s="192" t="e">
        <f>SUM(INDEX(AC63:BX63, , 1):INDEX(AC63:BX63, ,MATCH(CB22, E21:BX21,0) ))</f>
        <v>#N/A</v>
      </c>
      <c r="CC63" s="468"/>
    </row>
    <row r="64" spans="2:81" ht="16" hidden="1" outlineLevel="1" x14ac:dyDescent="0.2">
      <c r="B64" s="485"/>
      <c r="C64" s="221" t="s">
        <v>264</v>
      </c>
      <c r="D64" s="194" t="s">
        <v>218</v>
      </c>
      <c r="E64" s="219"/>
      <c r="F64" s="219"/>
      <c r="G64" s="219"/>
      <c r="H64" s="219"/>
      <c r="I64" s="219"/>
      <c r="J64" s="219"/>
      <c r="K64" s="219"/>
      <c r="L64" s="219"/>
      <c r="M64" s="219"/>
      <c r="N64" s="219"/>
      <c r="O64" s="219"/>
      <c r="P64" s="219"/>
      <c r="Q64" s="219"/>
      <c r="R64" s="219"/>
      <c r="S64" s="219"/>
      <c r="T64" s="219"/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19"/>
      <c r="AF64" s="219"/>
      <c r="AG64" s="219"/>
      <c r="AH64" s="219"/>
      <c r="AI64" s="219"/>
      <c r="AJ64" s="219"/>
      <c r="AK64" s="219"/>
      <c r="AL64" s="219"/>
      <c r="AM64" s="219"/>
      <c r="AN64" s="219"/>
      <c r="AO64" s="219"/>
      <c r="AP64" s="219"/>
      <c r="AQ64" s="219"/>
      <c r="AR64" s="219"/>
      <c r="AS64" s="219"/>
      <c r="AT64" s="219"/>
      <c r="AU64" s="219"/>
      <c r="AV64" s="219"/>
      <c r="AW64" s="219"/>
      <c r="AX64" s="219"/>
      <c r="AY64" s="219"/>
      <c r="AZ64" s="219"/>
      <c r="BA64" s="219"/>
      <c r="BB64" s="219"/>
      <c r="BC64" s="219"/>
      <c r="BD64" s="219"/>
      <c r="BE64" s="219"/>
      <c r="BF64" s="219"/>
      <c r="BG64" s="219"/>
      <c r="BH64" s="219"/>
      <c r="BI64" s="219"/>
      <c r="BJ64" s="219"/>
      <c r="BK64" s="219"/>
      <c r="BL64" s="219"/>
      <c r="BM64" s="219"/>
      <c r="BN64" s="219"/>
      <c r="BO64" s="219"/>
      <c r="BP64" s="219"/>
      <c r="BQ64" s="219"/>
      <c r="BR64" s="219"/>
      <c r="BS64" s="219"/>
      <c r="BT64" s="219"/>
      <c r="BU64" s="219"/>
      <c r="BV64" s="219"/>
      <c r="BW64" s="219"/>
      <c r="BX64" s="219"/>
      <c r="BY64" s="220">
        <f t="shared" si="33"/>
        <v>0</v>
      </c>
      <c r="BZ64" s="468"/>
      <c r="CA64" s="168"/>
      <c r="CB64" s="192" t="e">
        <f>SUM(INDEX(AC64:BX64, , 1):INDEX(AC64:BX64, ,MATCH(CB23, E22:BX22,0) ))</f>
        <v>#N/A</v>
      </c>
      <c r="CC64" s="468"/>
    </row>
    <row r="65" spans="2:81" ht="16" hidden="1" outlineLevel="1" x14ac:dyDescent="0.2">
      <c r="B65" s="485"/>
      <c r="C65" s="221" t="s">
        <v>265</v>
      </c>
      <c r="D65" s="194" t="s">
        <v>218</v>
      </c>
      <c r="E65" s="219"/>
      <c r="F65" s="219"/>
      <c r="G65" s="219"/>
      <c r="H65" s="219"/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19"/>
      <c r="BN65" s="219"/>
      <c r="BO65" s="219"/>
      <c r="BP65" s="219"/>
      <c r="BQ65" s="219"/>
      <c r="BR65" s="219"/>
      <c r="BS65" s="219"/>
      <c r="BT65" s="219"/>
      <c r="BU65" s="219"/>
      <c r="BV65" s="219"/>
      <c r="BW65" s="219"/>
      <c r="BX65" s="219"/>
      <c r="BY65" s="220">
        <f t="shared" si="33"/>
        <v>0</v>
      </c>
      <c r="BZ65" s="468"/>
      <c r="CA65" s="168"/>
      <c r="CB65" s="192" t="e">
        <f>SUM(INDEX(AC65:BX65, , 1):INDEX(AC65:BX65, ,MATCH(CB24, E23:BX23,0) ))</f>
        <v>#N/A</v>
      </c>
      <c r="CC65" s="468"/>
    </row>
    <row r="66" spans="2:81" ht="16" hidden="1" outlineLevel="1" x14ac:dyDescent="0.2">
      <c r="B66" s="485"/>
      <c r="C66" s="221" t="s">
        <v>266</v>
      </c>
      <c r="D66" s="194" t="s">
        <v>218</v>
      </c>
      <c r="E66" s="219"/>
      <c r="F66" s="219"/>
      <c r="G66" s="219"/>
      <c r="H66" s="219"/>
      <c r="I66" s="219"/>
      <c r="J66" s="219"/>
      <c r="K66" s="219"/>
      <c r="L66" s="219"/>
      <c r="M66" s="219"/>
      <c r="N66" s="219"/>
      <c r="O66" s="219"/>
      <c r="P66" s="219"/>
      <c r="Q66" s="219"/>
      <c r="R66" s="219"/>
      <c r="S66" s="219"/>
      <c r="T66" s="219"/>
      <c r="U66" s="219"/>
      <c r="V66" s="219"/>
      <c r="W66" s="219"/>
      <c r="X66" s="219"/>
      <c r="Y66" s="219"/>
      <c r="Z66" s="219"/>
      <c r="AA66" s="219"/>
      <c r="AB66" s="219"/>
      <c r="AC66" s="219"/>
      <c r="AD66" s="219"/>
      <c r="AE66" s="219"/>
      <c r="AF66" s="219"/>
      <c r="AG66" s="219"/>
      <c r="AH66" s="219"/>
      <c r="AI66" s="219"/>
      <c r="AJ66" s="219"/>
      <c r="AK66" s="219"/>
      <c r="AL66" s="219"/>
      <c r="AM66" s="219"/>
      <c r="AN66" s="219"/>
      <c r="AO66" s="219"/>
      <c r="AP66" s="219"/>
      <c r="AQ66" s="219"/>
      <c r="AR66" s="219"/>
      <c r="AS66" s="219"/>
      <c r="AT66" s="219"/>
      <c r="AU66" s="219"/>
      <c r="AV66" s="219"/>
      <c r="AW66" s="219"/>
      <c r="AX66" s="219"/>
      <c r="AY66" s="219"/>
      <c r="AZ66" s="219"/>
      <c r="BA66" s="219"/>
      <c r="BB66" s="219"/>
      <c r="BC66" s="219"/>
      <c r="BD66" s="219"/>
      <c r="BE66" s="219"/>
      <c r="BF66" s="219"/>
      <c r="BG66" s="219"/>
      <c r="BH66" s="219"/>
      <c r="BI66" s="219"/>
      <c r="BJ66" s="219"/>
      <c r="BK66" s="219"/>
      <c r="BL66" s="219"/>
      <c r="BM66" s="219"/>
      <c r="BN66" s="219"/>
      <c r="BO66" s="219"/>
      <c r="BP66" s="219"/>
      <c r="BQ66" s="219"/>
      <c r="BR66" s="219"/>
      <c r="BS66" s="219"/>
      <c r="BT66" s="219"/>
      <c r="BU66" s="219"/>
      <c r="BV66" s="219"/>
      <c r="BW66" s="219"/>
      <c r="BX66" s="219"/>
      <c r="BY66" s="220">
        <f t="shared" si="33"/>
        <v>0</v>
      </c>
      <c r="BZ66" s="468"/>
      <c r="CA66" s="168"/>
      <c r="CB66" s="192" t="e">
        <f>SUM(INDEX(AC66:BX66, , 1):INDEX(AC66:BX66, ,MATCH(CB25, E24:BX24,0) ))</f>
        <v>#REF!</v>
      </c>
      <c r="CC66" s="468"/>
    </row>
    <row r="67" spans="2:81" ht="16" hidden="1" outlineLevel="1" x14ac:dyDescent="0.2">
      <c r="B67" s="485"/>
      <c r="C67" s="221" t="s">
        <v>267</v>
      </c>
      <c r="D67" s="194" t="s">
        <v>218</v>
      </c>
      <c r="E67" s="219"/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19"/>
      <c r="AT67" s="219"/>
      <c r="AU67" s="219"/>
      <c r="AV67" s="219"/>
      <c r="AW67" s="219"/>
      <c r="AX67" s="219"/>
      <c r="AY67" s="219"/>
      <c r="AZ67" s="219"/>
      <c r="BA67" s="219"/>
      <c r="BB67" s="219"/>
      <c r="BC67" s="219"/>
      <c r="BD67" s="219"/>
      <c r="BE67" s="219"/>
      <c r="BF67" s="219"/>
      <c r="BG67" s="219"/>
      <c r="BH67" s="219"/>
      <c r="BI67" s="219"/>
      <c r="BJ67" s="219"/>
      <c r="BK67" s="219"/>
      <c r="BL67" s="219"/>
      <c r="BM67" s="219"/>
      <c r="BN67" s="219"/>
      <c r="BO67" s="219"/>
      <c r="BP67" s="219"/>
      <c r="BQ67" s="219"/>
      <c r="BR67" s="219"/>
      <c r="BS67" s="219"/>
      <c r="BT67" s="219"/>
      <c r="BU67" s="219"/>
      <c r="BV67" s="219"/>
      <c r="BW67" s="219"/>
      <c r="BX67" s="219"/>
      <c r="BY67" s="220">
        <f t="shared" si="33"/>
        <v>0</v>
      </c>
      <c r="BZ67" s="468"/>
      <c r="CA67" s="168"/>
      <c r="CB67" s="192" t="e">
        <f t="array" ref="CB67">SUM(INDEX(AC67:BX67, , 1):INDEX(AC67:BX67, ,MATCH(CB29, E25:BX25,0) ))</f>
        <v>#REF!</v>
      </c>
      <c r="CC67" s="468"/>
    </row>
    <row r="68" spans="2:81" ht="16" hidden="1" outlineLevel="1" x14ac:dyDescent="0.2">
      <c r="B68" s="485"/>
      <c r="C68" s="221" t="s">
        <v>268</v>
      </c>
      <c r="D68" s="194" t="s">
        <v>218</v>
      </c>
      <c r="E68" s="219"/>
      <c r="F68" s="219"/>
      <c r="G68" s="219"/>
      <c r="H68" s="219"/>
      <c r="I68" s="219"/>
      <c r="J68" s="219"/>
      <c r="K68" s="219"/>
      <c r="L68" s="219"/>
      <c r="M68" s="219"/>
      <c r="N68" s="21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  <c r="AP68" s="219"/>
      <c r="AQ68" s="219"/>
      <c r="AR68" s="219"/>
      <c r="AS68" s="219"/>
      <c r="AT68" s="219"/>
      <c r="AU68" s="219"/>
      <c r="AV68" s="219"/>
      <c r="AW68" s="219"/>
      <c r="AX68" s="219"/>
      <c r="AY68" s="219"/>
      <c r="AZ68" s="219"/>
      <c r="BA68" s="219"/>
      <c r="BB68" s="219"/>
      <c r="BC68" s="219"/>
      <c r="BD68" s="219"/>
      <c r="BE68" s="219"/>
      <c r="BF68" s="219"/>
      <c r="BG68" s="219"/>
      <c r="BH68" s="219"/>
      <c r="BI68" s="219"/>
      <c r="BJ68" s="219"/>
      <c r="BK68" s="219"/>
      <c r="BL68" s="219"/>
      <c r="BM68" s="219"/>
      <c r="BN68" s="219"/>
      <c r="BO68" s="219"/>
      <c r="BP68" s="219"/>
      <c r="BQ68" s="219"/>
      <c r="BR68" s="219"/>
      <c r="BS68" s="219"/>
      <c r="BT68" s="219"/>
      <c r="BU68" s="219"/>
      <c r="BV68" s="219"/>
      <c r="BW68" s="219"/>
      <c r="BX68" s="219"/>
      <c r="BY68" s="220">
        <f t="shared" si="33"/>
        <v>0</v>
      </c>
      <c r="BZ68" s="468"/>
      <c r="CA68" s="168"/>
      <c r="CB68" s="192" t="e">
        <f t="array" ref="CB68">SUM(INDEX(AC68:BX68, , 1):INDEX(AC68:BX68, ,MATCH(CB30, E29:BX29,0) ))</f>
        <v>#N/A</v>
      </c>
      <c r="CC68" s="468"/>
    </row>
    <row r="69" spans="2:81" ht="16" hidden="1" outlineLevel="1" x14ac:dyDescent="0.2">
      <c r="B69" s="485"/>
      <c r="C69" s="221" t="s">
        <v>269</v>
      </c>
      <c r="D69" s="194" t="s">
        <v>218</v>
      </c>
      <c r="E69" s="219"/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19"/>
      <c r="U69" s="219"/>
      <c r="V69" s="219"/>
      <c r="W69" s="219"/>
      <c r="X69" s="219"/>
      <c r="Y69" s="219"/>
      <c r="Z69" s="219"/>
      <c r="AA69" s="219"/>
      <c r="AB69" s="219"/>
      <c r="AC69" s="219"/>
      <c r="AD69" s="219"/>
      <c r="AE69" s="219"/>
      <c r="AF69" s="219"/>
      <c r="AG69" s="219"/>
      <c r="AH69" s="219"/>
      <c r="AI69" s="219"/>
      <c r="AJ69" s="219"/>
      <c r="AK69" s="219"/>
      <c r="AL69" s="219"/>
      <c r="AM69" s="219"/>
      <c r="AN69" s="219"/>
      <c r="AO69" s="219"/>
      <c r="AP69" s="219"/>
      <c r="AQ69" s="219"/>
      <c r="AR69" s="219"/>
      <c r="AS69" s="219"/>
      <c r="AT69" s="219"/>
      <c r="AU69" s="219"/>
      <c r="AV69" s="219"/>
      <c r="AW69" s="219"/>
      <c r="AX69" s="219"/>
      <c r="AY69" s="219"/>
      <c r="AZ69" s="219"/>
      <c r="BA69" s="219"/>
      <c r="BB69" s="219"/>
      <c r="BC69" s="219"/>
      <c r="BD69" s="219"/>
      <c r="BE69" s="219"/>
      <c r="BF69" s="219"/>
      <c r="BG69" s="219"/>
      <c r="BH69" s="219"/>
      <c r="BI69" s="219"/>
      <c r="BJ69" s="219"/>
      <c r="BK69" s="219"/>
      <c r="BL69" s="219"/>
      <c r="BM69" s="219"/>
      <c r="BN69" s="219"/>
      <c r="BO69" s="219"/>
      <c r="BP69" s="219"/>
      <c r="BQ69" s="219"/>
      <c r="BR69" s="219"/>
      <c r="BS69" s="219"/>
      <c r="BT69" s="219"/>
      <c r="BU69" s="219"/>
      <c r="BV69" s="219"/>
      <c r="BW69" s="219"/>
      <c r="BX69" s="219"/>
      <c r="BY69" s="220">
        <f t="shared" si="33"/>
        <v>0</v>
      </c>
      <c r="BZ69" s="468"/>
      <c r="CA69" s="168"/>
      <c r="CB69" s="192" t="e">
        <f t="array" ref="CB69">SUM(INDEX(AC69:BX69, , 1):INDEX(AC69:BX69, ,MATCH(#REF!, E30:BX30,0) ))</f>
        <v>#REF!</v>
      </c>
      <c r="CC69" s="468"/>
    </row>
    <row r="70" spans="2:81" ht="16" hidden="1" outlineLevel="1" x14ac:dyDescent="0.2">
      <c r="B70" s="485"/>
      <c r="C70" s="221" t="s">
        <v>270</v>
      </c>
      <c r="D70" s="194" t="s">
        <v>218</v>
      </c>
      <c r="E70" s="219"/>
      <c r="F70" s="219"/>
      <c r="G70" s="219"/>
      <c r="H70" s="219"/>
      <c r="I70" s="219"/>
      <c r="J70" s="219"/>
      <c r="K70" s="219"/>
      <c r="L70" s="219"/>
      <c r="M70" s="219"/>
      <c r="N70" s="219"/>
      <c r="O70" s="219"/>
      <c r="P70" s="219"/>
      <c r="Q70" s="219"/>
      <c r="R70" s="219"/>
      <c r="S70" s="219"/>
      <c r="T70" s="219"/>
      <c r="U70" s="219"/>
      <c r="V70" s="219"/>
      <c r="W70" s="219"/>
      <c r="X70" s="219"/>
      <c r="Y70" s="219"/>
      <c r="Z70" s="219"/>
      <c r="AA70" s="219"/>
      <c r="AB70" s="219"/>
      <c r="AC70" s="219"/>
      <c r="AD70" s="219"/>
      <c r="AE70" s="219"/>
      <c r="AF70" s="219"/>
      <c r="AG70" s="219"/>
      <c r="AH70" s="219"/>
      <c r="AI70" s="219"/>
      <c r="AJ70" s="219"/>
      <c r="AK70" s="219"/>
      <c r="AL70" s="219"/>
      <c r="AM70" s="219"/>
      <c r="AN70" s="219"/>
      <c r="AO70" s="219"/>
      <c r="AP70" s="219"/>
      <c r="AQ70" s="219"/>
      <c r="AR70" s="219"/>
      <c r="AS70" s="219"/>
      <c r="AT70" s="219"/>
      <c r="AU70" s="219"/>
      <c r="AV70" s="219"/>
      <c r="AW70" s="219"/>
      <c r="AX70" s="219"/>
      <c r="AY70" s="219"/>
      <c r="AZ70" s="219"/>
      <c r="BA70" s="219"/>
      <c r="BB70" s="219"/>
      <c r="BC70" s="219"/>
      <c r="BD70" s="219"/>
      <c r="BE70" s="219"/>
      <c r="BF70" s="219"/>
      <c r="BG70" s="219"/>
      <c r="BH70" s="219"/>
      <c r="BI70" s="219"/>
      <c r="BJ70" s="219"/>
      <c r="BK70" s="219"/>
      <c r="BL70" s="219"/>
      <c r="BM70" s="219"/>
      <c r="BN70" s="219"/>
      <c r="BO70" s="219"/>
      <c r="BP70" s="219"/>
      <c r="BQ70" s="219"/>
      <c r="BR70" s="219"/>
      <c r="BS70" s="219"/>
      <c r="BT70" s="219"/>
      <c r="BU70" s="219"/>
      <c r="BV70" s="219"/>
      <c r="BW70" s="219"/>
      <c r="BX70" s="219"/>
      <c r="BY70" s="220">
        <f t="shared" si="33"/>
        <v>0</v>
      </c>
      <c r="BZ70" s="468"/>
      <c r="CA70" s="168"/>
      <c r="CB70" s="192" t="e">
        <f t="array" ref="CB70">SUM(INDEX(AC70:BX70, , 1):INDEX(AC70:BX70, ,MATCH(CB33,#REF!, 0) ))</f>
        <v>#REF!</v>
      </c>
      <c r="CC70" s="468"/>
    </row>
    <row r="71" spans="2:81" ht="16" hidden="1" outlineLevel="1" x14ac:dyDescent="0.2">
      <c r="B71" s="485"/>
      <c r="C71" s="221" t="s">
        <v>271</v>
      </c>
      <c r="D71" s="194" t="s">
        <v>218</v>
      </c>
      <c r="E71" s="219"/>
      <c r="F71" s="219"/>
      <c r="G71" s="219"/>
      <c r="H71" s="219"/>
      <c r="I71" s="219"/>
      <c r="J71" s="219"/>
      <c r="K71" s="219"/>
      <c r="L71" s="219"/>
      <c r="M71" s="219"/>
      <c r="N71" s="219"/>
      <c r="O71" s="219"/>
      <c r="P71" s="219"/>
      <c r="Q71" s="219"/>
      <c r="R71" s="219"/>
      <c r="S71" s="219"/>
      <c r="T71" s="219"/>
      <c r="U71" s="219"/>
      <c r="V71" s="219"/>
      <c r="W71" s="219"/>
      <c r="X71" s="219"/>
      <c r="Y71" s="219"/>
      <c r="Z71" s="219"/>
      <c r="AA71" s="219"/>
      <c r="AB71" s="219"/>
      <c r="AC71" s="219"/>
      <c r="AD71" s="219"/>
      <c r="AE71" s="219"/>
      <c r="AF71" s="219"/>
      <c r="AG71" s="219"/>
      <c r="AH71" s="219"/>
      <c r="AI71" s="219"/>
      <c r="AJ71" s="219"/>
      <c r="AK71" s="219"/>
      <c r="AL71" s="219"/>
      <c r="AM71" s="219"/>
      <c r="AN71" s="219"/>
      <c r="AO71" s="219"/>
      <c r="AP71" s="219"/>
      <c r="AQ71" s="219"/>
      <c r="AR71" s="219"/>
      <c r="AS71" s="219"/>
      <c r="AT71" s="219"/>
      <c r="AU71" s="219"/>
      <c r="AV71" s="219"/>
      <c r="AW71" s="219"/>
      <c r="AX71" s="219"/>
      <c r="AY71" s="219"/>
      <c r="AZ71" s="219"/>
      <c r="BA71" s="219"/>
      <c r="BB71" s="219"/>
      <c r="BC71" s="219"/>
      <c r="BD71" s="219"/>
      <c r="BE71" s="219"/>
      <c r="BF71" s="219"/>
      <c r="BG71" s="219"/>
      <c r="BH71" s="219"/>
      <c r="BI71" s="219"/>
      <c r="BJ71" s="219"/>
      <c r="BK71" s="219"/>
      <c r="BL71" s="219"/>
      <c r="BM71" s="219"/>
      <c r="BN71" s="219"/>
      <c r="BO71" s="219"/>
      <c r="BP71" s="219"/>
      <c r="BQ71" s="219"/>
      <c r="BR71" s="219"/>
      <c r="BS71" s="219"/>
      <c r="BT71" s="219"/>
      <c r="BU71" s="219"/>
      <c r="BV71" s="219"/>
      <c r="BW71" s="219"/>
      <c r="BX71" s="219"/>
      <c r="BY71" s="220">
        <f t="shared" si="33"/>
        <v>0</v>
      </c>
      <c r="BZ71" s="468"/>
      <c r="CA71" s="168"/>
      <c r="CB71" s="192" t="e">
        <f t="array" ref="CB71">SUM(INDEX(AC71:BX71, , 1):INDEX(AC71:BX71, ,MATCH(CB34, E33:BX33,0) ))</f>
        <v>#REF!</v>
      </c>
      <c r="CC71" s="468"/>
    </row>
    <row r="72" spans="2:81" ht="16" hidden="1" outlineLevel="1" x14ac:dyDescent="0.2">
      <c r="B72" s="485"/>
      <c r="C72" s="221" t="s">
        <v>272</v>
      </c>
      <c r="D72" s="194" t="s">
        <v>218</v>
      </c>
      <c r="E72" s="219"/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19"/>
      <c r="U72" s="219"/>
      <c r="V72" s="219"/>
      <c r="W72" s="219"/>
      <c r="X72" s="219"/>
      <c r="Y72" s="219"/>
      <c r="Z72" s="219"/>
      <c r="AA72" s="219"/>
      <c r="AB72" s="219"/>
      <c r="AC72" s="219"/>
      <c r="AD72" s="219"/>
      <c r="AE72" s="219"/>
      <c r="AF72" s="219"/>
      <c r="AG72" s="219"/>
      <c r="AH72" s="219"/>
      <c r="AI72" s="219"/>
      <c r="AJ72" s="219"/>
      <c r="AK72" s="219"/>
      <c r="AL72" s="219"/>
      <c r="AM72" s="219"/>
      <c r="AN72" s="219"/>
      <c r="AO72" s="219"/>
      <c r="AP72" s="219"/>
      <c r="AQ72" s="219"/>
      <c r="AR72" s="219"/>
      <c r="AS72" s="219"/>
      <c r="AT72" s="219"/>
      <c r="AU72" s="219"/>
      <c r="AV72" s="219"/>
      <c r="AW72" s="219"/>
      <c r="AX72" s="219"/>
      <c r="AY72" s="219"/>
      <c r="AZ72" s="219"/>
      <c r="BA72" s="219"/>
      <c r="BB72" s="219"/>
      <c r="BC72" s="219"/>
      <c r="BD72" s="219"/>
      <c r="BE72" s="219"/>
      <c r="BF72" s="219"/>
      <c r="BG72" s="219"/>
      <c r="BH72" s="219"/>
      <c r="BI72" s="219"/>
      <c r="BJ72" s="219"/>
      <c r="BK72" s="219"/>
      <c r="BL72" s="219"/>
      <c r="BM72" s="219"/>
      <c r="BN72" s="219"/>
      <c r="BO72" s="219"/>
      <c r="BP72" s="219"/>
      <c r="BQ72" s="219"/>
      <c r="BR72" s="219"/>
      <c r="BS72" s="219"/>
      <c r="BT72" s="219"/>
      <c r="BU72" s="219"/>
      <c r="BV72" s="219"/>
      <c r="BW72" s="219"/>
      <c r="BX72" s="219"/>
      <c r="BY72" s="220">
        <f t="shared" si="33"/>
        <v>0</v>
      </c>
      <c r="BZ72" s="468"/>
      <c r="CA72" s="168"/>
      <c r="CB72" s="192" t="e">
        <f t="array" ref="CB72">SUM(INDEX(AC72:BX72, , 1):INDEX(AC72:BX72, ,MATCH(#REF!, E34:BX34,0) ))</f>
        <v>#REF!</v>
      </c>
      <c r="CC72" s="468"/>
    </row>
    <row r="73" spans="2:81" ht="16" hidden="1" outlineLevel="1" x14ac:dyDescent="0.2">
      <c r="B73" s="485"/>
      <c r="C73" s="221" t="s">
        <v>273</v>
      </c>
      <c r="D73" s="194" t="s">
        <v>218</v>
      </c>
      <c r="E73" s="219"/>
      <c r="F73" s="219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19"/>
      <c r="U73" s="219"/>
      <c r="V73" s="219"/>
      <c r="W73" s="219"/>
      <c r="X73" s="219"/>
      <c r="Y73" s="219"/>
      <c r="Z73" s="219"/>
      <c r="AA73" s="219"/>
      <c r="AB73" s="219"/>
      <c r="AC73" s="219"/>
      <c r="AD73" s="219"/>
      <c r="AE73" s="219"/>
      <c r="AF73" s="219"/>
      <c r="AG73" s="219"/>
      <c r="AH73" s="219"/>
      <c r="AI73" s="219"/>
      <c r="AJ73" s="219"/>
      <c r="AK73" s="219"/>
      <c r="AL73" s="219"/>
      <c r="AM73" s="219"/>
      <c r="AN73" s="219"/>
      <c r="AO73" s="219"/>
      <c r="AP73" s="219"/>
      <c r="AQ73" s="219"/>
      <c r="AR73" s="219"/>
      <c r="AS73" s="219"/>
      <c r="AT73" s="219"/>
      <c r="AU73" s="219"/>
      <c r="AV73" s="219"/>
      <c r="AW73" s="219"/>
      <c r="AX73" s="219"/>
      <c r="AY73" s="219"/>
      <c r="AZ73" s="219"/>
      <c r="BA73" s="219"/>
      <c r="BB73" s="219"/>
      <c r="BC73" s="219"/>
      <c r="BD73" s="219"/>
      <c r="BE73" s="219"/>
      <c r="BF73" s="219"/>
      <c r="BG73" s="219"/>
      <c r="BH73" s="219"/>
      <c r="BI73" s="219"/>
      <c r="BJ73" s="219"/>
      <c r="BK73" s="219"/>
      <c r="BL73" s="219"/>
      <c r="BM73" s="219"/>
      <c r="BN73" s="219"/>
      <c r="BO73" s="219"/>
      <c r="BP73" s="219"/>
      <c r="BQ73" s="219"/>
      <c r="BR73" s="219"/>
      <c r="BS73" s="219"/>
      <c r="BT73" s="219"/>
      <c r="BU73" s="219"/>
      <c r="BV73" s="219"/>
      <c r="BW73" s="219"/>
      <c r="BX73" s="219"/>
      <c r="BY73" s="220">
        <f t="shared" si="33"/>
        <v>0</v>
      </c>
      <c r="BZ73" s="468"/>
      <c r="CA73" s="168"/>
      <c r="CB73" s="192" t="e">
        <f t="array" ref="CB73">SUM(INDEX(AC73:BX73, , 1):INDEX(AC73:BX73, ,MATCH(CB35,#REF!, 0) ))</f>
        <v>#REF!</v>
      </c>
      <c r="CC73" s="468"/>
    </row>
    <row r="74" spans="2:81" ht="16" hidden="1" outlineLevel="1" x14ac:dyDescent="0.2">
      <c r="B74" s="485"/>
      <c r="C74" s="221" t="s">
        <v>274</v>
      </c>
      <c r="D74" s="194" t="s">
        <v>218</v>
      </c>
      <c r="E74" s="219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9"/>
      <c r="Z74" s="219"/>
      <c r="AA74" s="219"/>
      <c r="AB74" s="219"/>
      <c r="AC74" s="219"/>
      <c r="AD74" s="219"/>
      <c r="AE74" s="219"/>
      <c r="AF74" s="219"/>
      <c r="AG74" s="219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19"/>
      <c r="AU74" s="219"/>
      <c r="AV74" s="219"/>
      <c r="AW74" s="219"/>
      <c r="AX74" s="219"/>
      <c r="AY74" s="219"/>
      <c r="AZ74" s="219"/>
      <c r="BA74" s="219"/>
      <c r="BB74" s="219"/>
      <c r="BC74" s="219"/>
      <c r="BD74" s="219"/>
      <c r="BE74" s="219"/>
      <c r="BF74" s="219"/>
      <c r="BG74" s="219"/>
      <c r="BH74" s="219"/>
      <c r="BI74" s="219"/>
      <c r="BJ74" s="219"/>
      <c r="BK74" s="219"/>
      <c r="BL74" s="219"/>
      <c r="BM74" s="219"/>
      <c r="BN74" s="219"/>
      <c r="BO74" s="219"/>
      <c r="BP74" s="219"/>
      <c r="BQ74" s="219"/>
      <c r="BR74" s="219"/>
      <c r="BS74" s="219"/>
      <c r="BT74" s="219"/>
      <c r="BU74" s="219"/>
      <c r="BV74" s="219"/>
      <c r="BW74" s="219"/>
      <c r="BX74" s="219"/>
      <c r="BY74" s="220">
        <f t="shared" si="33"/>
        <v>0</v>
      </c>
      <c r="BZ74" s="468"/>
      <c r="CA74" s="168"/>
      <c r="CB74" s="192" t="e">
        <f t="array" ref="CB74">SUM(INDEX(AC74:BX74, , 1):INDEX(AC74:BX74, ,MATCH(#REF!, E35:BX35,0) ))</f>
        <v>#REF!</v>
      </c>
      <c r="CC74" s="468"/>
    </row>
    <row r="75" spans="2:81" ht="16" hidden="1" outlineLevel="1" x14ac:dyDescent="0.2">
      <c r="B75" s="485"/>
      <c r="C75" s="221" t="s">
        <v>275</v>
      </c>
      <c r="D75" s="194" t="s">
        <v>218</v>
      </c>
      <c r="E75" s="219"/>
      <c r="F75" s="219"/>
      <c r="G75" s="219"/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19"/>
      <c r="AI75" s="219"/>
      <c r="AJ75" s="219"/>
      <c r="AK75" s="219"/>
      <c r="AL75" s="219"/>
      <c r="AM75" s="219"/>
      <c r="AN75" s="219"/>
      <c r="AO75" s="219"/>
      <c r="AP75" s="219"/>
      <c r="AQ75" s="219"/>
      <c r="AR75" s="219"/>
      <c r="AS75" s="219"/>
      <c r="AT75" s="219"/>
      <c r="AU75" s="219"/>
      <c r="AV75" s="219"/>
      <c r="AW75" s="219"/>
      <c r="AX75" s="219"/>
      <c r="AY75" s="219"/>
      <c r="AZ75" s="219"/>
      <c r="BA75" s="219"/>
      <c r="BB75" s="219"/>
      <c r="BC75" s="219"/>
      <c r="BD75" s="219"/>
      <c r="BE75" s="219"/>
      <c r="BF75" s="219"/>
      <c r="BG75" s="219"/>
      <c r="BH75" s="219"/>
      <c r="BI75" s="219"/>
      <c r="BJ75" s="219"/>
      <c r="BK75" s="219"/>
      <c r="BL75" s="219"/>
      <c r="BM75" s="219"/>
      <c r="BN75" s="219"/>
      <c r="BO75" s="219"/>
      <c r="BP75" s="219"/>
      <c r="BQ75" s="219"/>
      <c r="BR75" s="219"/>
      <c r="BS75" s="219"/>
      <c r="BT75" s="219"/>
      <c r="BU75" s="219"/>
      <c r="BV75" s="219"/>
      <c r="BW75" s="219"/>
      <c r="BX75" s="219"/>
      <c r="BY75" s="220">
        <f t="shared" si="33"/>
        <v>0</v>
      </c>
      <c r="BZ75" s="468"/>
      <c r="CA75" s="168"/>
      <c r="CB75" s="192" t="e">
        <f t="array" ref="CB75">SUM(INDEX(AC75:BX75, , 1):INDEX(AC75:BX75, ,MATCH(CB36,#REF!, 0) ))</f>
        <v>#REF!</v>
      </c>
      <c r="CC75" s="468"/>
    </row>
    <row r="76" spans="2:81" ht="16" hidden="1" outlineLevel="1" x14ac:dyDescent="0.2">
      <c r="B76" s="485"/>
      <c r="C76" s="221" t="s">
        <v>276</v>
      </c>
      <c r="D76" s="194" t="s">
        <v>218</v>
      </c>
      <c r="E76" s="219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9"/>
      <c r="Z76" s="219"/>
      <c r="AA76" s="219"/>
      <c r="AB76" s="219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  <c r="AP76" s="219"/>
      <c r="AQ76" s="219"/>
      <c r="AR76" s="219"/>
      <c r="AS76" s="219"/>
      <c r="AT76" s="219"/>
      <c r="AU76" s="219"/>
      <c r="AV76" s="219"/>
      <c r="AW76" s="219"/>
      <c r="AX76" s="219"/>
      <c r="AY76" s="219"/>
      <c r="AZ76" s="219"/>
      <c r="BA76" s="219"/>
      <c r="BB76" s="219"/>
      <c r="BC76" s="219"/>
      <c r="BD76" s="219"/>
      <c r="BE76" s="219"/>
      <c r="BF76" s="219"/>
      <c r="BG76" s="219"/>
      <c r="BH76" s="219"/>
      <c r="BI76" s="219"/>
      <c r="BJ76" s="219"/>
      <c r="BK76" s="219"/>
      <c r="BL76" s="219"/>
      <c r="BM76" s="219"/>
      <c r="BN76" s="219"/>
      <c r="BO76" s="219"/>
      <c r="BP76" s="219"/>
      <c r="BQ76" s="219"/>
      <c r="BR76" s="219"/>
      <c r="BS76" s="219"/>
      <c r="BT76" s="219"/>
      <c r="BU76" s="219"/>
      <c r="BV76" s="219"/>
      <c r="BW76" s="219"/>
      <c r="BX76" s="219"/>
      <c r="BY76" s="220">
        <f t="shared" si="33"/>
        <v>0</v>
      </c>
      <c r="BZ76" s="468"/>
      <c r="CA76" s="168"/>
      <c r="CB76" s="192" t="e">
        <f t="array" ref="CB76">SUM(INDEX(AC76:BX76, , 1):INDEX(AC76:BX76, ,MATCH(#REF!, E36:BX36,0) ))</f>
        <v>#REF!</v>
      </c>
      <c r="CC76" s="468"/>
    </row>
    <row r="77" spans="2:81" ht="16" hidden="1" outlineLevel="1" x14ac:dyDescent="0.2">
      <c r="B77" s="485"/>
      <c r="C77" s="221" t="s">
        <v>277</v>
      </c>
      <c r="D77" s="194" t="s">
        <v>218</v>
      </c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19"/>
      <c r="AU77" s="219"/>
      <c r="AV77" s="219"/>
      <c r="AW77" s="219"/>
      <c r="AX77" s="219"/>
      <c r="AY77" s="219"/>
      <c r="AZ77" s="219"/>
      <c r="BA77" s="219"/>
      <c r="BB77" s="219"/>
      <c r="BC77" s="219"/>
      <c r="BD77" s="219"/>
      <c r="BE77" s="219"/>
      <c r="BF77" s="219"/>
      <c r="BG77" s="219"/>
      <c r="BH77" s="219"/>
      <c r="BI77" s="219"/>
      <c r="BJ77" s="219"/>
      <c r="BK77" s="219"/>
      <c r="BL77" s="219"/>
      <c r="BM77" s="219"/>
      <c r="BN77" s="219"/>
      <c r="BO77" s="219"/>
      <c r="BP77" s="219"/>
      <c r="BQ77" s="219"/>
      <c r="BR77" s="219"/>
      <c r="BS77" s="219"/>
      <c r="BT77" s="219"/>
      <c r="BU77" s="219"/>
      <c r="BV77" s="219"/>
      <c r="BW77" s="219"/>
      <c r="BX77" s="219"/>
      <c r="BY77" s="220">
        <f t="shared" si="33"/>
        <v>0</v>
      </c>
      <c r="BZ77" s="468"/>
      <c r="CA77" s="168" t="s">
        <v>278</v>
      </c>
      <c r="CB77" s="192" t="e">
        <f t="shared" ref="CB77:CB78" si="34">SUM(INDEX(AC77:BX77, , 1):INDEX(AC77:BX77, ,MATCH(#REF!,#REF!, 0) ))</f>
        <v>#REF!</v>
      </c>
      <c r="CC77" s="468"/>
    </row>
    <row r="78" spans="2:81" ht="16" hidden="1" outlineLevel="1" x14ac:dyDescent="0.2">
      <c r="B78" s="485"/>
      <c r="C78" s="221" t="s">
        <v>279</v>
      </c>
      <c r="D78" s="194" t="s">
        <v>218</v>
      </c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19"/>
      <c r="BN78" s="219"/>
      <c r="BO78" s="219"/>
      <c r="BP78" s="219"/>
      <c r="BQ78" s="219"/>
      <c r="BR78" s="219"/>
      <c r="BS78" s="219"/>
      <c r="BT78" s="219"/>
      <c r="BU78" s="219"/>
      <c r="BV78" s="219"/>
      <c r="BW78" s="219"/>
      <c r="BX78" s="219"/>
      <c r="BY78" s="220">
        <f t="shared" si="33"/>
        <v>0</v>
      </c>
      <c r="BZ78" s="468"/>
      <c r="CA78" s="168"/>
      <c r="CB78" s="192" t="e">
        <f t="shared" si="34"/>
        <v>#REF!</v>
      </c>
      <c r="CC78" s="468"/>
    </row>
    <row r="79" spans="2:81" ht="16" hidden="1" outlineLevel="1" x14ac:dyDescent="0.2">
      <c r="B79" s="485"/>
      <c r="C79" s="222" t="s">
        <v>242</v>
      </c>
      <c r="D79" s="194" t="s">
        <v>218</v>
      </c>
      <c r="E79" s="219"/>
      <c r="F79" s="195"/>
      <c r="G79" s="195"/>
      <c r="H79" s="195"/>
      <c r="I79" s="195"/>
      <c r="J79" s="195"/>
      <c r="K79" s="195"/>
      <c r="L79" s="195"/>
      <c r="M79" s="195"/>
      <c r="N79" s="195"/>
      <c r="O79" s="195"/>
      <c r="P79" s="195"/>
      <c r="Q79" s="195"/>
      <c r="R79" s="195"/>
      <c r="S79" s="195"/>
      <c r="T79" s="195"/>
      <c r="U79" s="195"/>
      <c r="V79" s="195"/>
      <c r="W79" s="195"/>
      <c r="X79" s="195"/>
      <c r="Y79" s="195"/>
      <c r="Z79" s="195"/>
      <c r="AA79" s="195"/>
      <c r="AB79" s="195"/>
      <c r="AC79" s="195"/>
      <c r="AD79" s="195"/>
      <c r="AE79" s="195"/>
      <c r="AF79" s="195"/>
      <c r="AG79" s="195"/>
      <c r="AH79" s="195"/>
      <c r="AI79" s="195"/>
      <c r="AJ79" s="195"/>
      <c r="AK79" s="195"/>
      <c r="AL79" s="195">
        <f>-Businessplan_prodej!$N$19/12</f>
        <v>-72320</v>
      </c>
      <c r="AM79" s="195">
        <f>-Businessplan_prodej!$N$19/12</f>
        <v>-72320</v>
      </c>
      <c r="AN79" s="195">
        <f>-Businessplan_prodej!$N$19/12</f>
        <v>-72320</v>
      </c>
      <c r="AO79" s="195"/>
      <c r="AP79" s="195"/>
      <c r="AQ79" s="195"/>
      <c r="AR79" s="195"/>
      <c r="AS79" s="195"/>
      <c r="AT79" s="195"/>
      <c r="AU79" s="195"/>
      <c r="AV79" s="195"/>
      <c r="AW79" s="195"/>
      <c r="AX79" s="195"/>
      <c r="AY79" s="195"/>
      <c r="AZ79" s="195"/>
      <c r="BA79" s="195"/>
      <c r="BB79" s="195"/>
      <c r="BC79" s="195"/>
      <c r="BD79" s="195"/>
      <c r="BE79" s="195"/>
      <c r="BF79" s="195"/>
      <c r="BG79" s="195"/>
      <c r="BH79" s="195"/>
      <c r="BI79" s="195"/>
      <c r="BJ79" s="195"/>
      <c r="BK79" s="195"/>
      <c r="BL79" s="195"/>
      <c r="BM79" s="195"/>
      <c r="BN79" s="195"/>
      <c r="BO79" s="195"/>
      <c r="BP79" s="195"/>
      <c r="BQ79" s="195"/>
      <c r="BR79" s="195"/>
      <c r="BS79" s="195"/>
      <c r="BT79" s="195"/>
      <c r="BU79" s="195"/>
      <c r="BV79" s="195"/>
      <c r="BW79" s="195"/>
      <c r="BX79" s="195"/>
      <c r="BY79" s="220">
        <f t="shared" si="33"/>
        <v>-216960</v>
      </c>
      <c r="BZ79" s="468"/>
      <c r="CA79" s="168"/>
      <c r="CB79" s="192" t="e">
        <f t="array" ref="CB79">SUM(INDEX(AC79:BX79, , 1):INDEX(AC79:BX79, ,MATCH(CB37,#REF!, 0) ))</f>
        <v>#N/A</v>
      </c>
      <c r="CC79" s="468"/>
    </row>
    <row r="80" spans="2:81" ht="16" hidden="1" outlineLevel="1" x14ac:dyDescent="0.2">
      <c r="B80" s="485"/>
      <c r="C80" s="221" t="s">
        <v>243</v>
      </c>
      <c r="D80" s="194" t="s">
        <v>218</v>
      </c>
      <c r="E80" s="219"/>
      <c r="F80" s="195"/>
      <c r="G80" s="195"/>
      <c r="H80" s="195"/>
      <c r="I80" s="195"/>
      <c r="J80" s="195"/>
      <c r="K80" s="195"/>
      <c r="L80" s="195"/>
      <c r="M80" s="195"/>
      <c r="N80" s="195"/>
      <c r="O80" s="195"/>
      <c r="P80" s="195"/>
      <c r="Q80" s="195"/>
      <c r="R80" s="195"/>
      <c r="S80" s="195"/>
      <c r="T80" s="195"/>
      <c r="U80" s="195"/>
      <c r="V80" s="195"/>
      <c r="W80" s="195"/>
      <c r="X80" s="195"/>
      <c r="Y80" s="195"/>
      <c r="Z80" s="195"/>
      <c r="AA80" s="195"/>
      <c r="AB80" s="195"/>
      <c r="AC80" s="195"/>
      <c r="AD80" s="195"/>
      <c r="AE80" s="195"/>
      <c r="AF80" s="195"/>
      <c r="AG80" s="195"/>
      <c r="AH80" s="195"/>
      <c r="AI80" s="195"/>
      <c r="AJ80" s="195"/>
      <c r="AK80" s="195"/>
      <c r="AL80" s="195"/>
      <c r="AM80" s="195"/>
      <c r="AN80" s="195"/>
      <c r="AO80" s="195"/>
      <c r="AP80" s="195"/>
      <c r="AQ80" s="195"/>
      <c r="AR80" s="195"/>
      <c r="AS80" s="195"/>
      <c r="AT80" s="195"/>
      <c r="AU80" s="195"/>
      <c r="AV80" s="195"/>
      <c r="AW80" s="195"/>
      <c r="AX80" s="195"/>
      <c r="AY80" s="195"/>
      <c r="AZ80" s="195"/>
      <c r="BA80" s="195"/>
      <c r="BB80" s="195"/>
      <c r="BC80" s="195"/>
      <c r="BD80" s="195"/>
      <c r="BE80" s="195"/>
      <c r="BF80" s="195"/>
      <c r="BG80" s="195"/>
      <c r="BH80" s="195"/>
      <c r="BI80" s="195"/>
      <c r="BJ80" s="195"/>
      <c r="BK80" s="195"/>
      <c r="BL80" s="195"/>
      <c r="BM80" s="195"/>
      <c r="BN80" s="195"/>
      <c r="BO80" s="195"/>
      <c r="BP80" s="195"/>
      <c r="BQ80" s="195"/>
      <c r="BR80" s="195"/>
      <c r="BS80" s="195"/>
      <c r="BT80" s="195"/>
      <c r="BU80" s="195"/>
      <c r="BV80" s="195"/>
      <c r="BW80" s="195"/>
      <c r="BX80" s="195"/>
      <c r="BY80" s="220">
        <f t="shared" si="33"/>
        <v>0</v>
      </c>
      <c r="BZ80" s="468"/>
      <c r="CA80" s="168"/>
      <c r="CB80" s="192" t="e">
        <f>SUM(INDEX(AC80:BX80, , 1):INDEX(AC80:BX80, ,MATCH(CB38, E37:BX37,0) ))</f>
        <v>#REF!</v>
      </c>
      <c r="CC80" s="468"/>
    </row>
    <row r="81" spans="2:81" ht="16" hidden="1" outlineLevel="1" x14ac:dyDescent="0.2">
      <c r="B81" s="485"/>
      <c r="C81" s="221" t="s">
        <v>250</v>
      </c>
      <c r="D81" s="194" t="s">
        <v>218</v>
      </c>
      <c r="E81" s="219"/>
      <c r="F81" s="195"/>
      <c r="G81" s="195"/>
      <c r="H81" s="195"/>
      <c r="I81" s="195"/>
      <c r="J81" s="195"/>
      <c r="K81" s="195"/>
      <c r="L81" s="195"/>
      <c r="M81" s="195"/>
      <c r="N81" s="195"/>
      <c r="O81" s="195"/>
      <c r="P81" s="195"/>
      <c r="Q81" s="195"/>
      <c r="R81" s="195"/>
      <c r="S81" s="195"/>
      <c r="T81" s="195"/>
      <c r="U81" s="195"/>
      <c r="V81" s="195"/>
      <c r="W81" s="195"/>
      <c r="X81" s="195"/>
      <c r="Y81" s="195"/>
      <c r="Z81" s="195"/>
      <c r="AA81" s="195"/>
      <c r="AB81" s="195"/>
      <c r="AC81" s="195"/>
      <c r="AD81" s="195"/>
      <c r="AE81" s="195"/>
      <c r="AF81" s="195"/>
      <c r="AG81" s="195"/>
      <c r="AH81" s="195"/>
      <c r="AI81" s="195"/>
      <c r="AJ81" s="195"/>
      <c r="AK81" s="195"/>
      <c r="AL81" s="195"/>
      <c r="AM81" s="195"/>
      <c r="AN81" s="195"/>
      <c r="AO81" s="195"/>
      <c r="AP81" s="195"/>
      <c r="AQ81" s="195"/>
      <c r="AR81" s="195"/>
      <c r="AS81" s="195"/>
      <c r="AT81" s="195"/>
      <c r="AU81" s="195"/>
      <c r="AV81" s="195"/>
      <c r="AW81" s="195"/>
      <c r="AX81" s="195"/>
      <c r="AY81" s="195"/>
      <c r="AZ81" s="195"/>
      <c r="BA81" s="195"/>
      <c r="BB81" s="195"/>
      <c r="BC81" s="195"/>
      <c r="BD81" s="195"/>
      <c r="BE81" s="195"/>
      <c r="BF81" s="195"/>
      <c r="BG81" s="195"/>
      <c r="BH81" s="195"/>
      <c r="BI81" s="195"/>
      <c r="BJ81" s="195"/>
      <c r="BK81" s="195"/>
      <c r="BL81" s="195"/>
      <c r="BM81" s="195"/>
      <c r="BN81" s="195"/>
      <c r="BO81" s="195"/>
      <c r="BP81" s="195"/>
      <c r="BQ81" s="195"/>
      <c r="BR81" s="195"/>
      <c r="BS81" s="195"/>
      <c r="BT81" s="195"/>
      <c r="BU81" s="195"/>
      <c r="BV81" s="195"/>
      <c r="BW81" s="195"/>
      <c r="BX81" s="195"/>
      <c r="BY81" s="220">
        <f t="shared" si="33"/>
        <v>0</v>
      </c>
      <c r="BZ81" s="468"/>
      <c r="CA81" s="168"/>
      <c r="CB81" s="192" t="e">
        <f>SUM(INDEX(AC81:BX81, , 1):INDEX(AC81:BX81, ,MATCH(CB39, E38:BX38,0) ))</f>
        <v>#REF!</v>
      </c>
      <c r="CC81" s="468"/>
    </row>
    <row r="82" spans="2:81" ht="16" hidden="1" outlineLevel="1" x14ac:dyDescent="0.2">
      <c r="B82" s="485"/>
      <c r="C82" s="221" t="s">
        <v>251</v>
      </c>
      <c r="D82" s="194" t="s">
        <v>218</v>
      </c>
      <c r="E82" s="219"/>
      <c r="F82" s="195"/>
      <c r="G82" s="195"/>
      <c r="H82" s="195"/>
      <c r="I82" s="195"/>
      <c r="J82" s="195"/>
      <c r="K82" s="195"/>
      <c r="L82" s="195"/>
      <c r="M82" s="195"/>
      <c r="N82" s="195"/>
      <c r="O82" s="195"/>
      <c r="P82" s="195"/>
      <c r="Q82" s="195"/>
      <c r="R82" s="195"/>
      <c r="S82" s="195"/>
      <c r="T82" s="195"/>
      <c r="U82" s="195"/>
      <c r="V82" s="195"/>
      <c r="W82" s="195"/>
      <c r="X82" s="195"/>
      <c r="Y82" s="195"/>
      <c r="Z82" s="195"/>
      <c r="AA82" s="195"/>
      <c r="AB82" s="195"/>
      <c r="AC82" s="195"/>
      <c r="AD82" s="195"/>
      <c r="AE82" s="195"/>
      <c r="AF82" s="195"/>
      <c r="AG82" s="195"/>
      <c r="AH82" s="195"/>
      <c r="AI82" s="195"/>
      <c r="AJ82" s="195"/>
      <c r="AK82" s="195"/>
      <c r="AL82" s="195"/>
      <c r="AM82" s="195"/>
      <c r="AN82" s="195"/>
      <c r="AO82" s="195"/>
      <c r="AP82" s="195"/>
      <c r="AQ82" s="195"/>
      <c r="AR82" s="195"/>
      <c r="AS82" s="195"/>
      <c r="AT82" s="195"/>
      <c r="AU82" s="195"/>
      <c r="AV82" s="195"/>
      <c r="AW82" s="195"/>
      <c r="AX82" s="195"/>
      <c r="AY82" s="195"/>
      <c r="AZ82" s="195"/>
      <c r="BA82" s="195"/>
      <c r="BB82" s="195"/>
      <c r="BC82" s="195"/>
      <c r="BD82" s="195"/>
      <c r="BE82" s="195"/>
      <c r="BF82" s="195"/>
      <c r="BG82" s="195"/>
      <c r="BH82" s="195"/>
      <c r="BI82" s="195"/>
      <c r="BJ82" s="195"/>
      <c r="BK82" s="195"/>
      <c r="BL82" s="195"/>
      <c r="BM82" s="195"/>
      <c r="BN82" s="195"/>
      <c r="BO82" s="195"/>
      <c r="BP82" s="195"/>
      <c r="BQ82" s="195"/>
      <c r="BR82" s="195"/>
      <c r="BS82" s="195"/>
      <c r="BT82" s="195"/>
      <c r="BU82" s="195"/>
      <c r="BV82" s="195"/>
      <c r="BW82" s="195"/>
      <c r="BX82" s="195"/>
      <c r="BY82" s="220">
        <f t="shared" si="33"/>
        <v>0</v>
      </c>
      <c r="BZ82" s="468"/>
      <c r="CA82" s="168"/>
      <c r="CB82" s="192" t="e">
        <f>SUM(INDEX(AC82:BX82, , 1):INDEX(AC82:BX82, ,MATCH(CB40, E39:BX39,0) ))</f>
        <v>#REF!</v>
      </c>
      <c r="CC82" s="468"/>
    </row>
    <row r="83" spans="2:81" ht="16" hidden="1" outlineLevel="1" x14ac:dyDescent="0.2">
      <c r="B83" s="485"/>
      <c r="C83" s="223" t="s">
        <v>280</v>
      </c>
      <c r="D83" s="197" t="s">
        <v>218</v>
      </c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0">
        <f t="shared" si="33"/>
        <v>0</v>
      </c>
      <c r="BZ83" s="468"/>
      <c r="CA83" s="168"/>
      <c r="CB83" s="192" t="e">
        <f t="array" ref="CB83">SUM(INDEX(AC83:BX83, , 1):INDEX(AC83:BX83, ,MATCH(CB41, E40:BX40,0) ))</f>
        <v>#REF!</v>
      </c>
      <c r="CC83" s="468"/>
    </row>
    <row r="84" spans="2:81" ht="16" collapsed="1" x14ac:dyDescent="0.2">
      <c r="B84" s="485"/>
      <c r="C84" s="188" t="s">
        <v>281</v>
      </c>
      <c r="D84" s="189"/>
      <c r="E84" s="190">
        <f t="shared" ref="E84:BY84" si="35">SUM(E85:E86)</f>
        <v>0</v>
      </c>
      <c r="F84" s="190">
        <f t="shared" si="35"/>
        <v>0</v>
      </c>
      <c r="G84" s="190">
        <f t="shared" si="35"/>
        <v>0</v>
      </c>
      <c r="H84" s="190">
        <f t="shared" si="35"/>
        <v>0</v>
      </c>
      <c r="I84" s="190">
        <f t="shared" si="35"/>
        <v>0</v>
      </c>
      <c r="J84" s="190">
        <f t="shared" si="35"/>
        <v>0</v>
      </c>
      <c r="K84" s="190">
        <f t="shared" si="35"/>
        <v>0</v>
      </c>
      <c r="L84" s="190">
        <f t="shared" si="35"/>
        <v>0</v>
      </c>
      <c r="M84" s="190">
        <f t="shared" si="35"/>
        <v>0</v>
      </c>
      <c r="N84" s="190">
        <f t="shared" si="35"/>
        <v>0</v>
      </c>
      <c r="O84" s="190">
        <f t="shared" si="35"/>
        <v>0</v>
      </c>
      <c r="P84" s="190">
        <f t="shared" si="35"/>
        <v>0</v>
      </c>
      <c r="Q84" s="190">
        <f t="shared" si="35"/>
        <v>0</v>
      </c>
      <c r="R84" s="190">
        <f t="shared" si="35"/>
        <v>0</v>
      </c>
      <c r="S84" s="190">
        <f t="shared" si="35"/>
        <v>0</v>
      </c>
      <c r="T84" s="190">
        <f t="shared" si="35"/>
        <v>0</v>
      </c>
      <c r="U84" s="190">
        <f t="shared" si="35"/>
        <v>0</v>
      </c>
      <c r="V84" s="190">
        <f t="shared" si="35"/>
        <v>0</v>
      </c>
      <c r="W84" s="190">
        <f t="shared" si="35"/>
        <v>0</v>
      </c>
      <c r="X84" s="190">
        <f t="shared" si="35"/>
        <v>0</v>
      </c>
      <c r="Y84" s="190">
        <f t="shared" si="35"/>
        <v>0</v>
      </c>
      <c r="Z84" s="190">
        <f t="shared" si="35"/>
        <v>0</v>
      </c>
      <c r="AA84" s="190">
        <f t="shared" si="35"/>
        <v>0</v>
      </c>
      <c r="AB84" s="190">
        <f t="shared" si="35"/>
        <v>0</v>
      </c>
      <c r="AC84" s="190">
        <f t="shared" si="35"/>
        <v>0</v>
      </c>
      <c r="AD84" s="190">
        <f t="shared" si="35"/>
        <v>0</v>
      </c>
      <c r="AE84" s="190">
        <f t="shared" si="35"/>
        <v>0</v>
      </c>
      <c r="AF84" s="190">
        <f t="shared" si="35"/>
        <v>0</v>
      </c>
      <c r="AG84" s="190">
        <f t="shared" si="35"/>
        <v>0</v>
      </c>
      <c r="AH84" s="190">
        <f t="shared" si="35"/>
        <v>0</v>
      </c>
      <c r="AI84" s="190">
        <f t="shared" si="35"/>
        <v>0</v>
      </c>
      <c r="AJ84" s="190">
        <f t="shared" si="35"/>
        <v>0</v>
      </c>
      <c r="AK84" s="190">
        <f t="shared" si="35"/>
        <v>0</v>
      </c>
      <c r="AL84" s="190">
        <f t="shared" si="35"/>
        <v>0</v>
      </c>
      <c r="AM84" s="190">
        <f t="shared" si="35"/>
        <v>0</v>
      </c>
      <c r="AN84" s="190">
        <f t="shared" si="35"/>
        <v>0</v>
      </c>
      <c r="AO84" s="190">
        <f t="shared" si="35"/>
        <v>0</v>
      </c>
      <c r="AP84" s="190">
        <f t="shared" si="35"/>
        <v>0</v>
      </c>
      <c r="AQ84" s="190">
        <f t="shared" si="35"/>
        <v>0</v>
      </c>
      <c r="AR84" s="190">
        <f t="shared" si="35"/>
        <v>0</v>
      </c>
      <c r="AS84" s="190">
        <f t="shared" si="35"/>
        <v>0</v>
      </c>
      <c r="AT84" s="190">
        <f t="shared" si="35"/>
        <v>0</v>
      </c>
      <c r="AU84" s="190">
        <f t="shared" si="35"/>
        <v>0</v>
      </c>
      <c r="AV84" s="190">
        <f t="shared" si="35"/>
        <v>0</v>
      </c>
      <c r="AW84" s="190">
        <f t="shared" si="35"/>
        <v>0</v>
      </c>
      <c r="AX84" s="190">
        <f t="shared" si="35"/>
        <v>0</v>
      </c>
      <c r="AY84" s="190">
        <f t="shared" si="35"/>
        <v>0</v>
      </c>
      <c r="AZ84" s="190">
        <f t="shared" si="35"/>
        <v>0</v>
      </c>
      <c r="BA84" s="190">
        <f t="shared" si="35"/>
        <v>0</v>
      </c>
      <c r="BB84" s="190">
        <f t="shared" si="35"/>
        <v>0</v>
      </c>
      <c r="BC84" s="190">
        <f t="shared" si="35"/>
        <v>0</v>
      </c>
      <c r="BD84" s="190">
        <f t="shared" si="35"/>
        <v>0</v>
      </c>
      <c r="BE84" s="190">
        <f t="shared" si="35"/>
        <v>0</v>
      </c>
      <c r="BF84" s="190">
        <f t="shared" si="35"/>
        <v>0</v>
      </c>
      <c r="BG84" s="190">
        <f t="shared" si="35"/>
        <v>0</v>
      </c>
      <c r="BH84" s="190">
        <f t="shared" si="35"/>
        <v>0</v>
      </c>
      <c r="BI84" s="190">
        <f t="shared" si="35"/>
        <v>0</v>
      </c>
      <c r="BJ84" s="190">
        <f t="shared" si="35"/>
        <v>0</v>
      </c>
      <c r="BK84" s="190">
        <f t="shared" si="35"/>
        <v>0</v>
      </c>
      <c r="BL84" s="190">
        <f t="shared" si="35"/>
        <v>0</v>
      </c>
      <c r="BM84" s="190">
        <f t="shared" si="35"/>
        <v>0</v>
      </c>
      <c r="BN84" s="190">
        <f t="shared" si="35"/>
        <v>0</v>
      </c>
      <c r="BO84" s="190">
        <f t="shared" si="35"/>
        <v>0</v>
      </c>
      <c r="BP84" s="190">
        <f t="shared" si="35"/>
        <v>0</v>
      </c>
      <c r="BQ84" s="190">
        <f t="shared" si="35"/>
        <v>0</v>
      </c>
      <c r="BR84" s="190">
        <f t="shared" si="35"/>
        <v>0</v>
      </c>
      <c r="BS84" s="190">
        <f t="shared" si="35"/>
        <v>0</v>
      </c>
      <c r="BT84" s="190">
        <f t="shared" si="35"/>
        <v>0</v>
      </c>
      <c r="BU84" s="190">
        <f t="shared" si="35"/>
        <v>0</v>
      </c>
      <c r="BV84" s="190">
        <f t="shared" si="35"/>
        <v>0</v>
      </c>
      <c r="BW84" s="190">
        <f t="shared" si="35"/>
        <v>0</v>
      </c>
      <c r="BX84" s="190">
        <f t="shared" si="35"/>
        <v>0</v>
      </c>
      <c r="BY84" s="191">
        <f t="shared" si="35"/>
        <v>0</v>
      </c>
      <c r="BZ84" s="468"/>
      <c r="CA84" s="168"/>
      <c r="CB84" s="192" t="e">
        <f t="array" ref="CB84">SUM(INDEX(E84:BX84, , 1):INDEX(E84:BX84, ,MATCH($CB$4, $E$3:$BX$3,0) ))</f>
        <v>#N/A</v>
      </c>
      <c r="CC84" s="468"/>
    </row>
    <row r="85" spans="2:81" ht="16" hidden="1" outlineLevel="1" x14ac:dyDescent="0.2">
      <c r="B85" s="485"/>
      <c r="C85" s="218" t="s">
        <v>282</v>
      </c>
      <c r="D85" s="194" t="s">
        <v>218</v>
      </c>
      <c r="E85" s="225"/>
      <c r="F85" s="225"/>
      <c r="G85" s="225"/>
      <c r="H85" s="225"/>
      <c r="I85" s="225"/>
      <c r="J85" s="225"/>
      <c r="K85" s="225"/>
      <c r="L85" s="225"/>
      <c r="M85" s="225"/>
      <c r="N85" s="225"/>
      <c r="O85" s="225"/>
      <c r="P85" s="225"/>
      <c r="Q85" s="225"/>
      <c r="R85" s="225"/>
      <c r="S85" s="225"/>
      <c r="T85" s="225"/>
      <c r="U85" s="225"/>
      <c r="V85" s="225"/>
      <c r="W85" s="225"/>
      <c r="X85" s="225"/>
      <c r="Y85" s="225"/>
      <c r="Z85" s="225"/>
      <c r="AA85" s="225"/>
      <c r="AB85" s="225"/>
      <c r="AC85" s="225"/>
      <c r="AD85" s="225"/>
      <c r="AE85" s="225"/>
      <c r="AF85" s="225"/>
      <c r="AG85" s="225"/>
      <c r="AH85" s="225"/>
      <c r="AI85" s="225"/>
      <c r="AJ85" s="225"/>
      <c r="AK85" s="225"/>
      <c r="AL85" s="225"/>
      <c r="AM85" s="225"/>
      <c r="AN85" s="225"/>
      <c r="AO85" s="225"/>
      <c r="AP85" s="225"/>
      <c r="AQ85" s="225"/>
      <c r="AR85" s="225"/>
      <c r="AS85" s="225"/>
      <c r="AT85" s="225"/>
      <c r="AU85" s="225"/>
      <c r="AV85" s="225"/>
      <c r="AW85" s="225"/>
      <c r="AX85" s="225"/>
      <c r="AY85" s="225"/>
      <c r="AZ85" s="225"/>
      <c r="BA85" s="225"/>
      <c r="BB85" s="225"/>
      <c r="BC85" s="225"/>
      <c r="BD85" s="225"/>
      <c r="BE85" s="225"/>
      <c r="BF85" s="225"/>
      <c r="BG85" s="225"/>
      <c r="BH85" s="225"/>
      <c r="BI85" s="225"/>
      <c r="BJ85" s="225"/>
      <c r="BK85" s="225"/>
      <c r="BL85" s="225"/>
      <c r="BM85" s="225"/>
      <c r="BN85" s="225"/>
      <c r="BO85" s="225"/>
      <c r="BP85" s="225"/>
      <c r="BQ85" s="225"/>
      <c r="BR85" s="225"/>
      <c r="BS85" s="225"/>
      <c r="BT85" s="225"/>
      <c r="BU85" s="225"/>
      <c r="BV85" s="225"/>
      <c r="BW85" s="225"/>
      <c r="BX85" s="225"/>
      <c r="BY85" s="226">
        <f t="shared" ref="BY85:BY86" si="36">SUM(E85:BX85)</f>
        <v>0</v>
      </c>
      <c r="BZ85" s="468"/>
      <c r="CA85" s="168"/>
      <c r="CB85" s="192" t="e">
        <f t="shared" ref="CB85:CB86" si="37">SUM(INDEX(AC85:BX85, , 1):INDEX(AC85:BX85, ,MATCH($CB$4, $E$3:$BX$3,0) ))</f>
        <v>#N/A</v>
      </c>
      <c r="CC85" s="468"/>
    </row>
    <row r="86" spans="2:81" ht="16" hidden="1" outlineLevel="1" x14ac:dyDescent="0.2">
      <c r="B86" s="485"/>
      <c r="C86" s="223" t="s">
        <v>283</v>
      </c>
      <c r="D86" s="197" t="s">
        <v>218</v>
      </c>
      <c r="E86" s="227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28">
        <f t="shared" si="36"/>
        <v>0</v>
      </c>
      <c r="BZ86" s="471"/>
      <c r="CA86" s="168"/>
      <c r="CB86" s="192" t="e">
        <f t="shared" si="37"/>
        <v>#N/A</v>
      </c>
      <c r="CC86" s="471"/>
    </row>
    <row r="87" spans="2:81" ht="16" x14ac:dyDescent="0.2">
      <c r="B87" s="485"/>
      <c r="C87" s="188" t="s">
        <v>284</v>
      </c>
      <c r="D87" s="189"/>
      <c r="E87" s="190">
        <f t="shared" ref="E87:BX87" si="38">SUM(E88:E94)</f>
        <v>0</v>
      </c>
      <c r="F87" s="190">
        <f t="shared" si="38"/>
        <v>0</v>
      </c>
      <c r="G87" s="190">
        <f t="shared" si="38"/>
        <v>0</v>
      </c>
      <c r="H87" s="190">
        <f t="shared" si="38"/>
        <v>0</v>
      </c>
      <c r="I87" s="190">
        <f t="shared" si="38"/>
        <v>0</v>
      </c>
      <c r="J87" s="190">
        <f t="shared" si="38"/>
        <v>0</v>
      </c>
      <c r="K87" s="190">
        <f t="shared" si="38"/>
        <v>0</v>
      </c>
      <c r="L87" s="190">
        <f t="shared" si="38"/>
        <v>0</v>
      </c>
      <c r="M87" s="190">
        <f t="shared" si="38"/>
        <v>0</v>
      </c>
      <c r="N87" s="190">
        <f t="shared" si="38"/>
        <v>0</v>
      </c>
      <c r="O87" s="190">
        <f t="shared" si="38"/>
        <v>0</v>
      </c>
      <c r="P87" s="190">
        <f t="shared" si="38"/>
        <v>0</v>
      </c>
      <c r="Q87" s="190">
        <f t="shared" si="38"/>
        <v>-4100000</v>
      </c>
      <c r="R87" s="190">
        <f t="shared" si="38"/>
        <v>0</v>
      </c>
      <c r="S87" s="190">
        <f t="shared" si="38"/>
        <v>0</v>
      </c>
      <c r="T87" s="190">
        <f t="shared" si="38"/>
        <v>0</v>
      </c>
      <c r="U87" s="190">
        <f t="shared" si="38"/>
        <v>-2100000</v>
      </c>
      <c r="V87" s="190">
        <f t="shared" si="38"/>
        <v>0</v>
      </c>
      <c r="W87" s="190">
        <f t="shared" si="38"/>
        <v>0</v>
      </c>
      <c r="X87" s="190">
        <f t="shared" si="38"/>
        <v>0</v>
      </c>
      <c r="Y87" s="190">
        <f t="shared" si="38"/>
        <v>0</v>
      </c>
      <c r="Z87" s="190">
        <f t="shared" si="38"/>
        <v>0</v>
      </c>
      <c r="AA87" s="190">
        <f t="shared" si="38"/>
        <v>0</v>
      </c>
      <c r="AB87" s="190">
        <f t="shared" si="38"/>
        <v>0</v>
      </c>
      <c r="AC87" s="190">
        <f t="shared" si="38"/>
        <v>0</v>
      </c>
      <c r="AD87" s="190">
        <f t="shared" si="38"/>
        <v>0</v>
      </c>
      <c r="AE87" s="190">
        <f t="shared" si="38"/>
        <v>0</v>
      </c>
      <c r="AF87" s="190">
        <f t="shared" si="38"/>
        <v>0</v>
      </c>
      <c r="AG87" s="190">
        <f t="shared" si="38"/>
        <v>0</v>
      </c>
      <c r="AH87" s="190">
        <f t="shared" si="38"/>
        <v>0</v>
      </c>
      <c r="AI87" s="190">
        <f t="shared" si="38"/>
        <v>0</v>
      </c>
      <c r="AJ87" s="190">
        <f t="shared" si="38"/>
        <v>0</v>
      </c>
      <c r="AK87" s="190">
        <f t="shared" si="38"/>
        <v>0</v>
      </c>
      <c r="AL87" s="190">
        <f t="shared" si="38"/>
        <v>0</v>
      </c>
      <c r="AM87" s="190">
        <f t="shared" si="38"/>
        <v>0</v>
      </c>
      <c r="AN87" s="190">
        <f t="shared" si="38"/>
        <v>-104366691.81729166</v>
      </c>
      <c r="AO87" s="190">
        <f t="shared" si="38"/>
        <v>0</v>
      </c>
      <c r="AP87" s="190">
        <f t="shared" si="38"/>
        <v>0</v>
      </c>
      <c r="AQ87" s="190">
        <f t="shared" si="38"/>
        <v>0</v>
      </c>
      <c r="AR87" s="190">
        <f t="shared" si="38"/>
        <v>0</v>
      </c>
      <c r="AS87" s="190">
        <f t="shared" si="38"/>
        <v>0</v>
      </c>
      <c r="AT87" s="190">
        <f t="shared" si="38"/>
        <v>0</v>
      </c>
      <c r="AU87" s="190">
        <f t="shared" si="38"/>
        <v>0</v>
      </c>
      <c r="AV87" s="190">
        <f t="shared" si="38"/>
        <v>0</v>
      </c>
      <c r="AW87" s="190">
        <f t="shared" si="38"/>
        <v>0</v>
      </c>
      <c r="AX87" s="190">
        <f t="shared" si="38"/>
        <v>0</v>
      </c>
      <c r="AY87" s="190">
        <f t="shared" si="38"/>
        <v>0</v>
      </c>
      <c r="AZ87" s="190">
        <f t="shared" si="38"/>
        <v>0</v>
      </c>
      <c r="BA87" s="190">
        <f t="shared" si="38"/>
        <v>0</v>
      </c>
      <c r="BB87" s="190">
        <f t="shared" si="38"/>
        <v>0</v>
      </c>
      <c r="BC87" s="190">
        <f t="shared" si="38"/>
        <v>0</v>
      </c>
      <c r="BD87" s="190">
        <f t="shared" si="38"/>
        <v>0</v>
      </c>
      <c r="BE87" s="190">
        <f t="shared" si="38"/>
        <v>0</v>
      </c>
      <c r="BF87" s="190">
        <f t="shared" si="38"/>
        <v>0</v>
      </c>
      <c r="BG87" s="190">
        <f t="shared" si="38"/>
        <v>0</v>
      </c>
      <c r="BH87" s="190">
        <f t="shared" si="38"/>
        <v>0</v>
      </c>
      <c r="BI87" s="190">
        <f t="shared" si="38"/>
        <v>0</v>
      </c>
      <c r="BJ87" s="190">
        <f t="shared" si="38"/>
        <v>0</v>
      </c>
      <c r="BK87" s="190">
        <f t="shared" si="38"/>
        <v>0</v>
      </c>
      <c r="BL87" s="190">
        <f t="shared" si="38"/>
        <v>0</v>
      </c>
      <c r="BM87" s="190">
        <f t="shared" si="38"/>
        <v>0</v>
      </c>
      <c r="BN87" s="190">
        <f t="shared" si="38"/>
        <v>0</v>
      </c>
      <c r="BO87" s="190">
        <f t="shared" si="38"/>
        <v>0</v>
      </c>
      <c r="BP87" s="190">
        <f t="shared" si="38"/>
        <v>0</v>
      </c>
      <c r="BQ87" s="190">
        <f t="shared" si="38"/>
        <v>0</v>
      </c>
      <c r="BR87" s="190">
        <f t="shared" si="38"/>
        <v>0</v>
      </c>
      <c r="BS87" s="190">
        <f t="shared" si="38"/>
        <v>0</v>
      </c>
      <c r="BT87" s="190">
        <f t="shared" si="38"/>
        <v>0</v>
      </c>
      <c r="BU87" s="190">
        <f t="shared" si="38"/>
        <v>0</v>
      </c>
      <c r="BV87" s="190">
        <f t="shared" si="38"/>
        <v>0</v>
      </c>
      <c r="BW87" s="190">
        <f t="shared" si="38"/>
        <v>0</v>
      </c>
      <c r="BX87" s="190">
        <f t="shared" si="38"/>
        <v>0</v>
      </c>
      <c r="BY87" s="476">
        <f>SUM(BZ18:BZ59)</f>
        <v>-108529125.03586778</v>
      </c>
      <c r="BZ87" s="466"/>
      <c r="CA87" s="168"/>
      <c r="CB87" s="168"/>
      <c r="CC87" s="168"/>
    </row>
    <row r="88" spans="2:81" outlineLevel="1" x14ac:dyDescent="0.2">
      <c r="B88" s="485"/>
      <c r="C88" s="207" t="s">
        <v>285</v>
      </c>
      <c r="D88" s="194" t="s">
        <v>218</v>
      </c>
      <c r="E88" s="195"/>
      <c r="F88" s="195"/>
      <c r="G88" s="195"/>
      <c r="H88" s="195"/>
      <c r="I88" s="195"/>
      <c r="J88" s="195"/>
      <c r="K88" s="195"/>
      <c r="L88" s="195"/>
      <c r="M88" s="195"/>
      <c r="N88" s="195"/>
      <c r="O88" s="195"/>
      <c r="P88" s="195"/>
      <c r="Q88" s="195"/>
      <c r="R88" s="195"/>
      <c r="S88" s="195"/>
      <c r="T88" s="195"/>
      <c r="U88" s="195"/>
      <c r="V88" s="195"/>
      <c r="W88" s="195"/>
      <c r="X88" s="195"/>
      <c r="Y88" s="195"/>
      <c r="Z88" s="195"/>
      <c r="AA88" s="195"/>
      <c r="AB88" s="195"/>
      <c r="AC88" s="195"/>
      <c r="AD88" s="195"/>
      <c r="AE88" s="195"/>
      <c r="AF88" s="195"/>
      <c r="AG88" s="195"/>
      <c r="AH88" s="195"/>
      <c r="AI88" s="195"/>
      <c r="AJ88" s="195"/>
      <c r="AK88" s="195"/>
      <c r="AL88" s="195"/>
      <c r="AM88" s="195"/>
      <c r="AN88" s="195">
        <f>-BY5</f>
        <v>-33600000</v>
      </c>
      <c r="AO88" s="195"/>
      <c r="AP88" s="195"/>
      <c r="AQ88" s="195"/>
      <c r="AR88" s="195"/>
      <c r="AS88" s="195"/>
      <c r="AT88" s="195"/>
      <c r="AU88" s="195"/>
      <c r="AV88" s="195"/>
      <c r="AW88" s="195"/>
      <c r="AX88" s="195"/>
      <c r="AY88" s="195"/>
      <c r="AZ88" s="195"/>
      <c r="BA88" s="195"/>
      <c r="BB88" s="195"/>
      <c r="BC88" s="219"/>
      <c r="BD88" s="195"/>
      <c r="BE88" s="195"/>
      <c r="BF88" s="195"/>
      <c r="BG88" s="195"/>
      <c r="BH88" s="195"/>
      <c r="BI88" s="195"/>
      <c r="BJ88" s="195"/>
      <c r="BK88" s="195"/>
      <c r="BL88" s="195"/>
      <c r="BM88" s="195"/>
      <c r="BN88" s="195"/>
      <c r="BO88" s="195"/>
      <c r="BP88" s="195"/>
      <c r="BQ88" s="195"/>
      <c r="BR88" s="195"/>
      <c r="BS88" s="195"/>
      <c r="BT88" s="195"/>
      <c r="BU88" s="195"/>
      <c r="BV88" s="195"/>
      <c r="BW88" s="195"/>
      <c r="BX88" s="200"/>
      <c r="BY88" s="226">
        <f t="shared" ref="BY88:BY94" si="39">SUM(E88:BX88)</f>
        <v>-33600000</v>
      </c>
      <c r="BZ88" s="477">
        <f>SUM(BY88:BY94)</f>
        <v>-110566691.81729166</v>
      </c>
      <c r="CA88" s="168"/>
      <c r="CB88" s="168"/>
      <c r="CC88" s="168"/>
    </row>
    <row r="89" spans="2:81" outlineLevel="1" x14ac:dyDescent="0.2">
      <c r="B89" s="485"/>
      <c r="C89" s="207" t="s">
        <v>286</v>
      </c>
      <c r="D89" s="194" t="s">
        <v>218</v>
      </c>
      <c r="E89" s="195"/>
      <c r="F89" s="195"/>
      <c r="G89" s="195"/>
      <c r="H89" s="195"/>
      <c r="I89" s="195"/>
      <c r="J89" s="195"/>
      <c r="K89" s="195"/>
      <c r="L89" s="195"/>
      <c r="M89" s="195"/>
      <c r="N89" s="195"/>
      <c r="O89" s="195">
        <f>-N6</f>
        <v>0</v>
      </c>
      <c r="P89" s="195"/>
      <c r="Q89" s="195">
        <f>-2500000</f>
        <v>-2500000</v>
      </c>
      <c r="R89" s="195"/>
      <c r="S89" s="195"/>
      <c r="T89" s="195"/>
      <c r="U89" s="195"/>
      <c r="V89" s="195"/>
      <c r="W89" s="195"/>
      <c r="X89" s="195"/>
      <c r="Y89" s="195"/>
      <c r="Z89" s="195"/>
      <c r="AA89" s="195"/>
      <c r="AB89" s="195"/>
      <c r="AC89" s="195"/>
      <c r="AD89" s="195"/>
      <c r="AE89" s="195"/>
      <c r="AF89" s="195"/>
      <c r="AG89" s="195"/>
      <c r="AH89" s="195"/>
      <c r="AI89" s="195"/>
      <c r="AJ89" s="195"/>
      <c r="AK89" s="195"/>
      <c r="AL89" s="195"/>
      <c r="AM89" s="195"/>
      <c r="AN89" s="195"/>
      <c r="AO89" s="195"/>
      <c r="AP89" s="195"/>
      <c r="AQ89" s="195"/>
      <c r="AR89" s="195"/>
      <c r="AS89" s="195"/>
      <c r="AT89" s="195"/>
      <c r="AU89" s="195"/>
      <c r="AV89" s="195"/>
      <c r="AW89" s="195"/>
      <c r="AX89" s="195"/>
      <c r="AY89" s="195"/>
      <c r="AZ89" s="195"/>
      <c r="BA89" s="195"/>
      <c r="BB89" s="195"/>
      <c r="BC89" s="195"/>
      <c r="BD89" s="195"/>
      <c r="BE89" s="195"/>
      <c r="BF89" s="195"/>
      <c r="BG89" s="195"/>
      <c r="BH89" s="195"/>
      <c r="BI89" s="195"/>
      <c r="BJ89" s="195"/>
      <c r="BK89" s="195"/>
      <c r="BL89" s="195"/>
      <c r="BM89" s="195"/>
      <c r="BN89" s="195"/>
      <c r="BO89" s="195"/>
      <c r="BP89" s="195"/>
      <c r="BQ89" s="195"/>
      <c r="BR89" s="195"/>
      <c r="BS89" s="195"/>
      <c r="BT89" s="195"/>
      <c r="BU89" s="195"/>
      <c r="BV89" s="195"/>
      <c r="BW89" s="195"/>
      <c r="BX89" s="200"/>
      <c r="BY89" s="220">
        <f t="shared" si="39"/>
        <v>-2500000</v>
      </c>
      <c r="BZ89" s="468"/>
      <c r="CA89" s="168"/>
      <c r="CB89" s="168"/>
      <c r="CC89" s="168"/>
    </row>
    <row r="90" spans="2:81" outlineLevel="1" x14ac:dyDescent="0.2">
      <c r="B90" s="485"/>
      <c r="C90" s="207" t="s">
        <v>287</v>
      </c>
      <c r="D90" s="194" t="s">
        <v>218</v>
      </c>
      <c r="E90" s="195"/>
      <c r="F90" s="195"/>
      <c r="G90" s="195"/>
      <c r="H90" s="195"/>
      <c r="I90" s="195"/>
      <c r="J90" s="195"/>
      <c r="K90" s="195"/>
      <c r="L90" s="195"/>
      <c r="M90" s="195"/>
      <c r="N90" s="195"/>
      <c r="O90" s="195"/>
      <c r="P90" s="195"/>
      <c r="Q90" s="195">
        <f>-1600000</f>
        <v>-1600000</v>
      </c>
      <c r="R90" s="195"/>
      <c r="S90" s="195"/>
      <c r="T90" s="195"/>
      <c r="U90" s="195"/>
      <c r="V90" s="195"/>
      <c r="W90" s="195"/>
      <c r="X90" s="195"/>
      <c r="Y90" s="195"/>
      <c r="Z90" s="195"/>
      <c r="AA90" s="195"/>
      <c r="AB90" s="195"/>
      <c r="AC90" s="195"/>
      <c r="AD90" s="195"/>
      <c r="AE90" s="195"/>
      <c r="AF90" s="195"/>
      <c r="AG90" s="195"/>
      <c r="AH90" s="195"/>
      <c r="AI90" s="195"/>
      <c r="AJ90" s="195"/>
      <c r="AK90" s="195"/>
      <c r="AL90" s="195"/>
      <c r="AM90" s="195"/>
      <c r="AN90" s="195"/>
      <c r="AO90" s="195"/>
      <c r="AP90" s="195"/>
      <c r="AQ90" s="195"/>
      <c r="AR90" s="195"/>
      <c r="AS90" s="195"/>
      <c r="AT90" s="195"/>
      <c r="AU90" s="195"/>
      <c r="AV90" s="195"/>
      <c r="AW90" s="195"/>
      <c r="AX90" s="195"/>
      <c r="AY90" s="195"/>
      <c r="AZ90" s="195"/>
      <c r="BA90" s="195"/>
      <c r="BB90" s="195"/>
      <c r="BC90" s="195"/>
      <c r="BD90" s="195"/>
      <c r="BE90" s="195"/>
      <c r="BF90" s="195"/>
      <c r="BG90" s="195"/>
      <c r="BH90" s="195"/>
      <c r="BI90" s="195"/>
      <c r="BJ90" s="195"/>
      <c r="BK90" s="195"/>
      <c r="BL90" s="195"/>
      <c r="BM90" s="195"/>
      <c r="BN90" s="195"/>
      <c r="BO90" s="195"/>
      <c r="BP90" s="195"/>
      <c r="BQ90" s="195"/>
      <c r="BR90" s="195"/>
      <c r="BS90" s="195"/>
      <c r="BT90" s="195"/>
      <c r="BU90" s="195"/>
      <c r="BV90" s="195"/>
      <c r="BW90" s="195"/>
      <c r="BX90" s="200"/>
      <c r="BY90" s="220">
        <f t="shared" si="39"/>
        <v>-1600000</v>
      </c>
      <c r="BZ90" s="468"/>
      <c r="CA90" s="168"/>
      <c r="CB90" s="168"/>
      <c r="CC90" s="168"/>
    </row>
    <row r="91" spans="2:81" outlineLevel="1" x14ac:dyDescent="0.2">
      <c r="B91" s="485"/>
      <c r="C91" s="207" t="s">
        <v>288</v>
      </c>
      <c r="D91" s="194" t="s">
        <v>218</v>
      </c>
      <c r="E91" s="195"/>
      <c r="F91" s="195"/>
      <c r="G91" s="195"/>
      <c r="H91" s="195"/>
      <c r="I91" s="195"/>
      <c r="J91" s="195"/>
      <c r="K91" s="195"/>
      <c r="L91" s="195"/>
      <c r="M91" s="195"/>
      <c r="N91" s="195"/>
      <c r="O91" s="195"/>
      <c r="P91" s="195"/>
      <c r="Q91" s="195"/>
      <c r="R91" s="195"/>
      <c r="S91" s="195"/>
      <c r="T91" s="195"/>
      <c r="U91" s="195"/>
      <c r="V91" s="195"/>
      <c r="W91" s="195"/>
      <c r="X91" s="195"/>
      <c r="Y91" s="195"/>
      <c r="Z91" s="195"/>
      <c r="AA91" s="195"/>
      <c r="AB91" s="195"/>
      <c r="AC91" s="195"/>
      <c r="AD91" s="195"/>
      <c r="AE91" s="195"/>
      <c r="AF91" s="195"/>
      <c r="AG91" s="195"/>
      <c r="AH91" s="195"/>
      <c r="AI91" s="195"/>
      <c r="AJ91" s="195"/>
      <c r="AK91" s="195"/>
      <c r="AL91" s="195"/>
      <c r="AM91" s="195"/>
      <c r="AN91" s="195"/>
      <c r="AO91" s="195"/>
      <c r="AP91" s="195"/>
      <c r="AQ91" s="195"/>
      <c r="AR91" s="195"/>
      <c r="AS91" s="195"/>
      <c r="AT91" s="195"/>
      <c r="AU91" s="195"/>
      <c r="AV91" s="195"/>
      <c r="AW91" s="195"/>
      <c r="AX91" s="195"/>
      <c r="AY91" s="195"/>
      <c r="AZ91" s="195"/>
      <c r="BA91" s="195"/>
      <c r="BB91" s="195"/>
      <c r="BC91" s="195"/>
      <c r="BD91" s="195"/>
      <c r="BE91" s="195"/>
      <c r="BF91" s="195"/>
      <c r="BG91" s="195"/>
      <c r="BH91" s="195"/>
      <c r="BI91" s="195"/>
      <c r="BJ91" s="195"/>
      <c r="BK91" s="195"/>
      <c r="BL91" s="195"/>
      <c r="BM91" s="195"/>
      <c r="BN91" s="195"/>
      <c r="BO91" s="195"/>
      <c r="BP91" s="195"/>
      <c r="BQ91" s="195"/>
      <c r="BR91" s="195"/>
      <c r="BS91" s="195"/>
      <c r="BT91" s="195"/>
      <c r="BU91" s="195"/>
      <c r="BV91" s="195"/>
      <c r="BW91" s="195"/>
      <c r="BX91" s="200"/>
      <c r="BY91" s="220">
        <f t="shared" si="39"/>
        <v>0</v>
      </c>
      <c r="BZ91" s="468"/>
      <c r="CA91" s="168"/>
      <c r="CB91" s="168"/>
      <c r="CC91" s="168"/>
    </row>
    <row r="92" spans="2:81" outlineLevel="1" x14ac:dyDescent="0.2">
      <c r="B92" s="485"/>
      <c r="C92" s="207" t="s">
        <v>289</v>
      </c>
      <c r="D92" s="194" t="s">
        <v>218</v>
      </c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5"/>
      <c r="W92" s="195"/>
      <c r="X92" s="195"/>
      <c r="Y92" s="195"/>
      <c r="Z92" s="195"/>
      <c r="AA92" s="195"/>
      <c r="AB92" s="195"/>
      <c r="AC92" s="195"/>
      <c r="AD92" s="195"/>
      <c r="AE92" s="195"/>
      <c r="AF92" s="195"/>
      <c r="AG92" s="195"/>
      <c r="AH92" s="195"/>
      <c r="AI92" s="195"/>
      <c r="AJ92" s="195"/>
      <c r="AK92" s="195"/>
      <c r="AL92" s="195"/>
      <c r="AM92" s="195"/>
      <c r="AN92" s="195"/>
      <c r="AO92" s="195"/>
      <c r="AP92" s="195"/>
      <c r="AQ92" s="195"/>
      <c r="AR92" s="195"/>
      <c r="AS92" s="195"/>
      <c r="AT92" s="195"/>
      <c r="AU92" s="195"/>
      <c r="AV92" s="195"/>
      <c r="AW92" s="195"/>
      <c r="AX92" s="195"/>
      <c r="AY92" s="195"/>
      <c r="AZ92" s="195"/>
      <c r="BA92" s="195"/>
      <c r="BB92" s="195"/>
      <c r="BC92" s="219"/>
      <c r="BD92" s="195"/>
      <c r="BE92" s="195"/>
      <c r="BF92" s="195"/>
      <c r="BG92" s="195"/>
      <c r="BH92" s="195"/>
      <c r="BI92" s="195"/>
      <c r="BJ92" s="195"/>
      <c r="BK92" s="195"/>
      <c r="BL92" s="195"/>
      <c r="BM92" s="195"/>
      <c r="BN92" s="195"/>
      <c r="BO92" s="195"/>
      <c r="BP92" s="195"/>
      <c r="BQ92" s="195"/>
      <c r="BR92" s="195"/>
      <c r="BS92" s="195"/>
      <c r="BT92" s="195"/>
      <c r="BU92" s="195"/>
      <c r="BV92" s="195"/>
      <c r="BW92" s="195"/>
      <c r="BX92" s="200"/>
      <c r="BY92" s="220">
        <f t="shared" si="39"/>
        <v>0</v>
      </c>
      <c r="BZ92" s="468"/>
      <c r="CA92" s="168"/>
      <c r="CB92" s="168"/>
      <c r="CC92" s="168"/>
    </row>
    <row r="93" spans="2:81" outlineLevel="1" x14ac:dyDescent="0.2">
      <c r="B93" s="485"/>
      <c r="C93" s="207" t="s">
        <v>290</v>
      </c>
      <c r="D93" s="194" t="s">
        <v>218</v>
      </c>
      <c r="E93" s="195"/>
      <c r="F93" s="195"/>
      <c r="G93" s="195"/>
      <c r="H93" s="195"/>
      <c r="I93" s="195"/>
      <c r="J93" s="195"/>
      <c r="K93" s="195"/>
      <c r="L93" s="195"/>
      <c r="M93" s="195"/>
      <c r="N93" s="195"/>
      <c r="O93" s="195"/>
      <c r="P93" s="195"/>
      <c r="Q93" s="195"/>
      <c r="R93" s="195"/>
      <c r="S93" s="195"/>
      <c r="T93" s="195"/>
      <c r="U93" s="195">
        <f>-840000-840000-420000</f>
        <v>-2100000</v>
      </c>
      <c r="V93" s="195"/>
      <c r="W93" s="195"/>
      <c r="X93" s="195"/>
      <c r="Y93" s="195"/>
      <c r="Z93" s="195"/>
      <c r="AA93" s="195"/>
      <c r="AB93" s="195"/>
      <c r="AC93" s="195"/>
      <c r="AD93" s="195"/>
      <c r="AE93" s="195"/>
      <c r="AF93" s="195"/>
      <c r="AG93" s="195"/>
      <c r="AH93" s="195"/>
      <c r="AI93" s="195"/>
      <c r="AJ93" s="195"/>
      <c r="AK93" s="195"/>
      <c r="AL93" s="195"/>
      <c r="AM93" s="195"/>
      <c r="AN93" s="195"/>
      <c r="AO93" s="195"/>
      <c r="AP93" s="195"/>
      <c r="AQ93" s="195"/>
      <c r="AR93" s="195"/>
      <c r="AS93" s="195"/>
      <c r="AT93" s="195"/>
      <c r="AU93" s="195"/>
      <c r="AV93" s="195"/>
      <c r="AW93" s="195"/>
      <c r="AX93" s="195"/>
      <c r="AY93" s="195"/>
      <c r="AZ93" s="195"/>
      <c r="BA93" s="195"/>
      <c r="BB93" s="195"/>
      <c r="BC93" s="219"/>
      <c r="BD93" s="195"/>
      <c r="BE93" s="195"/>
      <c r="BF93" s="195"/>
      <c r="BG93" s="195"/>
      <c r="BH93" s="195"/>
      <c r="BI93" s="195"/>
      <c r="BJ93" s="195"/>
      <c r="BK93" s="195"/>
      <c r="BL93" s="195"/>
      <c r="BM93" s="195"/>
      <c r="BN93" s="195"/>
      <c r="BO93" s="195"/>
      <c r="BP93" s="195"/>
      <c r="BQ93" s="195"/>
      <c r="BR93" s="195"/>
      <c r="BS93" s="195"/>
      <c r="BT93" s="195"/>
      <c r="BU93" s="195"/>
      <c r="BV93" s="195"/>
      <c r="BW93" s="195"/>
      <c r="BX93" s="200"/>
      <c r="BY93" s="229">
        <f t="shared" si="39"/>
        <v>-2100000</v>
      </c>
      <c r="BZ93" s="468"/>
      <c r="CA93" s="168"/>
      <c r="CB93" s="168"/>
      <c r="CC93" s="168"/>
    </row>
    <row r="94" spans="2:81" outlineLevel="1" x14ac:dyDescent="0.2">
      <c r="B94" s="479"/>
      <c r="C94" s="213" t="s">
        <v>291</v>
      </c>
      <c r="D94" s="230" t="s">
        <v>218</v>
      </c>
      <c r="E94" s="215"/>
      <c r="F94" s="215"/>
      <c r="G94" s="215"/>
      <c r="H94" s="215"/>
      <c r="I94" s="215"/>
      <c r="J94" s="215"/>
      <c r="K94" s="215"/>
      <c r="L94" s="215"/>
      <c r="M94" s="215"/>
      <c r="N94" s="215"/>
      <c r="O94" s="215"/>
      <c r="P94" s="215"/>
      <c r="Q94" s="215"/>
      <c r="R94" s="215"/>
      <c r="S94" s="215"/>
      <c r="T94" s="215"/>
      <c r="U94" s="215"/>
      <c r="V94" s="215"/>
      <c r="W94" s="215"/>
      <c r="X94" s="215"/>
      <c r="Y94" s="215"/>
      <c r="Z94" s="215"/>
      <c r="AA94" s="215"/>
      <c r="AB94" s="215"/>
      <c r="AC94" s="215"/>
      <c r="AD94" s="215"/>
      <c r="AE94" s="215"/>
      <c r="AF94" s="215"/>
      <c r="AG94" s="215"/>
      <c r="AH94" s="215"/>
      <c r="AI94" s="215"/>
      <c r="AJ94" s="215"/>
      <c r="AK94" s="215"/>
      <c r="AL94" s="215"/>
      <c r="AM94" s="215"/>
      <c r="AN94" s="215">
        <f>-BZ9</f>
        <v>-70766691.817291662</v>
      </c>
      <c r="AO94" s="215"/>
      <c r="AP94" s="215"/>
      <c r="AQ94" s="215"/>
      <c r="AR94" s="215"/>
      <c r="AS94" s="215"/>
      <c r="AT94" s="215"/>
      <c r="AU94" s="215"/>
      <c r="AV94" s="215"/>
      <c r="AW94" s="215"/>
      <c r="AX94" s="215"/>
      <c r="AY94" s="215"/>
      <c r="AZ94" s="215"/>
      <c r="BA94" s="215"/>
      <c r="BB94" s="215"/>
      <c r="BC94" s="215"/>
      <c r="BD94" s="215"/>
      <c r="BE94" s="215"/>
      <c r="BF94" s="215"/>
      <c r="BG94" s="215"/>
      <c r="BH94" s="215"/>
      <c r="BI94" s="215"/>
      <c r="BJ94" s="215"/>
      <c r="BK94" s="215"/>
      <c r="BL94" s="215"/>
      <c r="BM94" s="215"/>
      <c r="BN94" s="215"/>
      <c r="BO94" s="215"/>
      <c r="BP94" s="215"/>
      <c r="BQ94" s="215"/>
      <c r="BR94" s="215"/>
      <c r="BS94" s="215"/>
      <c r="BT94" s="215"/>
      <c r="BU94" s="215"/>
      <c r="BV94" s="215"/>
      <c r="BW94" s="215"/>
      <c r="BX94" s="216"/>
      <c r="BY94" s="202">
        <f t="shared" si="39"/>
        <v>-70766691.817291662</v>
      </c>
      <c r="BZ94" s="473"/>
      <c r="CA94" s="168"/>
      <c r="CB94" s="168"/>
      <c r="CC94" s="168"/>
    </row>
    <row r="95" spans="2:81" ht="16" x14ac:dyDescent="0.2">
      <c r="B95" s="488" t="s">
        <v>292</v>
      </c>
      <c r="C95" s="471"/>
      <c r="D95" s="231" t="s">
        <v>218</v>
      </c>
      <c r="E95" s="232">
        <f t="shared" ref="E95:AJ95" si="40">(E18+E24+E30+E37+E46+E52+E60+E84+E87)</f>
        <v>0</v>
      </c>
      <c r="F95" s="232">
        <f t="shared" si="40"/>
        <v>0</v>
      </c>
      <c r="G95" s="232">
        <f t="shared" si="40"/>
        <v>0</v>
      </c>
      <c r="H95" s="232">
        <f t="shared" si="40"/>
        <v>0</v>
      </c>
      <c r="I95" s="232">
        <f t="shared" si="40"/>
        <v>0</v>
      </c>
      <c r="J95" s="232">
        <f t="shared" si="40"/>
        <v>0</v>
      </c>
      <c r="K95" s="232">
        <f t="shared" si="40"/>
        <v>0</v>
      </c>
      <c r="L95" s="232">
        <f t="shared" si="40"/>
        <v>0</v>
      </c>
      <c r="M95" s="232">
        <f t="shared" si="40"/>
        <v>0</v>
      </c>
      <c r="N95" s="232">
        <f t="shared" si="40"/>
        <v>0</v>
      </c>
      <c r="O95" s="232">
        <f t="shared" si="40"/>
        <v>-276911.96694214875</v>
      </c>
      <c r="P95" s="232">
        <f t="shared" si="40"/>
        <v>-272199</v>
      </c>
      <c r="Q95" s="232">
        <f t="shared" si="40"/>
        <v>-7312143.7365289256</v>
      </c>
      <c r="R95" s="232">
        <f t="shared" si="40"/>
        <v>-260826.76033057852</v>
      </c>
      <c r="S95" s="232">
        <f t="shared" si="40"/>
        <v>-256298</v>
      </c>
      <c r="T95" s="232">
        <f t="shared" si="40"/>
        <v>-507700.65289256198</v>
      </c>
      <c r="U95" s="232">
        <f t="shared" si="40"/>
        <v>-3996791.7340000002</v>
      </c>
      <c r="V95" s="232">
        <f t="shared" si="40"/>
        <v>-879125.06733333319</v>
      </c>
      <c r="W95" s="232">
        <f t="shared" si="40"/>
        <v>-2525508.3333333335</v>
      </c>
      <c r="X95" s="232">
        <f t="shared" si="40"/>
        <v>-612508.33333333326</v>
      </c>
      <c r="Y95" s="232">
        <f t="shared" si="40"/>
        <v>-1043688.9733333332</v>
      </c>
      <c r="Z95" s="232">
        <f t="shared" si="40"/>
        <v>-902508.33333333326</v>
      </c>
      <c r="AA95" s="232">
        <f t="shared" si="40"/>
        <v>-612508.33333333326</v>
      </c>
      <c r="AB95" s="232">
        <f t="shared" si="40"/>
        <v>-12960166.394437455</v>
      </c>
      <c r="AC95" s="232">
        <f t="shared" si="40"/>
        <v>-9810993.7961284705</v>
      </c>
      <c r="AD95" s="232">
        <f t="shared" si="40"/>
        <v>-9260563.2514236104</v>
      </c>
      <c r="AE95" s="232">
        <f t="shared" si="40"/>
        <v>-9296742.5417187493</v>
      </c>
      <c r="AF95" s="232">
        <f t="shared" si="40"/>
        <v>-9106921.8320138883</v>
      </c>
      <c r="AG95" s="232">
        <f t="shared" si="40"/>
        <v>-9143101.1223090272</v>
      </c>
      <c r="AH95" s="232">
        <f t="shared" si="40"/>
        <v>-9179280.4126041662</v>
      </c>
      <c r="AI95" s="232">
        <f t="shared" si="40"/>
        <v>-9215459.7028993051</v>
      </c>
      <c r="AJ95" s="232">
        <f t="shared" si="40"/>
        <v>-9251638.9931944441</v>
      </c>
      <c r="AK95" s="232">
        <f t="shared" ref="AK95:BP95" si="41">(AK18+AK24+AK30+AK37+AK46+AK52+AK60+AK84+AK87)</f>
        <v>-412934.32236111112</v>
      </c>
      <c r="AL95" s="232">
        <f t="shared" si="41"/>
        <v>-588179.42336111108</v>
      </c>
      <c r="AM95" s="232">
        <f t="shared" si="41"/>
        <v>-485254.32236111112</v>
      </c>
      <c r="AN95" s="232">
        <f t="shared" si="41"/>
        <v>-110925861.51365277</v>
      </c>
      <c r="AO95" s="232">
        <f t="shared" si="41"/>
        <v>0</v>
      </c>
      <c r="AP95" s="232">
        <f t="shared" si="41"/>
        <v>0</v>
      </c>
      <c r="AQ95" s="232">
        <f t="shared" si="41"/>
        <v>0</v>
      </c>
      <c r="AR95" s="232">
        <f t="shared" si="41"/>
        <v>0</v>
      </c>
      <c r="AS95" s="232">
        <f t="shared" si="41"/>
        <v>0</v>
      </c>
      <c r="AT95" s="232">
        <f t="shared" si="41"/>
        <v>0</v>
      </c>
      <c r="AU95" s="232">
        <f t="shared" si="41"/>
        <v>0</v>
      </c>
      <c r="AV95" s="232">
        <f t="shared" si="41"/>
        <v>0</v>
      </c>
      <c r="AW95" s="232">
        <f t="shared" si="41"/>
        <v>0</v>
      </c>
      <c r="AX95" s="232">
        <f t="shared" si="41"/>
        <v>0</v>
      </c>
      <c r="AY95" s="232">
        <f t="shared" si="41"/>
        <v>0</v>
      </c>
      <c r="AZ95" s="232">
        <f t="shared" si="41"/>
        <v>0</v>
      </c>
      <c r="BA95" s="232">
        <f t="shared" si="41"/>
        <v>0</v>
      </c>
      <c r="BB95" s="232">
        <f t="shared" si="41"/>
        <v>0</v>
      </c>
      <c r="BC95" s="232">
        <f t="shared" si="41"/>
        <v>0</v>
      </c>
      <c r="BD95" s="232">
        <f t="shared" si="41"/>
        <v>0</v>
      </c>
      <c r="BE95" s="232">
        <f t="shared" si="41"/>
        <v>0</v>
      </c>
      <c r="BF95" s="232">
        <f t="shared" si="41"/>
        <v>0</v>
      </c>
      <c r="BG95" s="232">
        <f t="shared" si="41"/>
        <v>0</v>
      </c>
      <c r="BH95" s="232">
        <f t="shared" si="41"/>
        <v>0</v>
      </c>
      <c r="BI95" s="232">
        <f t="shared" si="41"/>
        <v>0</v>
      </c>
      <c r="BJ95" s="232">
        <f t="shared" si="41"/>
        <v>0</v>
      </c>
      <c r="BK95" s="232">
        <f t="shared" si="41"/>
        <v>0</v>
      </c>
      <c r="BL95" s="232">
        <f t="shared" si="41"/>
        <v>0</v>
      </c>
      <c r="BM95" s="232">
        <f t="shared" si="41"/>
        <v>0</v>
      </c>
      <c r="BN95" s="232">
        <f t="shared" si="41"/>
        <v>0</v>
      </c>
      <c r="BO95" s="232">
        <f t="shared" si="41"/>
        <v>0</v>
      </c>
      <c r="BP95" s="232">
        <f t="shared" si="41"/>
        <v>0</v>
      </c>
      <c r="BQ95" s="232">
        <f t="shared" ref="BQ95:BX95" si="42">(BQ18+BQ24+BQ30+BQ37+BQ46+BQ52+BQ60+BQ84+BQ87)</f>
        <v>0</v>
      </c>
      <c r="BR95" s="232">
        <f t="shared" si="42"/>
        <v>0</v>
      </c>
      <c r="BS95" s="232">
        <f t="shared" si="42"/>
        <v>0</v>
      </c>
      <c r="BT95" s="232">
        <f t="shared" si="42"/>
        <v>0</v>
      </c>
      <c r="BU95" s="232">
        <f t="shared" si="42"/>
        <v>0</v>
      </c>
      <c r="BV95" s="232">
        <f t="shared" si="42"/>
        <v>0</v>
      </c>
      <c r="BW95" s="232">
        <f t="shared" si="42"/>
        <v>0</v>
      </c>
      <c r="BX95" s="232">
        <f t="shared" si="42"/>
        <v>0</v>
      </c>
      <c r="BY95" s="478">
        <f>BZ88</f>
        <v>-110566691.81729166</v>
      </c>
      <c r="BZ95" s="479"/>
      <c r="CA95" s="168"/>
      <c r="CB95" s="168"/>
      <c r="CC95" s="168"/>
    </row>
    <row r="96" spans="2:81" ht="16" x14ac:dyDescent="0.2">
      <c r="B96" s="490" t="s">
        <v>293</v>
      </c>
      <c r="C96" s="471"/>
      <c r="D96" s="233"/>
      <c r="E96" s="234">
        <f t="shared" ref="E96:AJ96" si="43">E17+E95</f>
        <v>0</v>
      </c>
      <c r="F96" s="234">
        <f t="shared" si="43"/>
        <v>0</v>
      </c>
      <c r="G96" s="234">
        <f t="shared" si="43"/>
        <v>0</v>
      </c>
      <c r="H96" s="234">
        <f t="shared" si="43"/>
        <v>0</v>
      </c>
      <c r="I96" s="234">
        <f t="shared" si="43"/>
        <v>0</v>
      </c>
      <c r="J96" s="234">
        <f t="shared" si="43"/>
        <v>0</v>
      </c>
      <c r="K96" s="234">
        <f t="shared" si="43"/>
        <v>0</v>
      </c>
      <c r="L96" s="234">
        <f t="shared" si="43"/>
        <v>0</v>
      </c>
      <c r="M96" s="235">
        <f t="shared" si="43"/>
        <v>0</v>
      </c>
      <c r="N96" s="234">
        <f t="shared" si="43"/>
        <v>0</v>
      </c>
      <c r="O96" s="235">
        <f t="shared" si="43"/>
        <v>-330887</v>
      </c>
      <c r="P96" s="235">
        <f t="shared" si="43"/>
        <v>-322097.88</v>
      </c>
      <c r="Q96" s="235">
        <f t="shared" si="43"/>
        <v>445299.28000000026</v>
      </c>
      <c r="R96" s="235">
        <f t="shared" si="43"/>
        <v>-209877</v>
      </c>
      <c r="S96" s="235">
        <f t="shared" si="43"/>
        <v>84013.799999999988</v>
      </c>
      <c r="T96" s="235">
        <f t="shared" si="43"/>
        <v>-305881</v>
      </c>
      <c r="U96" s="234">
        <f t="shared" si="43"/>
        <v>658541.20186000038</v>
      </c>
      <c r="V96" s="234">
        <f t="shared" si="43"/>
        <v>112708.01563410473</v>
      </c>
      <c r="W96" s="234">
        <f t="shared" si="43"/>
        <v>-87538.819193333387</v>
      </c>
      <c r="X96" s="235">
        <f t="shared" si="43"/>
        <v>43481.180806666729</v>
      </c>
      <c r="Y96" s="235">
        <f t="shared" si="43"/>
        <v>-32506.907733333064</v>
      </c>
      <c r="Z96" s="235">
        <f t="shared" si="43"/>
        <v>536591.66666666674</v>
      </c>
      <c r="AA96" s="235">
        <f t="shared" si="43"/>
        <v>-521960.39893333329</v>
      </c>
      <c r="AB96" s="235">
        <f t="shared" si="43"/>
        <v>4053273.6055625454</v>
      </c>
      <c r="AC96" s="234">
        <f t="shared" si="43"/>
        <v>-1262432.9003499988</v>
      </c>
      <c r="AD96" s="235">
        <f t="shared" si="43"/>
        <v>-505175</v>
      </c>
      <c r="AE96" s="235">
        <f t="shared" si="43"/>
        <v>-381986.93465000018</v>
      </c>
      <c r="AF96" s="235">
        <f t="shared" si="43"/>
        <v>-231715</v>
      </c>
      <c r="AG96" s="235">
        <f t="shared" si="43"/>
        <v>-231715</v>
      </c>
      <c r="AH96" s="235">
        <f t="shared" si="43"/>
        <v>-279175</v>
      </c>
      <c r="AI96" s="235">
        <f t="shared" si="43"/>
        <v>-279175</v>
      </c>
      <c r="AJ96" s="235">
        <f t="shared" si="43"/>
        <v>-279175</v>
      </c>
      <c r="AK96" s="235">
        <f t="shared" ref="AK96:BP96" si="44">AK17+AK95</f>
        <v>-380242.57236111112</v>
      </c>
      <c r="AL96" s="235">
        <f t="shared" si="44"/>
        <v>296507.65542888886</v>
      </c>
      <c r="AM96" s="235">
        <f t="shared" si="44"/>
        <v>388355.27763888886</v>
      </c>
      <c r="AN96" s="235">
        <f t="shared" si="44"/>
        <v>27385163.78612861</v>
      </c>
      <c r="AO96" s="234">
        <f t="shared" si="44"/>
        <v>0</v>
      </c>
      <c r="AP96" s="235">
        <f t="shared" si="44"/>
        <v>0</v>
      </c>
      <c r="AQ96" s="235">
        <f t="shared" si="44"/>
        <v>0</v>
      </c>
      <c r="AR96" s="235">
        <f t="shared" si="44"/>
        <v>0</v>
      </c>
      <c r="AS96" s="234">
        <f t="shared" si="44"/>
        <v>0</v>
      </c>
      <c r="AT96" s="234">
        <f t="shared" si="44"/>
        <v>0</v>
      </c>
      <c r="AU96" s="234">
        <f t="shared" si="44"/>
        <v>0</v>
      </c>
      <c r="AV96" s="234">
        <f t="shared" si="44"/>
        <v>0</v>
      </c>
      <c r="AW96" s="234">
        <f t="shared" si="44"/>
        <v>0</v>
      </c>
      <c r="AX96" s="234">
        <f t="shared" si="44"/>
        <v>0</v>
      </c>
      <c r="AY96" s="234">
        <f t="shared" si="44"/>
        <v>0</v>
      </c>
      <c r="AZ96" s="234">
        <f t="shared" si="44"/>
        <v>0</v>
      </c>
      <c r="BA96" s="234">
        <f t="shared" si="44"/>
        <v>0</v>
      </c>
      <c r="BB96" s="234">
        <f t="shared" si="44"/>
        <v>0</v>
      </c>
      <c r="BC96" s="234">
        <f t="shared" si="44"/>
        <v>0</v>
      </c>
      <c r="BD96" s="234">
        <f t="shared" si="44"/>
        <v>0</v>
      </c>
      <c r="BE96" s="234">
        <f t="shared" si="44"/>
        <v>0</v>
      </c>
      <c r="BF96" s="234">
        <f t="shared" si="44"/>
        <v>0</v>
      </c>
      <c r="BG96" s="234">
        <f t="shared" si="44"/>
        <v>0</v>
      </c>
      <c r="BH96" s="234">
        <f t="shared" si="44"/>
        <v>0</v>
      </c>
      <c r="BI96" s="234">
        <f t="shared" si="44"/>
        <v>0</v>
      </c>
      <c r="BJ96" s="234">
        <f t="shared" si="44"/>
        <v>0</v>
      </c>
      <c r="BK96" s="234">
        <f t="shared" si="44"/>
        <v>0</v>
      </c>
      <c r="BL96" s="236">
        <f t="shared" si="44"/>
        <v>0</v>
      </c>
      <c r="BM96" s="236">
        <f t="shared" si="44"/>
        <v>0</v>
      </c>
      <c r="BN96" s="236">
        <f t="shared" si="44"/>
        <v>0</v>
      </c>
      <c r="BO96" s="236">
        <f t="shared" si="44"/>
        <v>0</v>
      </c>
      <c r="BP96" s="236">
        <f t="shared" si="44"/>
        <v>0</v>
      </c>
      <c r="BQ96" s="236">
        <f t="shared" ref="BQ96:BX96" si="45">BQ17+BQ95</f>
        <v>0</v>
      </c>
      <c r="BR96" s="236">
        <f t="shared" si="45"/>
        <v>0</v>
      </c>
      <c r="BS96" s="236">
        <f t="shared" si="45"/>
        <v>0</v>
      </c>
      <c r="BT96" s="236">
        <f t="shared" si="45"/>
        <v>0</v>
      </c>
      <c r="BU96" s="236">
        <f t="shared" si="45"/>
        <v>0</v>
      </c>
      <c r="BV96" s="236">
        <f t="shared" si="45"/>
        <v>0</v>
      </c>
      <c r="BW96" s="236">
        <f t="shared" si="45"/>
        <v>0</v>
      </c>
      <c r="BX96" s="236">
        <f t="shared" si="45"/>
        <v>0</v>
      </c>
      <c r="BY96" s="480">
        <f>BY17+BY87+BY95</f>
        <v>28362394.056505248</v>
      </c>
      <c r="BZ96" s="481"/>
      <c r="CA96" s="168"/>
      <c r="CB96" s="168"/>
      <c r="CC96" s="168"/>
    </row>
    <row r="97" spans="2:81" x14ac:dyDescent="0.2">
      <c r="B97" s="482" t="s">
        <v>294</v>
      </c>
      <c r="C97" s="471"/>
      <c r="D97" s="237"/>
      <c r="E97" s="238">
        <f>E96</f>
        <v>0</v>
      </c>
      <c r="F97" s="238">
        <f t="shared" ref="F97:BX97" si="46">F96+E97</f>
        <v>0</v>
      </c>
      <c r="G97" s="238">
        <f t="shared" si="46"/>
        <v>0</v>
      </c>
      <c r="H97" s="238">
        <f t="shared" si="46"/>
        <v>0</v>
      </c>
      <c r="I97" s="238">
        <f t="shared" si="46"/>
        <v>0</v>
      </c>
      <c r="J97" s="238">
        <f t="shared" si="46"/>
        <v>0</v>
      </c>
      <c r="K97" s="238">
        <f t="shared" si="46"/>
        <v>0</v>
      </c>
      <c r="L97" s="238">
        <f t="shared" si="46"/>
        <v>0</v>
      </c>
      <c r="M97" s="238">
        <f t="shared" si="46"/>
        <v>0</v>
      </c>
      <c r="N97" s="238">
        <f>N96+M97+680935</f>
        <v>680935</v>
      </c>
      <c r="O97" s="238">
        <f t="shared" si="46"/>
        <v>350048</v>
      </c>
      <c r="P97" s="238">
        <f t="shared" si="46"/>
        <v>27950.119999999995</v>
      </c>
      <c r="Q97" s="238">
        <f t="shared" si="46"/>
        <v>473249.40000000026</v>
      </c>
      <c r="R97" s="238">
        <f t="shared" si="46"/>
        <v>263372.40000000026</v>
      </c>
      <c r="S97" s="238">
        <f t="shared" si="46"/>
        <v>347386.20000000024</v>
      </c>
      <c r="T97" s="238">
        <f t="shared" si="46"/>
        <v>41505.200000000244</v>
      </c>
      <c r="U97" s="238">
        <f t="shared" si="46"/>
        <v>700046.40186000057</v>
      </c>
      <c r="V97" s="238">
        <f t="shared" si="46"/>
        <v>812754.41749410529</v>
      </c>
      <c r="W97" s="238">
        <f t="shared" si="46"/>
        <v>725215.5983007719</v>
      </c>
      <c r="X97" s="238">
        <f t="shared" si="46"/>
        <v>768696.77910743863</v>
      </c>
      <c r="Y97" s="238">
        <f t="shared" si="46"/>
        <v>736189.87137410557</v>
      </c>
      <c r="Z97" s="238">
        <f t="shared" si="46"/>
        <v>1272781.5380407723</v>
      </c>
      <c r="AA97" s="238">
        <f t="shared" si="46"/>
        <v>750821.13910743897</v>
      </c>
      <c r="AB97" s="238">
        <f t="shared" si="46"/>
        <v>4804094.7446699841</v>
      </c>
      <c r="AC97" s="238">
        <f t="shared" si="46"/>
        <v>3541661.8443199852</v>
      </c>
      <c r="AD97" s="238">
        <f t="shared" si="46"/>
        <v>3036486.8443199852</v>
      </c>
      <c r="AE97" s="238">
        <f t="shared" si="46"/>
        <v>2654499.9096699851</v>
      </c>
      <c r="AF97" s="238">
        <f t="shared" si="46"/>
        <v>2422784.9096699851</v>
      </c>
      <c r="AG97" s="238">
        <f t="shared" si="46"/>
        <v>2191069.9096699851</v>
      </c>
      <c r="AH97" s="238">
        <f t="shared" si="46"/>
        <v>1911894.9096699851</v>
      </c>
      <c r="AI97" s="238">
        <f t="shared" si="46"/>
        <v>1632719.9096699851</v>
      </c>
      <c r="AJ97" s="238">
        <f t="shared" si="46"/>
        <v>1353544.9096699851</v>
      </c>
      <c r="AK97" s="238">
        <f t="shared" si="46"/>
        <v>973302.33730887389</v>
      </c>
      <c r="AL97" s="238">
        <f t="shared" si="46"/>
        <v>1269809.9927377626</v>
      </c>
      <c r="AM97" s="238">
        <f t="shared" si="46"/>
        <v>1658165.2703766515</v>
      </c>
      <c r="AN97" s="238">
        <f t="shared" si="46"/>
        <v>29043329.056505263</v>
      </c>
      <c r="AO97" s="238">
        <f t="shared" si="46"/>
        <v>29043329.056505263</v>
      </c>
      <c r="AP97" s="238">
        <f t="shared" si="46"/>
        <v>29043329.056505263</v>
      </c>
      <c r="AQ97" s="238">
        <f t="shared" si="46"/>
        <v>29043329.056505263</v>
      </c>
      <c r="AR97" s="238">
        <f t="shared" si="46"/>
        <v>29043329.056505263</v>
      </c>
      <c r="AS97" s="238">
        <f t="shared" si="46"/>
        <v>29043329.056505263</v>
      </c>
      <c r="AT97" s="238">
        <f t="shared" si="46"/>
        <v>29043329.056505263</v>
      </c>
      <c r="AU97" s="238">
        <f t="shared" si="46"/>
        <v>29043329.056505263</v>
      </c>
      <c r="AV97" s="238">
        <f t="shared" si="46"/>
        <v>29043329.056505263</v>
      </c>
      <c r="AW97" s="238">
        <f t="shared" si="46"/>
        <v>29043329.056505263</v>
      </c>
      <c r="AX97" s="238">
        <f t="shared" si="46"/>
        <v>29043329.056505263</v>
      </c>
      <c r="AY97" s="238">
        <f t="shared" si="46"/>
        <v>29043329.056505263</v>
      </c>
      <c r="AZ97" s="238">
        <f t="shared" si="46"/>
        <v>29043329.056505263</v>
      </c>
      <c r="BA97" s="238">
        <f t="shared" si="46"/>
        <v>29043329.056505263</v>
      </c>
      <c r="BB97" s="238">
        <f t="shared" si="46"/>
        <v>29043329.056505263</v>
      </c>
      <c r="BC97" s="238">
        <f t="shared" si="46"/>
        <v>29043329.056505263</v>
      </c>
      <c r="BD97" s="238">
        <f t="shared" si="46"/>
        <v>29043329.056505263</v>
      </c>
      <c r="BE97" s="238">
        <f t="shared" si="46"/>
        <v>29043329.056505263</v>
      </c>
      <c r="BF97" s="238">
        <f t="shared" si="46"/>
        <v>29043329.056505263</v>
      </c>
      <c r="BG97" s="238">
        <f t="shared" si="46"/>
        <v>29043329.056505263</v>
      </c>
      <c r="BH97" s="238">
        <f t="shared" si="46"/>
        <v>29043329.056505263</v>
      </c>
      <c r="BI97" s="238">
        <f t="shared" si="46"/>
        <v>29043329.056505263</v>
      </c>
      <c r="BJ97" s="238">
        <f t="shared" si="46"/>
        <v>29043329.056505263</v>
      </c>
      <c r="BK97" s="238">
        <f t="shared" si="46"/>
        <v>29043329.056505263</v>
      </c>
      <c r="BL97" s="238">
        <f t="shared" si="46"/>
        <v>29043329.056505263</v>
      </c>
      <c r="BM97" s="238">
        <f t="shared" si="46"/>
        <v>29043329.056505263</v>
      </c>
      <c r="BN97" s="238">
        <f t="shared" si="46"/>
        <v>29043329.056505263</v>
      </c>
      <c r="BO97" s="238">
        <f t="shared" si="46"/>
        <v>29043329.056505263</v>
      </c>
      <c r="BP97" s="238">
        <f t="shared" si="46"/>
        <v>29043329.056505263</v>
      </c>
      <c r="BQ97" s="238">
        <f t="shared" si="46"/>
        <v>29043329.056505263</v>
      </c>
      <c r="BR97" s="238">
        <f t="shared" si="46"/>
        <v>29043329.056505263</v>
      </c>
      <c r="BS97" s="238">
        <f t="shared" si="46"/>
        <v>29043329.056505263</v>
      </c>
      <c r="BT97" s="238">
        <f t="shared" si="46"/>
        <v>29043329.056505263</v>
      </c>
      <c r="BU97" s="238">
        <f t="shared" si="46"/>
        <v>29043329.056505263</v>
      </c>
      <c r="BV97" s="238">
        <f t="shared" si="46"/>
        <v>29043329.056505263</v>
      </c>
      <c r="BW97" s="238">
        <f t="shared" si="46"/>
        <v>29043329.056505263</v>
      </c>
      <c r="BX97" s="238">
        <f t="shared" si="46"/>
        <v>29043329.056505263</v>
      </c>
      <c r="BY97" s="168"/>
      <c r="BZ97" s="168"/>
      <c r="CA97" s="168"/>
      <c r="CB97" s="168"/>
      <c r="CC97" s="168"/>
    </row>
    <row r="98" spans="2:81" x14ac:dyDescent="0.2">
      <c r="B98" s="168"/>
      <c r="C98" s="168"/>
      <c r="D98" s="168"/>
      <c r="E98" s="168"/>
      <c r="F98" s="168"/>
      <c r="G98" s="168"/>
      <c r="H98" s="168"/>
      <c r="I98" s="168"/>
      <c r="J98" s="168"/>
      <c r="K98" s="168"/>
      <c r="L98" s="168"/>
      <c r="M98" s="168"/>
      <c r="N98" s="168"/>
      <c r="O98" s="168"/>
      <c r="P98" s="168"/>
      <c r="Q98" s="168"/>
      <c r="R98" s="168"/>
      <c r="S98" s="168"/>
      <c r="T98" s="168"/>
      <c r="U98" s="168"/>
      <c r="V98" s="168"/>
      <c r="W98" s="168"/>
      <c r="X98" s="168"/>
      <c r="Y98" s="168"/>
      <c r="Z98" s="168"/>
      <c r="AA98" s="168"/>
      <c r="AB98" s="168"/>
      <c r="AC98" s="168"/>
      <c r="AD98" s="168"/>
      <c r="AE98" s="168"/>
      <c r="AF98" s="168"/>
      <c r="AG98" s="168"/>
      <c r="AH98" s="168"/>
      <c r="AI98" s="168"/>
      <c r="AJ98" s="168"/>
      <c r="AK98" s="168"/>
      <c r="AL98" s="168"/>
      <c r="AM98" s="168"/>
      <c r="AN98" s="168"/>
      <c r="AO98" s="168"/>
      <c r="AP98" s="168"/>
      <c r="AQ98" s="168"/>
      <c r="AR98" s="168"/>
      <c r="AS98" s="168"/>
      <c r="AT98" s="168"/>
      <c r="AU98" s="168"/>
      <c r="AV98" s="168"/>
      <c r="AW98" s="168"/>
      <c r="AX98" s="168"/>
      <c r="AY98" s="168"/>
      <c r="AZ98" s="168"/>
      <c r="BA98" s="168"/>
      <c r="BB98" s="168"/>
      <c r="BC98" s="168"/>
      <c r="BD98" s="168"/>
      <c r="BE98" s="168"/>
      <c r="BF98" s="168"/>
      <c r="BG98" s="168"/>
      <c r="BH98" s="168"/>
      <c r="BI98" s="168"/>
      <c r="BJ98" s="168"/>
      <c r="BK98" s="168"/>
      <c r="BL98" s="168"/>
      <c r="BM98" s="168"/>
      <c r="BN98" s="168"/>
      <c r="BO98" s="168"/>
      <c r="BP98" s="168"/>
      <c r="BQ98" s="168"/>
      <c r="BR98" s="168"/>
      <c r="BS98" s="168"/>
      <c r="BT98" s="168"/>
      <c r="BU98" s="168"/>
      <c r="BV98" s="168"/>
      <c r="BW98" s="168"/>
      <c r="BX98" s="168"/>
      <c r="BY98" s="239"/>
      <c r="BZ98" s="168"/>
      <c r="CA98" s="168"/>
      <c r="CB98" s="168"/>
      <c r="CC98" s="168"/>
    </row>
    <row r="99" spans="2:81" x14ac:dyDescent="0.2">
      <c r="B99" s="168"/>
      <c r="C99" s="245"/>
      <c r="D99" s="245"/>
      <c r="E99" s="245"/>
      <c r="F99" s="245"/>
      <c r="G99" s="245"/>
      <c r="H99" s="245"/>
      <c r="I99" s="245"/>
      <c r="J99" s="245"/>
      <c r="K99" s="245"/>
      <c r="L99" s="245"/>
      <c r="M99" s="245"/>
      <c r="N99" s="245"/>
      <c r="O99" s="245"/>
      <c r="P99" s="245"/>
      <c r="Q99" s="245"/>
      <c r="R99" s="245"/>
      <c r="S99" s="245"/>
      <c r="T99" s="245"/>
      <c r="U99" s="245"/>
      <c r="V99" s="245"/>
      <c r="W99" s="245"/>
      <c r="X99" s="245"/>
      <c r="Y99" s="245"/>
      <c r="Z99" s="245"/>
      <c r="AA99" s="245"/>
      <c r="AB99" s="245"/>
      <c r="AC99" s="245"/>
      <c r="AD99" s="245"/>
      <c r="AE99" s="245"/>
      <c r="AF99" s="245"/>
      <c r="AG99" s="245"/>
      <c r="AH99" s="245"/>
      <c r="AI99" s="245"/>
      <c r="AJ99" s="245"/>
      <c r="AK99" s="245"/>
      <c r="AL99" s="245"/>
      <c r="AM99" s="245"/>
      <c r="AN99" s="245"/>
      <c r="AO99" s="245"/>
      <c r="AP99" s="245"/>
      <c r="AQ99" s="245"/>
      <c r="AR99" s="245"/>
      <c r="AS99" s="245"/>
      <c r="AT99" s="245"/>
      <c r="AU99" s="245"/>
      <c r="AV99" s="245"/>
      <c r="AW99" s="245"/>
      <c r="AX99" s="245"/>
      <c r="AY99" s="245"/>
      <c r="AZ99" s="245"/>
      <c r="BA99" s="245"/>
      <c r="BB99" s="245"/>
      <c r="BC99" s="245"/>
      <c r="BD99" s="245"/>
      <c r="BE99" s="245"/>
      <c r="BF99" s="245"/>
      <c r="BG99" s="245"/>
      <c r="BH99" s="245"/>
      <c r="BI99" s="245"/>
      <c r="BJ99" s="245"/>
      <c r="BK99" s="245"/>
      <c r="BL99" s="245"/>
      <c r="BM99" s="168"/>
      <c r="BN99" s="168"/>
      <c r="BO99" s="168"/>
      <c r="BP99" s="168"/>
      <c r="BQ99" s="168"/>
      <c r="BR99" s="168"/>
      <c r="BS99" s="168"/>
      <c r="BT99" s="168"/>
      <c r="BU99" s="168"/>
      <c r="BV99" s="168"/>
      <c r="BW99" s="168"/>
      <c r="BX99" s="168"/>
      <c r="BY99" s="168"/>
      <c r="BZ99" s="168"/>
      <c r="CA99" s="168"/>
      <c r="CB99" s="168"/>
      <c r="CC99" s="168"/>
    </row>
    <row r="100" spans="2:81" x14ac:dyDescent="0.2">
      <c r="B100" s="246"/>
      <c r="C100" s="240" t="s">
        <v>295</v>
      </c>
      <c r="D100" s="241"/>
      <c r="E100" s="242">
        <f t="shared" ref="E100:AJ100" si="47">-(E5 + E88)</f>
        <v>0</v>
      </c>
      <c r="F100" s="242">
        <f t="shared" si="47"/>
        <v>0</v>
      </c>
      <c r="G100" s="242">
        <f t="shared" si="47"/>
        <v>0</v>
      </c>
      <c r="H100" s="242">
        <f t="shared" si="47"/>
        <v>0</v>
      </c>
      <c r="I100" s="242">
        <f t="shared" si="47"/>
        <v>0</v>
      </c>
      <c r="J100" s="242">
        <f t="shared" si="47"/>
        <v>0</v>
      </c>
      <c r="K100" s="242">
        <f t="shared" si="47"/>
        <v>0</v>
      </c>
      <c r="L100" s="242">
        <f t="shared" si="47"/>
        <v>0</v>
      </c>
      <c r="M100" s="242">
        <f t="shared" si="47"/>
        <v>0</v>
      </c>
      <c r="N100" s="242">
        <f t="shared" si="47"/>
        <v>0</v>
      </c>
      <c r="O100" s="242">
        <f t="shared" si="47"/>
        <v>0</v>
      </c>
      <c r="P100" s="242">
        <f t="shared" si="47"/>
        <v>0</v>
      </c>
      <c r="Q100" s="242">
        <f t="shared" si="47"/>
        <v>-5000000</v>
      </c>
      <c r="R100" s="242">
        <f t="shared" si="47"/>
        <v>0</v>
      </c>
      <c r="S100" s="242">
        <f t="shared" si="47"/>
        <v>-100000</v>
      </c>
      <c r="T100" s="242">
        <f t="shared" si="47"/>
        <v>-200000</v>
      </c>
      <c r="U100" s="242">
        <f t="shared" si="47"/>
        <v>-5000000</v>
      </c>
      <c r="V100" s="242">
        <f t="shared" si="47"/>
        <v>-1000000</v>
      </c>
      <c r="W100" s="242">
        <f t="shared" si="47"/>
        <v>-2500000</v>
      </c>
      <c r="X100" s="242">
        <f t="shared" si="47"/>
        <v>-600000</v>
      </c>
      <c r="Y100" s="242">
        <f t="shared" si="47"/>
        <v>-700000</v>
      </c>
      <c r="Z100" s="242">
        <f t="shared" si="47"/>
        <v>-1500000</v>
      </c>
      <c r="AA100" s="242">
        <f t="shared" si="47"/>
        <v>0</v>
      </c>
      <c r="AB100" s="242">
        <f t="shared" si="47"/>
        <v>-17000000</v>
      </c>
      <c r="AC100" s="242">
        <f t="shared" si="47"/>
        <v>0</v>
      </c>
      <c r="AD100" s="242">
        <f t="shared" si="47"/>
        <v>0</v>
      </c>
      <c r="AE100" s="242">
        <f t="shared" si="47"/>
        <v>0</v>
      </c>
      <c r="AF100" s="242">
        <f t="shared" si="47"/>
        <v>0</v>
      </c>
      <c r="AG100" s="242">
        <f t="shared" si="47"/>
        <v>0</v>
      </c>
      <c r="AH100" s="242">
        <f t="shared" si="47"/>
        <v>0</v>
      </c>
      <c r="AI100" s="242">
        <f t="shared" si="47"/>
        <v>0</v>
      </c>
      <c r="AJ100" s="242">
        <f t="shared" si="47"/>
        <v>0</v>
      </c>
      <c r="AK100" s="242">
        <f t="shared" ref="AK100:BP100" si="48">-(AK5 + AK88)</f>
        <v>0</v>
      </c>
      <c r="AL100" s="242">
        <f t="shared" si="48"/>
        <v>0</v>
      </c>
      <c r="AM100" s="242">
        <f t="shared" si="48"/>
        <v>0</v>
      </c>
      <c r="AN100" s="242">
        <f t="shared" si="48"/>
        <v>33600000</v>
      </c>
      <c r="AO100" s="242">
        <f t="shared" si="48"/>
        <v>0</v>
      </c>
      <c r="AP100" s="242">
        <f t="shared" si="48"/>
        <v>0</v>
      </c>
      <c r="AQ100" s="242">
        <f t="shared" si="48"/>
        <v>0</v>
      </c>
      <c r="AR100" s="242">
        <f t="shared" si="48"/>
        <v>0</v>
      </c>
      <c r="AS100" s="242">
        <f t="shared" si="48"/>
        <v>0</v>
      </c>
      <c r="AT100" s="242">
        <f t="shared" si="48"/>
        <v>0</v>
      </c>
      <c r="AU100" s="242">
        <f t="shared" si="48"/>
        <v>0</v>
      </c>
      <c r="AV100" s="242">
        <f t="shared" si="48"/>
        <v>0</v>
      </c>
      <c r="AW100" s="242">
        <f t="shared" si="48"/>
        <v>0</v>
      </c>
      <c r="AX100" s="242">
        <f t="shared" si="48"/>
        <v>0</v>
      </c>
      <c r="AY100" s="242">
        <f t="shared" si="48"/>
        <v>0</v>
      </c>
      <c r="AZ100" s="242">
        <f t="shared" si="48"/>
        <v>0</v>
      </c>
      <c r="BA100" s="242">
        <f t="shared" si="48"/>
        <v>0</v>
      </c>
      <c r="BB100" s="242">
        <f t="shared" si="48"/>
        <v>0</v>
      </c>
      <c r="BC100" s="242">
        <f t="shared" si="48"/>
        <v>0</v>
      </c>
      <c r="BD100" s="242">
        <f t="shared" si="48"/>
        <v>0</v>
      </c>
      <c r="BE100" s="242">
        <f t="shared" si="48"/>
        <v>0</v>
      </c>
      <c r="BF100" s="242">
        <f t="shared" si="48"/>
        <v>0</v>
      </c>
      <c r="BG100" s="242">
        <f t="shared" si="48"/>
        <v>0</v>
      </c>
      <c r="BH100" s="242">
        <f t="shared" si="48"/>
        <v>0</v>
      </c>
      <c r="BI100" s="242">
        <f t="shared" si="48"/>
        <v>0</v>
      </c>
      <c r="BJ100" s="242">
        <f t="shared" si="48"/>
        <v>0</v>
      </c>
      <c r="BK100" s="242">
        <f t="shared" si="48"/>
        <v>0</v>
      </c>
      <c r="BL100" s="242">
        <f t="shared" si="48"/>
        <v>0</v>
      </c>
      <c r="BM100" s="242">
        <f t="shared" si="48"/>
        <v>0</v>
      </c>
      <c r="BN100" s="242">
        <f t="shared" si="48"/>
        <v>0</v>
      </c>
      <c r="BO100" s="242">
        <f t="shared" si="48"/>
        <v>0</v>
      </c>
      <c r="BP100" s="242">
        <f t="shared" si="48"/>
        <v>0</v>
      </c>
      <c r="BQ100" s="242">
        <f t="shared" ref="BQ100:BX100" si="49">-(BQ5 + BQ88)</f>
        <v>0</v>
      </c>
      <c r="BR100" s="242">
        <f t="shared" si="49"/>
        <v>0</v>
      </c>
      <c r="BS100" s="242">
        <f t="shared" si="49"/>
        <v>0</v>
      </c>
      <c r="BT100" s="242">
        <f t="shared" si="49"/>
        <v>0</v>
      </c>
      <c r="BU100" s="242">
        <f t="shared" si="49"/>
        <v>0</v>
      </c>
      <c r="BV100" s="242">
        <f t="shared" si="49"/>
        <v>0</v>
      </c>
      <c r="BW100" s="242">
        <f t="shared" si="49"/>
        <v>0</v>
      </c>
      <c r="BX100" s="242">
        <f t="shared" si="49"/>
        <v>0</v>
      </c>
      <c r="BY100" s="168"/>
      <c r="BZ100" s="168"/>
      <c r="CA100" s="168"/>
      <c r="CB100" s="168"/>
      <c r="CC100" s="168"/>
    </row>
    <row r="101" spans="2:81" x14ac:dyDescent="0.2">
      <c r="C101" s="240" t="s">
        <v>296</v>
      </c>
      <c r="D101" s="247"/>
      <c r="E101" s="241"/>
      <c r="F101" s="241"/>
      <c r="G101" s="241"/>
      <c r="H101" s="241"/>
      <c r="I101" s="241"/>
      <c r="J101" s="241"/>
      <c r="K101" s="241"/>
      <c r="L101" s="241"/>
      <c r="M101" s="241"/>
      <c r="N101" s="241"/>
      <c r="O101" s="241"/>
      <c r="P101" s="241"/>
      <c r="Q101" s="241"/>
      <c r="R101" s="241"/>
      <c r="S101" s="241"/>
      <c r="T101" s="241"/>
      <c r="U101" s="241"/>
      <c r="V101" s="241"/>
      <c r="W101" s="241"/>
      <c r="X101" s="241"/>
      <c r="Y101" s="241"/>
      <c r="Z101" s="241"/>
      <c r="AA101" s="241"/>
      <c r="AB101" s="241"/>
      <c r="AC101" s="241"/>
      <c r="AD101" s="241"/>
      <c r="AE101" s="241"/>
      <c r="AF101" s="241"/>
      <c r="AG101" s="241"/>
      <c r="AH101" s="241"/>
      <c r="AI101" s="241"/>
      <c r="AJ101" s="241"/>
      <c r="AK101" s="241"/>
      <c r="AL101" s="241"/>
      <c r="AM101" s="241"/>
      <c r="AN101" s="241"/>
      <c r="AO101" s="241"/>
      <c r="AP101" s="241"/>
      <c r="AQ101" s="241"/>
      <c r="AR101" s="241"/>
      <c r="AS101" s="241"/>
      <c r="AT101" s="241"/>
      <c r="AU101" s="241"/>
      <c r="AV101" s="241"/>
      <c r="AW101" s="241"/>
      <c r="AX101" s="241"/>
      <c r="AY101" s="241"/>
      <c r="AZ101" s="241"/>
      <c r="BA101" s="241"/>
      <c r="BB101" s="241"/>
      <c r="BC101" s="241"/>
      <c r="BD101" s="241"/>
      <c r="BE101" s="241"/>
      <c r="BF101" s="241"/>
      <c r="BG101" s="241"/>
      <c r="BH101" s="241"/>
      <c r="BI101" s="241"/>
      <c r="BJ101" s="241"/>
      <c r="BK101" s="241"/>
      <c r="BL101" s="241"/>
      <c r="BM101" s="241"/>
      <c r="BN101" s="241"/>
      <c r="BO101" s="241"/>
      <c r="BP101" s="241"/>
      <c r="BQ101" s="241"/>
      <c r="BR101" s="241"/>
      <c r="BS101" s="241"/>
      <c r="BT101" s="241"/>
      <c r="BU101" s="241"/>
      <c r="BV101" s="241"/>
      <c r="BW101" s="241"/>
      <c r="BX101" s="241"/>
    </row>
    <row r="102" spans="2:81" x14ac:dyDescent="0.2">
      <c r="C102" s="240" t="s">
        <v>297</v>
      </c>
      <c r="D102" s="247"/>
      <c r="E102" s="241">
        <f t="shared" ref="E102:AJ102" si="50">-E53</f>
        <v>0</v>
      </c>
      <c r="F102" s="241">
        <f t="shared" si="50"/>
        <v>0</v>
      </c>
      <c r="G102" s="241">
        <f t="shared" si="50"/>
        <v>0</v>
      </c>
      <c r="H102" s="241">
        <f t="shared" si="50"/>
        <v>0</v>
      </c>
      <c r="I102" s="241">
        <f t="shared" si="50"/>
        <v>0</v>
      </c>
      <c r="J102" s="241">
        <f t="shared" si="50"/>
        <v>0</v>
      </c>
      <c r="K102" s="241">
        <f t="shared" si="50"/>
        <v>0</v>
      </c>
      <c r="L102" s="241">
        <f t="shared" si="50"/>
        <v>0</v>
      </c>
      <c r="M102" s="241">
        <f t="shared" si="50"/>
        <v>0</v>
      </c>
      <c r="N102" s="241">
        <f t="shared" si="50"/>
        <v>0</v>
      </c>
      <c r="O102" s="241">
        <f t="shared" si="50"/>
        <v>0</v>
      </c>
      <c r="P102" s="241">
        <f t="shared" si="50"/>
        <v>0</v>
      </c>
      <c r="Q102" s="241">
        <f t="shared" si="50"/>
        <v>0</v>
      </c>
      <c r="R102" s="241">
        <f t="shared" si="50"/>
        <v>0</v>
      </c>
      <c r="S102" s="241">
        <f t="shared" si="50"/>
        <v>0</v>
      </c>
      <c r="T102" s="241">
        <f t="shared" si="50"/>
        <v>0</v>
      </c>
      <c r="U102" s="241">
        <f t="shared" si="50"/>
        <v>0</v>
      </c>
      <c r="V102" s="241">
        <f t="shared" si="50"/>
        <v>0</v>
      </c>
      <c r="W102" s="241">
        <f t="shared" si="50"/>
        <v>0</v>
      </c>
      <c r="X102" s="241">
        <f t="shared" si="50"/>
        <v>0</v>
      </c>
      <c r="Y102" s="241">
        <f t="shared" si="50"/>
        <v>0</v>
      </c>
      <c r="Z102" s="241">
        <f t="shared" si="50"/>
        <v>0</v>
      </c>
      <c r="AA102" s="241">
        <f t="shared" si="50"/>
        <v>0</v>
      </c>
      <c r="AB102" s="241">
        <f t="shared" si="50"/>
        <v>0</v>
      </c>
      <c r="AC102" s="241">
        <f t="shared" si="50"/>
        <v>0</v>
      </c>
      <c r="AD102" s="241">
        <f t="shared" si="50"/>
        <v>0</v>
      </c>
      <c r="AE102" s="241">
        <f t="shared" si="50"/>
        <v>0</v>
      </c>
      <c r="AF102" s="241">
        <f t="shared" si="50"/>
        <v>0</v>
      </c>
      <c r="AG102" s="241">
        <f t="shared" si="50"/>
        <v>0</v>
      </c>
      <c r="AH102" s="241">
        <f t="shared" si="50"/>
        <v>0</v>
      </c>
      <c r="AI102" s="241">
        <f t="shared" si="50"/>
        <v>0</v>
      </c>
      <c r="AJ102" s="241">
        <f t="shared" si="50"/>
        <v>0</v>
      </c>
      <c r="AK102" s="241">
        <f t="shared" ref="AK102:BP102" si="51">-AK53</f>
        <v>0</v>
      </c>
      <c r="AL102" s="241">
        <f t="shared" si="51"/>
        <v>0</v>
      </c>
      <c r="AM102" s="241">
        <f t="shared" si="51"/>
        <v>0</v>
      </c>
      <c r="AN102" s="241">
        <f t="shared" si="51"/>
        <v>5090250</v>
      </c>
      <c r="AO102" s="241">
        <f t="shared" si="51"/>
        <v>0</v>
      </c>
      <c r="AP102" s="241">
        <f t="shared" si="51"/>
        <v>0</v>
      </c>
      <c r="AQ102" s="241">
        <f t="shared" si="51"/>
        <v>0</v>
      </c>
      <c r="AR102" s="241">
        <f t="shared" si="51"/>
        <v>0</v>
      </c>
      <c r="AS102" s="241">
        <f t="shared" si="51"/>
        <v>0</v>
      </c>
      <c r="AT102" s="241">
        <f t="shared" si="51"/>
        <v>0</v>
      </c>
      <c r="AU102" s="241">
        <f t="shared" si="51"/>
        <v>0</v>
      </c>
      <c r="AV102" s="241">
        <f t="shared" si="51"/>
        <v>0</v>
      </c>
      <c r="AW102" s="241">
        <f t="shared" si="51"/>
        <v>0</v>
      </c>
      <c r="AX102" s="241">
        <f t="shared" si="51"/>
        <v>0</v>
      </c>
      <c r="AY102" s="241">
        <f t="shared" si="51"/>
        <v>0</v>
      </c>
      <c r="AZ102" s="241">
        <f t="shared" si="51"/>
        <v>0</v>
      </c>
      <c r="BA102" s="241">
        <f t="shared" si="51"/>
        <v>0</v>
      </c>
      <c r="BB102" s="241">
        <f t="shared" si="51"/>
        <v>0</v>
      </c>
      <c r="BC102" s="241">
        <f t="shared" si="51"/>
        <v>0</v>
      </c>
      <c r="BD102" s="241">
        <f t="shared" si="51"/>
        <v>0</v>
      </c>
      <c r="BE102" s="241">
        <f t="shared" si="51"/>
        <v>0</v>
      </c>
      <c r="BF102" s="241">
        <f t="shared" si="51"/>
        <v>0</v>
      </c>
      <c r="BG102" s="241">
        <f t="shared" si="51"/>
        <v>0</v>
      </c>
      <c r="BH102" s="241">
        <f t="shared" si="51"/>
        <v>0</v>
      </c>
      <c r="BI102" s="241">
        <f t="shared" si="51"/>
        <v>0</v>
      </c>
      <c r="BJ102" s="241">
        <f t="shared" si="51"/>
        <v>0</v>
      </c>
      <c r="BK102" s="241">
        <f t="shared" si="51"/>
        <v>0</v>
      </c>
      <c r="BL102" s="241">
        <f t="shared" si="51"/>
        <v>0</v>
      </c>
      <c r="BM102" s="241">
        <f t="shared" si="51"/>
        <v>0</v>
      </c>
      <c r="BN102" s="241">
        <f t="shared" si="51"/>
        <v>0</v>
      </c>
      <c r="BO102" s="241">
        <f t="shared" si="51"/>
        <v>0</v>
      </c>
      <c r="BP102" s="241">
        <f t="shared" si="51"/>
        <v>0</v>
      </c>
      <c r="BQ102" s="241">
        <f t="shared" ref="BQ102:BX102" si="52">-BQ53</f>
        <v>0</v>
      </c>
      <c r="BR102" s="241">
        <f t="shared" si="52"/>
        <v>0</v>
      </c>
      <c r="BS102" s="241">
        <f t="shared" si="52"/>
        <v>0</v>
      </c>
      <c r="BT102" s="241">
        <f t="shared" si="52"/>
        <v>0</v>
      </c>
      <c r="BU102" s="241">
        <f t="shared" si="52"/>
        <v>0</v>
      </c>
      <c r="BV102" s="241">
        <f t="shared" si="52"/>
        <v>0</v>
      </c>
      <c r="BW102" s="241">
        <f t="shared" si="52"/>
        <v>0</v>
      </c>
      <c r="BX102" s="241">
        <f t="shared" si="52"/>
        <v>0</v>
      </c>
    </row>
    <row r="103" spans="2:81" x14ac:dyDescent="0.2">
      <c r="C103" s="240" t="s">
        <v>298</v>
      </c>
      <c r="D103" s="247"/>
      <c r="E103" s="241"/>
      <c r="F103" s="241"/>
      <c r="G103" s="241"/>
      <c r="H103" s="241"/>
      <c r="I103" s="241"/>
      <c r="J103" s="241"/>
      <c r="K103" s="241"/>
      <c r="L103" s="241"/>
      <c r="M103" s="241"/>
      <c r="N103" s="241"/>
      <c r="O103" s="241"/>
      <c r="P103" s="241"/>
      <c r="Q103" s="241"/>
      <c r="R103" s="241"/>
      <c r="S103" s="241"/>
      <c r="T103" s="241"/>
      <c r="U103" s="241"/>
      <c r="V103" s="241"/>
      <c r="W103" s="241"/>
      <c r="X103" s="241"/>
      <c r="Y103" s="241"/>
      <c r="Z103" s="241"/>
      <c r="AA103" s="241"/>
      <c r="AB103" s="241"/>
      <c r="AC103" s="241"/>
      <c r="AD103" s="241"/>
      <c r="AE103" s="241"/>
      <c r="AF103" s="241"/>
      <c r="AG103" s="241"/>
      <c r="AH103" s="241"/>
      <c r="AI103" s="241"/>
      <c r="AJ103" s="241"/>
      <c r="AK103" s="241"/>
      <c r="AL103" s="241"/>
      <c r="AM103" s="241"/>
      <c r="AN103" s="241">
        <f>AN97</f>
        <v>29043329.056505263</v>
      </c>
      <c r="AO103" s="241"/>
      <c r="AP103" s="241"/>
      <c r="AQ103" s="241"/>
      <c r="AR103" s="241"/>
      <c r="AS103" s="241"/>
      <c r="AT103" s="241"/>
      <c r="AU103" s="241"/>
      <c r="AV103" s="241"/>
      <c r="AW103" s="241"/>
      <c r="AX103" s="241"/>
      <c r="AY103" s="241"/>
      <c r="AZ103" s="241"/>
      <c r="BA103" s="241"/>
      <c r="BB103" s="241"/>
      <c r="BC103" s="241"/>
      <c r="BD103" s="241"/>
      <c r="BE103" s="241"/>
      <c r="BF103" s="241"/>
      <c r="BG103" s="241"/>
      <c r="BH103" s="241"/>
      <c r="BI103" s="241"/>
      <c r="BJ103" s="241"/>
      <c r="BK103" s="241"/>
      <c r="BL103" s="241"/>
      <c r="BM103" s="241"/>
      <c r="BN103" s="241"/>
      <c r="BO103" s="241"/>
      <c r="BP103" s="241"/>
      <c r="BQ103" s="241"/>
      <c r="BR103" s="241"/>
      <c r="BS103" s="241"/>
      <c r="BT103" s="241"/>
      <c r="BU103" s="241"/>
      <c r="BV103" s="241"/>
      <c r="BW103" s="241"/>
      <c r="BX103" s="241" t="e">
        <f>IF(#REF!&gt;0.25,(BX97-#REF!)*D105,BX97*D105)</f>
        <v>#REF!</v>
      </c>
    </row>
    <row r="104" spans="2:81" x14ac:dyDescent="0.2">
      <c r="C104" s="240" t="s">
        <v>299</v>
      </c>
      <c r="D104" s="247"/>
      <c r="E104" s="241"/>
      <c r="F104" s="241"/>
      <c r="G104" s="241"/>
      <c r="H104" s="241"/>
      <c r="I104" s="241"/>
      <c r="J104" s="241"/>
      <c r="K104" s="241"/>
      <c r="L104" s="241"/>
      <c r="M104" s="241"/>
      <c r="N104" s="241"/>
      <c r="O104" s="241"/>
      <c r="P104" s="241"/>
      <c r="Q104" s="241"/>
      <c r="R104" s="241"/>
      <c r="S104" s="241"/>
      <c r="T104" s="241"/>
      <c r="U104" s="241"/>
      <c r="V104" s="241"/>
      <c r="W104" s="241"/>
      <c r="X104" s="241"/>
      <c r="Y104" s="241"/>
      <c r="Z104" s="241"/>
      <c r="AA104" s="241"/>
      <c r="AB104" s="241"/>
      <c r="AC104" s="241"/>
      <c r="AD104" s="241"/>
      <c r="AE104" s="241"/>
      <c r="AF104" s="241"/>
      <c r="AG104" s="241"/>
      <c r="AH104" s="241"/>
      <c r="AI104" s="241"/>
      <c r="AJ104" s="241"/>
      <c r="AK104" s="241"/>
      <c r="AL104" s="241"/>
      <c r="AM104" s="241"/>
      <c r="AN104" s="241"/>
      <c r="AO104" s="241"/>
      <c r="AP104" s="241"/>
      <c r="AQ104" s="241"/>
      <c r="AR104" s="241"/>
      <c r="AS104" s="241"/>
      <c r="AT104" s="241"/>
      <c r="AU104" s="241"/>
      <c r="AV104" s="241"/>
      <c r="AW104" s="241"/>
      <c r="AX104" s="241"/>
      <c r="AY104" s="241"/>
      <c r="AZ104" s="241"/>
      <c r="BA104" s="241"/>
      <c r="BB104" s="241"/>
      <c r="BC104" s="241"/>
      <c r="BD104" s="241"/>
      <c r="BE104" s="241"/>
      <c r="BF104" s="241"/>
      <c r="BG104" s="241"/>
      <c r="BH104" s="241"/>
      <c r="BI104" s="241"/>
      <c r="BJ104" s="241"/>
      <c r="BK104" s="241"/>
      <c r="BL104" s="241"/>
      <c r="BM104" s="241"/>
      <c r="BN104" s="241"/>
      <c r="BO104" s="241"/>
      <c r="BP104" s="241"/>
      <c r="BQ104" s="241"/>
      <c r="BR104" s="241"/>
      <c r="BS104" s="241"/>
      <c r="BT104" s="241"/>
      <c r="BU104" s="241"/>
      <c r="BV104" s="241"/>
      <c r="BW104" s="241"/>
      <c r="BX104" s="241" t="e">
        <f>IF(#REF!&gt;0.25,#REF!,0)</f>
        <v>#REF!</v>
      </c>
    </row>
    <row r="105" spans="2:81" x14ac:dyDescent="0.2">
      <c r="C105" s="243" t="s">
        <v>300</v>
      </c>
      <c r="D105" s="247">
        <v>1</v>
      </c>
      <c r="E105" s="186"/>
      <c r="F105" s="186"/>
      <c r="G105" s="186"/>
      <c r="H105" s="186"/>
      <c r="I105" s="186"/>
      <c r="J105" s="186"/>
      <c r="K105" s="186"/>
      <c r="L105" s="186"/>
      <c r="M105" s="186"/>
      <c r="N105" s="186"/>
      <c r="O105" s="186"/>
      <c r="P105" s="186"/>
      <c r="Q105" s="186"/>
      <c r="R105" s="186"/>
      <c r="S105" s="186"/>
      <c r="T105" s="186"/>
      <c r="U105" s="186"/>
      <c r="V105" s="186"/>
      <c r="W105" s="186"/>
      <c r="X105" s="186"/>
      <c r="Y105" s="186"/>
      <c r="Z105" s="186"/>
      <c r="AA105" s="186"/>
      <c r="AB105" s="186"/>
      <c r="AC105" s="186"/>
      <c r="AD105" s="186"/>
      <c r="AE105" s="186"/>
      <c r="AF105" s="186"/>
      <c r="AG105" s="186"/>
      <c r="AH105" s="186"/>
      <c r="AI105" s="186"/>
      <c r="AJ105" s="186"/>
      <c r="AK105" s="186"/>
      <c r="AL105" s="186"/>
      <c r="AM105" s="186"/>
      <c r="AN105" s="186"/>
      <c r="AO105" s="186"/>
      <c r="AP105" s="186"/>
      <c r="AQ105" s="186"/>
      <c r="AR105" s="186"/>
      <c r="AS105" s="186"/>
      <c r="AT105" s="186"/>
      <c r="AU105" s="186"/>
      <c r="AV105" s="186"/>
      <c r="AW105" s="186"/>
      <c r="AX105" s="186"/>
      <c r="AY105" s="186"/>
      <c r="AZ105" s="186"/>
      <c r="BA105" s="186"/>
      <c r="BB105" s="186"/>
      <c r="BC105" s="248"/>
      <c r="BD105" s="186"/>
      <c r="BE105" s="186"/>
      <c r="BF105" s="186"/>
      <c r="BG105" s="186"/>
      <c r="BH105" s="186"/>
      <c r="BI105" s="186"/>
      <c r="BJ105" s="186"/>
      <c r="BK105" s="186"/>
      <c r="BL105" s="186"/>
      <c r="BM105" s="186"/>
      <c r="BN105" s="186"/>
      <c r="BO105" s="186"/>
      <c r="BP105" s="186"/>
      <c r="BQ105" s="186"/>
      <c r="BR105" s="186"/>
      <c r="BS105" s="186"/>
      <c r="BT105" s="186"/>
      <c r="BU105" s="186"/>
      <c r="BV105" s="186"/>
      <c r="BW105" s="186"/>
      <c r="BX105" s="186"/>
    </row>
    <row r="106" spans="2:81" x14ac:dyDescent="0.2">
      <c r="C106" s="240" t="s">
        <v>301</v>
      </c>
      <c r="D106" s="244"/>
      <c r="E106" s="249">
        <f t="shared" ref="E106:BW106" si="53">E100+E101+E102+E103+E105</f>
        <v>0</v>
      </c>
      <c r="F106" s="249">
        <f t="shared" si="53"/>
        <v>0</v>
      </c>
      <c r="G106" s="249">
        <f t="shared" si="53"/>
        <v>0</v>
      </c>
      <c r="H106" s="249">
        <f t="shared" si="53"/>
        <v>0</v>
      </c>
      <c r="I106" s="249">
        <f t="shared" si="53"/>
        <v>0</v>
      </c>
      <c r="J106" s="249">
        <f t="shared" si="53"/>
        <v>0</v>
      </c>
      <c r="K106" s="249">
        <f t="shared" si="53"/>
        <v>0</v>
      </c>
      <c r="L106" s="249">
        <f t="shared" si="53"/>
        <v>0</v>
      </c>
      <c r="M106" s="249">
        <f t="shared" si="53"/>
        <v>0</v>
      </c>
      <c r="N106" s="249">
        <f t="shared" si="53"/>
        <v>0</v>
      </c>
      <c r="O106" s="249">
        <f t="shared" si="53"/>
        <v>0</v>
      </c>
      <c r="P106" s="249">
        <f t="shared" si="53"/>
        <v>0</v>
      </c>
      <c r="Q106" s="249">
        <f t="shared" si="53"/>
        <v>-5000000</v>
      </c>
      <c r="R106" s="249">
        <f t="shared" si="53"/>
        <v>0</v>
      </c>
      <c r="S106" s="249">
        <f t="shared" si="53"/>
        <v>-100000</v>
      </c>
      <c r="T106" s="249">
        <f t="shared" si="53"/>
        <v>-200000</v>
      </c>
      <c r="U106" s="249">
        <f t="shared" si="53"/>
        <v>-5000000</v>
      </c>
      <c r="V106" s="249">
        <f t="shared" si="53"/>
        <v>-1000000</v>
      </c>
      <c r="W106" s="249">
        <f t="shared" si="53"/>
        <v>-2500000</v>
      </c>
      <c r="X106" s="249">
        <f t="shared" si="53"/>
        <v>-600000</v>
      </c>
      <c r="Y106" s="249">
        <f t="shared" si="53"/>
        <v>-700000</v>
      </c>
      <c r="Z106" s="249">
        <f t="shared" si="53"/>
        <v>-1500000</v>
      </c>
      <c r="AA106" s="249">
        <f t="shared" si="53"/>
        <v>0</v>
      </c>
      <c r="AB106" s="249">
        <f t="shared" si="53"/>
        <v>-17000000</v>
      </c>
      <c r="AC106" s="249">
        <f t="shared" si="53"/>
        <v>0</v>
      </c>
      <c r="AD106" s="249">
        <f t="shared" si="53"/>
        <v>0</v>
      </c>
      <c r="AE106" s="249">
        <f t="shared" si="53"/>
        <v>0</v>
      </c>
      <c r="AF106" s="249">
        <f t="shared" si="53"/>
        <v>0</v>
      </c>
      <c r="AG106" s="249">
        <f t="shared" si="53"/>
        <v>0</v>
      </c>
      <c r="AH106" s="249">
        <f t="shared" si="53"/>
        <v>0</v>
      </c>
      <c r="AI106" s="249">
        <f t="shared" si="53"/>
        <v>0</v>
      </c>
      <c r="AJ106" s="249">
        <f t="shared" si="53"/>
        <v>0</v>
      </c>
      <c r="AK106" s="249">
        <f t="shared" si="53"/>
        <v>0</v>
      </c>
      <c r="AL106" s="249">
        <f t="shared" si="53"/>
        <v>0</v>
      </c>
      <c r="AM106" s="249">
        <f t="shared" si="53"/>
        <v>0</v>
      </c>
      <c r="AN106" s="249">
        <f t="shared" si="53"/>
        <v>67733579.056505263</v>
      </c>
      <c r="AO106" s="249">
        <f t="shared" si="53"/>
        <v>0</v>
      </c>
      <c r="AP106" s="249">
        <f t="shared" si="53"/>
        <v>0</v>
      </c>
      <c r="AQ106" s="249">
        <f t="shared" si="53"/>
        <v>0</v>
      </c>
      <c r="AR106" s="249">
        <f t="shared" si="53"/>
        <v>0</v>
      </c>
      <c r="AS106" s="249">
        <f t="shared" si="53"/>
        <v>0</v>
      </c>
      <c r="AT106" s="249">
        <f t="shared" si="53"/>
        <v>0</v>
      </c>
      <c r="AU106" s="249">
        <f t="shared" si="53"/>
        <v>0</v>
      </c>
      <c r="AV106" s="249">
        <f t="shared" si="53"/>
        <v>0</v>
      </c>
      <c r="AW106" s="249">
        <f t="shared" si="53"/>
        <v>0</v>
      </c>
      <c r="AX106" s="249">
        <f t="shared" si="53"/>
        <v>0</v>
      </c>
      <c r="AY106" s="249">
        <f t="shared" si="53"/>
        <v>0</v>
      </c>
      <c r="AZ106" s="249">
        <f t="shared" si="53"/>
        <v>0</v>
      </c>
      <c r="BA106" s="249">
        <f t="shared" si="53"/>
        <v>0</v>
      </c>
      <c r="BB106" s="249">
        <f t="shared" si="53"/>
        <v>0</v>
      </c>
      <c r="BC106" s="249">
        <f t="shared" si="53"/>
        <v>0</v>
      </c>
      <c r="BD106" s="249">
        <f t="shared" si="53"/>
        <v>0</v>
      </c>
      <c r="BE106" s="249">
        <f t="shared" si="53"/>
        <v>0</v>
      </c>
      <c r="BF106" s="249">
        <f t="shared" si="53"/>
        <v>0</v>
      </c>
      <c r="BG106" s="249">
        <f t="shared" si="53"/>
        <v>0</v>
      </c>
      <c r="BH106" s="249">
        <f t="shared" si="53"/>
        <v>0</v>
      </c>
      <c r="BI106" s="249">
        <f t="shared" si="53"/>
        <v>0</v>
      </c>
      <c r="BJ106" s="249">
        <f t="shared" si="53"/>
        <v>0</v>
      </c>
      <c r="BK106" s="249">
        <f t="shared" si="53"/>
        <v>0</v>
      </c>
      <c r="BL106" s="249">
        <f t="shared" si="53"/>
        <v>0</v>
      </c>
      <c r="BM106" s="249">
        <f t="shared" si="53"/>
        <v>0</v>
      </c>
      <c r="BN106" s="249">
        <f t="shared" si="53"/>
        <v>0</v>
      </c>
      <c r="BO106" s="249">
        <f t="shared" si="53"/>
        <v>0</v>
      </c>
      <c r="BP106" s="249">
        <f t="shared" si="53"/>
        <v>0</v>
      </c>
      <c r="BQ106" s="249">
        <f t="shared" si="53"/>
        <v>0</v>
      </c>
      <c r="BR106" s="249">
        <f t="shared" si="53"/>
        <v>0</v>
      </c>
      <c r="BS106" s="249">
        <f t="shared" si="53"/>
        <v>0</v>
      </c>
      <c r="BT106" s="249">
        <f t="shared" si="53"/>
        <v>0</v>
      </c>
      <c r="BU106" s="249">
        <f t="shared" si="53"/>
        <v>0</v>
      </c>
      <c r="BV106" s="249">
        <f t="shared" si="53"/>
        <v>0</v>
      </c>
      <c r="BW106" s="249">
        <f t="shared" si="53"/>
        <v>0</v>
      </c>
      <c r="BX106" s="249" t="e">
        <f>BX100+BX101+BX102+BX103+BX104+BX105</f>
        <v>#REF!</v>
      </c>
    </row>
    <row r="107" spans="2:81" x14ac:dyDescent="0.2">
      <c r="C107" s="243" t="s">
        <v>302</v>
      </c>
      <c r="D107" s="250">
        <f>IRR(O106:AN106)*12</f>
        <v>0.54035331850812707</v>
      </c>
      <c r="E107" s="168"/>
      <c r="F107" s="168"/>
      <c r="G107" s="168"/>
      <c r="H107" s="168"/>
      <c r="I107" s="168"/>
      <c r="J107" s="168"/>
      <c r="K107" s="168"/>
      <c r="L107" s="168"/>
      <c r="M107" s="168"/>
      <c r="N107" s="168"/>
      <c r="O107" s="168"/>
      <c r="P107" s="168"/>
      <c r="Q107" s="168"/>
      <c r="R107" s="168"/>
      <c r="S107" s="168"/>
      <c r="T107" s="168"/>
      <c r="U107" s="168"/>
      <c r="V107" s="168"/>
      <c r="W107" s="168"/>
      <c r="X107" s="168"/>
      <c r="Y107" s="168"/>
      <c r="Z107" s="168"/>
      <c r="AA107" s="168"/>
      <c r="AB107" s="168"/>
      <c r="AC107" s="168"/>
      <c r="AD107" s="168"/>
      <c r="AE107" s="168"/>
      <c r="AF107" s="168"/>
      <c r="AG107" s="168"/>
      <c r="AH107" s="168"/>
      <c r="AI107" s="168"/>
      <c r="AJ107" s="168"/>
      <c r="AK107" s="168"/>
      <c r="AL107" s="168"/>
      <c r="AM107" s="168"/>
      <c r="AN107" s="168"/>
      <c r="AO107" s="168"/>
      <c r="AP107" s="168"/>
      <c r="AQ107" s="168"/>
      <c r="AR107" s="168"/>
      <c r="AS107" s="168"/>
      <c r="AT107" s="168"/>
      <c r="AU107" s="168"/>
      <c r="AV107" s="168"/>
      <c r="AW107" s="168"/>
      <c r="AX107" s="168"/>
      <c r="AY107" s="168"/>
      <c r="AZ107" s="168"/>
      <c r="BA107" s="168"/>
      <c r="BB107" s="168"/>
      <c r="BC107" s="168"/>
      <c r="BD107" s="168"/>
      <c r="BE107" s="168"/>
      <c r="BF107" s="168"/>
      <c r="BG107" s="168"/>
      <c r="BH107" s="168"/>
      <c r="BI107" s="168"/>
      <c r="BJ107" s="168"/>
      <c r="BK107" s="168"/>
      <c r="BL107" s="168"/>
      <c r="BM107" s="168"/>
      <c r="BN107" s="168"/>
      <c r="BO107" s="168"/>
      <c r="BP107" s="168"/>
      <c r="BQ107" s="168"/>
      <c r="BR107" s="168"/>
      <c r="BS107" s="168"/>
      <c r="BT107" s="168"/>
      <c r="BU107" s="168"/>
      <c r="BV107" s="168"/>
      <c r="BW107" s="168"/>
      <c r="BX107" s="168"/>
    </row>
    <row r="108" spans="2:81" x14ac:dyDescent="0.2">
      <c r="C108" s="251" t="s">
        <v>303</v>
      </c>
      <c r="D108" s="252">
        <f>-SUM(N100:AM100)</f>
        <v>33600000</v>
      </c>
      <c r="E108" s="168"/>
      <c r="F108" s="168"/>
      <c r="G108" s="168"/>
      <c r="H108" s="168"/>
      <c r="I108" s="168"/>
      <c r="J108" s="168"/>
      <c r="K108" s="168"/>
      <c r="L108" s="168"/>
      <c r="M108" s="168"/>
      <c r="N108" s="168"/>
      <c r="O108" s="168"/>
      <c r="P108" s="168"/>
      <c r="Q108" s="168"/>
      <c r="R108" s="168"/>
      <c r="S108" s="168"/>
      <c r="T108" s="168"/>
      <c r="U108" s="168"/>
      <c r="V108" s="168"/>
      <c r="W108" s="168"/>
      <c r="X108" s="168"/>
      <c r="Y108" s="168"/>
      <c r="Z108" s="168"/>
      <c r="AA108" s="168"/>
      <c r="AB108" s="168"/>
      <c r="AC108" s="168"/>
      <c r="AD108" s="168"/>
      <c r="AE108" s="168"/>
      <c r="AF108" s="168"/>
      <c r="AG108" s="168"/>
      <c r="AH108" s="168"/>
      <c r="AI108" s="168"/>
      <c r="AJ108" s="168"/>
      <c r="AK108" s="168"/>
      <c r="AL108" s="168"/>
      <c r="AM108" s="168"/>
      <c r="AN108" s="168"/>
      <c r="AO108" s="168"/>
      <c r="AP108" s="168"/>
      <c r="AQ108" s="168"/>
      <c r="AR108" s="168"/>
      <c r="AS108" s="168"/>
      <c r="AT108" s="168"/>
      <c r="AU108" s="168"/>
      <c r="AV108" s="168"/>
      <c r="AW108" s="168"/>
      <c r="AX108" s="168"/>
      <c r="AY108" s="168"/>
      <c r="AZ108" s="168"/>
      <c r="BA108" s="168"/>
      <c r="BB108" s="168"/>
      <c r="BC108" s="168"/>
      <c r="BD108" s="168"/>
      <c r="BE108" s="168"/>
      <c r="BF108" s="168"/>
      <c r="BG108" s="168"/>
      <c r="BH108" s="168"/>
      <c r="BI108" s="168"/>
      <c r="BJ108" s="168"/>
      <c r="BK108" s="168"/>
      <c r="BL108" s="168"/>
      <c r="BM108" s="168"/>
      <c r="BN108" s="168"/>
      <c r="BO108" s="168"/>
      <c r="BP108" s="168"/>
      <c r="BQ108" s="168"/>
      <c r="BR108" s="168"/>
      <c r="BS108" s="168"/>
      <c r="BT108" s="168"/>
      <c r="BU108" s="168"/>
      <c r="BV108" s="168"/>
      <c r="BW108" s="168"/>
      <c r="BX108" s="168"/>
    </row>
    <row r="109" spans="2:81" x14ac:dyDescent="0.2">
      <c r="C109" s="243" t="s">
        <v>304</v>
      </c>
      <c r="D109" s="253">
        <f>D108</f>
        <v>33600000</v>
      </c>
      <c r="E109" s="168"/>
      <c r="F109" s="168"/>
      <c r="G109" s="168"/>
      <c r="H109" s="168"/>
      <c r="I109" s="168"/>
      <c r="J109" s="168"/>
      <c r="K109" s="168"/>
      <c r="L109" s="168"/>
      <c r="M109" s="168"/>
      <c r="N109" s="168"/>
      <c r="O109" s="168"/>
      <c r="P109" s="168"/>
      <c r="Q109" s="168"/>
      <c r="R109" s="168"/>
      <c r="S109" s="168"/>
      <c r="T109" s="168"/>
      <c r="U109" s="168"/>
      <c r="V109" s="168"/>
      <c r="W109" s="168"/>
      <c r="X109" s="168"/>
      <c r="Y109" s="168"/>
      <c r="Z109" s="168"/>
      <c r="AA109" s="168"/>
      <c r="AB109" s="168"/>
      <c r="AC109" s="168"/>
      <c r="AD109" s="168"/>
      <c r="AE109" s="168"/>
      <c r="AF109" s="168"/>
      <c r="AG109" s="168"/>
      <c r="AH109" s="168"/>
      <c r="AI109" s="168"/>
      <c r="AJ109" s="168"/>
      <c r="AK109" s="168"/>
      <c r="AL109" s="168"/>
      <c r="AM109" s="168"/>
      <c r="AN109" s="168"/>
      <c r="AO109" s="168"/>
      <c r="AP109" s="168"/>
      <c r="AQ109" s="168"/>
      <c r="AR109" s="168"/>
      <c r="AS109" s="168"/>
      <c r="AT109" s="168"/>
      <c r="AU109" s="168"/>
      <c r="AV109" s="168"/>
      <c r="AW109" s="168"/>
      <c r="AX109" s="168"/>
      <c r="AY109" s="168"/>
      <c r="AZ109" s="168"/>
      <c r="BA109" s="168"/>
      <c r="BB109" s="168"/>
      <c r="BC109" s="168"/>
      <c r="BD109" s="168"/>
      <c r="BE109" s="168"/>
      <c r="BF109" s="168"/>
      <c r="BG109" s="168"/>
      <c r="BH109" s="168"/>
      <c r="BI109" s="168"/>
      <c r="BJ109" s="168"/>
      <c r="BK109" s="168"/>
      <c r="BL109" s="168"/>
      <c r="BM109" s="168"/>
      <c r="BN109" s="168"/>
      <c r="BO109" s="168"/>
      <c r="BP109" s="168"/>
      <c r="BQ109" s="168"/>
      <c r="BR109" s="168"/>
      <c r="BS109" s="168"/>
      <c r="BT109" s="168"/>
      <c r="BU109" s="168"/>
      <c r="BV109" s="168"/>
      <c r="BW109" s="168"/>
      <c r="BX109" s="168"/>
    </row>
    <row r="110" spans="2:81" x14ac:dyDescent="0.2">
      <c r="C110" s="243" t="s">
        <v>305</v>
      </c>
      <c r="D110" s="253">
        <f>AN103+AN102</f>
        <v>34133579.056505263</v>
      </c>
      <c r="E110" s="168"/>
      <c r="F110" s="168"/>
      <c r="G110" s="168"/>
      <c r="H110" s="168"/>
      <c r="I110" s="168"/>
      <c r="J110" s="168"/>
      <c r="K110" s="168"/>
      <c r="L110" s="168"/>
      <c r="M110" s="168"/>
      <c r="N110" s="168"/>
      <c r="O110" s="168"/>
      <c r="P110" s="168"/>
      <c r="Q110" s="168"/>
      <c r="R110" s="168"/>
      <c r="S110" s="168"/>
      <c r="T110" s="168"/>
      <c r="U110" s="168"/>
      <c r="V110" s="168"/>
      <c r="W110" s="168"/>
      <c r="X110" s="168"/>
      <c r="Y110" s="168"/>
      <c r="Z110" s="168"/>
      <c r="AA110" s="168"/>
      <c r="AB110" s="168"/>
      <c r="AC110" s="168"/>
      <c r="AD110" s="168"/>
      <c r="AE110" s="168"/>
      <c r="AF110" s="168"/>
      <c r="AG110" s="168"/>
      <c r="AH110" s="168"/>
      <c r="AI110" s="168"/>
      <c r="AJ110" s="168"/>
      <c r="AK110" s="168"/>
      <c r="AL110" s="168"/>
      <c r="AM110" s="168"/>
      <c r="AN110" s="168"/>
      <c r="AO110" s="168"/>
      <c r="AP110" s="168"/>
      <c r="AQ110" s="168"/>
      <c r="AR110" s="168"/>
      <c r="AS110" s="168"/>
      <c r="AT110" s="168"/>
      <c r="AU110" s="168"/>
      <c r="AV110" s="168"/>
      <c r="AW110" s="168"/>
      <c r="AX110" s="168"/>
      <c r="AY110" s="168"/>
      <c r="AZ110" s="168"/>
      <c r="BA110" s="168"/>
      <c r="BB110" s="168"/>
      <c r="BC110" s="168"/>
      <c r="BD110" s="168"/>
      <c r="BE110" s="168"/>
      <c r="BF110" s="168"/>
      <c r="BG110" s="168"/>
      <c r="BH110" s="168"/>
      <c r="BI110" s="168"/>
      <c r="BJ110" s="168"/>
      <c r="BK110" s="168"/>
      <c r="BL110" s="168"/>
      <c r="BM110" s="168"/>
      <c r="BN110" s="168"/>
      <c r="BO110" s="168"/>
      <c r="BP110" s="168"/>
      <c r="BQ110" s="168"/>
      <c r="BR110" s="168"/>
      <c r="BS110" s="168"/>
      <c r="BT110" s="168"/>
      <c r="BU110" s="168"/>
      <c r="BV110" s="168"/>
      <c r="BW110" s="168"/>
      <c r="BX110" s="168"/>
    </row>
    <row r="111" spans="2:81" x14ac:dyDescent="0.2">
      <c r="C111" s="243" t="s">
        <v>306</v>
      </c>
      <c r="D111" s="250">
        <f>D110/D109</f>
        <v>1.0158803290626566</v>
      </c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8"/>
      <c r="Q111" s="168"/>
      <c r="R111" s="168"/>
      <c r="S111" s="168"/>
      <c r="T111" s="168"/>
      <c r="U111" s="168"/>
      <c r="V111" s="168"/>
      <c r="W111" s="168"/>
      <c r="X111" s="168"/>
      <c r="Y111" s="168"/>
      <c r="Z111" s="168"/>
      <c r="AA111" s="168"/>
      <c r="AB111" s="168"/>
      <c r="AC111" s="168"/>
      <c r="AD111" s="168"/>
      <c r="AE111" s="168"/>
      <c r="AF111" s="168"/>
      <c r="AG111" s="168"/>
      <c r="AH111" s="168"/>
      <c r="AI111" s="168"/>
      <c r="AJ111" s="168"/>
      <c r="AK111" s="168"/>
      <c r="AL111" s="168"/>
      <c r="AM111" s="168"/>
      <c r="AN111" s="168"/>
      <c r="AO111" s="168"/>
      <c r="AP111" s="168"/>
      <c r="AQ111" s="168"/>
      <c r="AR111" s="168"/>
      <c r="AS111" s="168"/>
      <c r="AT111" s="168"/>
      <c r="AU111" s="168"/>
      <c r="AV111" s="168"/>
      <c r="AW111" s="168"/>
      <c r="AX111" s="168"/>
      <c r="AY111" s="168"/>
      <c r="AZ111" s="168"/>
      <c r="BA111" s="168"/>
      <c r="BB111" s="168"/>
      <c r="BC111" s="168"/>
      <c r="BD111" s="168"/>
      <c r="BE111" s="168"/>
      <c r="BF111" s="168"/>
      <c r="BG111" s="168"/>
      <c r="BH111" s="168"/>
      <c r="BI111" s="168"/>
      <c r="BJ111" s="168"/>
      <c r="BK111" s="168"/>
      <c r="BL111" s="168"/>
      <c r="BM111" s="168"/>
      <c r="BN111" s="168"/>
      <c r="BO111" s="168"/>
      <c r="BP111" s="168"/>
      <c r="BQ111" s="168"/>
      <c r="BR111" s="168"/>
      <c r="BS111" s="168"/>
      <c r="BT111" s="168"/>
      <c r="BU111" s="168"/>
      <c r="BV111" s="168"/>
      <c r="BW111" s="168"/>
      <c r="BX111" s="168"/>
    </row>
    <row r="112" spans="2:81" x14ac:dyDescent="0.2">
      <c r="E112" s="168"/>
      <c r="F112" s="168"/>
      <c r="G112" s="168"/>
      <c r="H112" s="168"/>
      <c r="I112" s="457"/>
      <c r="J112" s="168"/>
      <c r="K112" s="168"/>
      <c r="L112" s="168"/>
      <c r="M112" s="168"/>
      <c r="N112" s="168"/>
      <c r="O112" s="168"/>
      <c r="P112" s="168"/>
      <c r="Q112" s="168"/>
      <c r="R112" s="168"/>
      <c r="S112" s="168"/>
      <c r="T112" s="168"/>
      <c r="U112" s="168"/>
      <c r="V112" s="168"/>
      <c r="W112" s="168"/>
      <c r="X112" s="168"/>
      <c r="Y112" s="168"/>
      <c r="Z112" s="168"/>
      <c r="AA112" s="168"/>
      <c r="AB112" s="168"/>
      <c r="AC112" s="168"/>
      <c r="AD112" s="168"/>
      <c r="AE112" s="168"/>
      <c r="AF112" s="168"/>
      <c r="AG112" s="168"/>
      <c r="AH112" s="168"/>
      <c r="AI112" s="168"/>
      <c r="AJ112" s="168"/>
      <c r="AK112" s="168"/>
      <c r="AL112" s="168"/>
      <c r="AM112" s="168"/>
      <c r="AN112" s="168"/>
      <c r="AO112" s="168"/>
      <c r="AP112" s="168"/>
      <c r="AQ112" s="168"/>
      <c r="AR112" s="168"/>
      <c r="AS112" s="168"/>
      <c r="AT112" s="168"/>
      <c r="AU112" s="168"/>
      <c r="AV112" s="168"/>
      <c r="AW112" s="168"/>
      <c r="AX112" s="168"/>
      <c r="AY112" s="168"/>
      <c r="AZ112" s="168"/>
      <c r="BA112" s="168"/>
      <c r="BB112" s="168"/>
      <c r="BC112" s="168"/>
      <c r="BD112" s="168"/>
      <c r="BE112" s="168"/>
      <c r="BF112" s="168"/>
      <c r="BG112" s="168"/>
      <c r="BH112" s="168"/>
      <c r="BI112" s="168"/>
      <c r="BJ112" s="168"/>
      <c r="BK112" s="168"/>
      <c r="BL112" s="168"/>
      <c r="BM112" s="168"/>
      <c r="BN112" s="168"/>
      <c r="BO112" s="168"/>
      <c r="BP112" s="168"/>
      <c r="BQ112" s="168"/>
      <c r="BR112" s="168"/>
      <c r="BS112" s="168"/>
      <c r="BT112" s="168"/>
      <c r="BU112" s="168"/>
      <c r="BV112" s="168"/>
      <c r="BW112" s="168"/>
      <c r="BX112" s="168"/>
    </row>
    <row r="113" spans="3:76" x14ac:dyDescent="0.2">
      <c r="E113" s="168"/>
      <c r="F113" s="168"/>
      <c r="G113" s="168"/>
      <c r="H113" s="168"/>
      <c r="I113" s="168"/>
      <c r="J113" s="168"/>
      <c r="K113" s="168"/>
      <c r="L113" s="168"/>
      <c r="M113" s="168"/>
      <c r="N113" s="168"/>
      <c r="O113" s="168"/>
      <c r="P113" s="168"/>
      <c r="Q113" s="168"/>
      <c r="R113" s="168"/>
      <c r="S113" s="168"/>
      <c r="T113" s="168"/>
      <c r="U113" s="168"/>
      <c r="V113" s="168"/>
      <c r="W113" s="168"/>
      <c r="X113" s="168"/>
      <c r="Y113" s="168"/>
      <c r="Z113" s="168"/>
      <c r="AA113" s="168"/>
      <c r="AB113" s="168"/>
      <c r="AC113" s="168"/>
      <c r="AD113" s="168"/>
      <c r="AE113" s="168"/>
      <c r="AF113" s="168"/>
      <c r="AG113" s="168"/>
      <c r="AH113" s="168"/>
      <c r="AI113" s="168"/>
      <c r="AJ113" s="168"/>
      <c r="AK113" s="168"/>
      <c r="AL113" s="168"/>
      <c r="AM113" s="168"/>
      <c r="AN113" s="168"/>
      <c r="AO113" s="168"/>
      <c r="AP113" s="168"/>
      <c r="AQ113" s="168"/>
      <c r="AR113" s="168"/>
      <c r="AS113" s="168"/>
      <c r="AT113" s="168"/>
      <c r="AU113" s="168"/>
      <c r="AV113" s="168"/>
      <c r="AW113" s="168"/>
      <c r="AX113" s="168"/>
      <c r="AY113" s="168"/>
      <c r="AZ113" s="168"/>
      <c r="BA113" s="168"/>
      <c r="BB113" s="168"/>
      <c r="BC113" s="168"/>
      <c r="BD113" s="168"/>
      <c r="BE113" s="168"/>
      <c r="BF113" s="168"/>
      <c r="BG113" s="168"/>
      <c r="BH113" s="168"/>
      <c r="BI113" s="168"/>
      <c r="BJ113" s="168"/>
      <c r="BK113" s="168"/>
      <c r="BL113" s="168"/>
      <c r="BM113" s="168"/>
      <c r="BN113" s="168"/>
      <c r="BO113" s="168"/>
      <c r="BP113" s="168"/>
      <c r="BQ113" s="168"/>
      <c r="BR113" s="168"/>
      <c r="BS113" s="168"/>
      <c r="BT113" s="168"/>
      <c r="BU113" s="168"/>
      <c r="BV113" s="168"/>
      <c r="BW113" s="168"/>
      <c r="BX113" s="168"/>
    </row>
    <row r="114" spans="3:76" x14ac:dyDescent="0.2">
      <c r="E114" s="168"/>
      <c r="F114" s="168"/>
      <c r="G114" s="168"/>
      <c r="H114" s="168"/>
      <c r="I114" s="168"/>
      <c r="J114" s="168"/>
      <c r="K114" s="168"/>
      <c r="L114" s="168"/>
      <c r="M114" s="168"/>
      <c r="N114" s="168"/>
      <c r="O114" s="168"/>
      <c r="P114" s="168"/>
      <c r="Q114" s="168"/>
      <c r="R114" s="168"/>
      <c r="S114" s="168"/>
      <c r="T114" s="168"/>
      <c r="U114" s="168"/>
      <c r="V114" s="168"/>
      <c r="W114" s="168"/>
      <c r="X114" s="168"/>
      <c r="Y114" s="168"/>
      <c r="Z114" s="168"/>
      <c r="AA114" s="168"/>
      <c r="AB114" s="168"/>
      <c r="AC114" s="168"/>
      <c r="AD114" s="168"/>
      <c r="AE114" s="168"/>
      <c r="AF114" s="168"/>
      <c r="AG114" s="168"/>
      <c r="AH114" s="168"/>
      <c r="AI114" s="168"/>
      <c r="AJ114" s="168"/>
      <c r="AK114" s="168"/>
      <c r="AL114" s="168"/>
      <c r="AM114" s="168"/>
      <c r="AN114" s="168"/>
      <c r="AO114" s="168"/>
      <c r="AP114" s="168"/>
      <c r="AQ114" s="168"/>
      <c r="AR114" s="168"/>
      <c r="AS114" s="168"/>
      <c r="AT114" s="168"/>
      <c r="AU114" s="168"/>
      <c r="AV114" s="168"/>
      <c r="AW114" s="168"/>
      <c r="AX114" s="168"/>
      <c r="AY114" s="168"/>
      <c r="AZ114" s="168"/>
      <c r="BA114" s="168"/>
      <c r="BB114" s="168"/>
      <c r="BC114" s="168"/>
      <c r="BD114" s="168"/>
      <c r="BE114" s="168"/>
      <c r="BF114" s="168"/>
      <c r="BG114" s="168"/>
      <c r="BH114" s="168"/>
      <c r="BI114" s="168"/>
      <c r="BJ114" s="168"/>
      <c r="BK114" s="168"/>
      <c r="BL114" s="168"/>
      <c r="BM114" s="168"/>
      <c r="BN114" s="168"/>
      <c r="BO114" s="168"/>
      <c r="BP114" s="168"/>
      <c r="BQ114" s="168"/>
      <c r="BR114" s="168"/>
      <c r="BS114" s="168"/>
      <c r="BT114" s="168"/>
      <c r="BU114" s="168"/>
      <c r="BV114" s="168"/>
      <c r="BW114" s="168"/>
      <c r="BX114" s="168"/>
    </row>
    <row r="115" spans="3:76" hidden="1" x14ac:dyDescent="0.2">
      <c r="E115" s="168"/>
      <c r="F115" s="168"/>
      <c r="G115" s="168"/>
      <c r="H115" s="168"/>
      <c r="I115" s="168"/>
      <c r="J115" s="168"/>
      <c r="K115" s="168"/>
      <c r="L115" s="168"/>
      <c r="M115" s="168"/>
      <c r="N115" s="168"/>
      <c r="O115" s="168"/>
      <c r="P115" s="168"/>
      <c r="Q115" s="168"/>
      <c r="R115" s="168"/>
      <c r="S115" s="168"/>
      <c r="T115" s="168"/>
      <c r="U115" s="168"/>
      <c r="V115" s="168"/>
      <c r="W115" s="168"/>
      <c r="X115" s="168"/>
      <c r="Y115" s="168"/>
      <c r="Z115" s="168"/>
      <c r="AA115" s="168"/>
      <c r="AB115" s="168"/>
      <c r="AC115" s="168"/>
      <c r="AD115" s="168"/>
      <c r="AE115" s="168"/>
      <c r="AF115" s="168"/>
      <c r="AG115" s="168"/>
      <c r="AH115" s="168"/>
      <c r="AI115" s="168"/>
      <c r="AJ115" s="168"/>
      <c r="AK115" s="168"/>
      <c r="AL115" s="168"/>
      <c r="AM115" s="168"/>
      <c r="AN115" s="168"/>
      <c r="AO115" s="168"/>
      <c r="AP115" s="168"/>
      <c r="AQ115" s="168"/>
      <c r="AR115" s="168"/>
      <c r="AS115" s="168"/>
      <c r="AT115" s="168"/>
      <c r="AU115" s="168"/>
      <c r="AV115" s="168"/>
      <c r="AW115" s="168"/>
      <c r="AX115" s="168"/>
      <c r="AY115" s="168"/>
      <c r="AZ115" s="168"/>
      <c r="BA115" s="168"/>
      <c r="BB115" s="168"/>
      <c r="BC115" s="168"/>
      <c r="BD115" s="168"/>
      <c r="BE115" s="168"/>
      <c r="BF115" s="168"/>
      <c r="BG115" s="168"/>
      <c r="BH115" s="168"/>
      <c r="BI115" s="168"/>
      <c r="BJ115" s="168"/>
      <c r="BK115" s="168"/>
      <c r="BL115" s="168"/>
      <c r="BM115" s="168"/>
      <c r="BN115" s="168"/>
      <c r="BO115" s="168"/>
      <c r="BP115" s="168"/>
      <c r="BQ115" s="168"/>
      <c r="BR115" s="168"/>
      <c r="BS115" s="168"/>
      <c r="BT115" s="168"/>
      <c r="BU115" s="168"/>
      <c r="BV115" s="168"/>
      <c r="BW115" s="168"/>
      <c r="BX115" s="168"/>
    </row>
    <row r="116" spans="3:76" hidden="1" x14ac:dyDescent="0.2">
      <c r="C116" s="240" t="s">
        <v>307</v>
      </c>
      <c r="D116" s="241"/>
      <c r="E116" s="241">
        <f t="shared" ref="E116:AJ116" si="54">-(E7 + E90)</f>
        <v>0</v>
      </c>
      <c r="F116" s="241">
        <f t="shared" si="54"/>
        <v>0</v>
      </c>
      <c r="G116" s="241">
        <f t="shared" si="54"/>
        <v>0</v>
      </c>
      <c r="H116" s="241">
        <f t="shared" si="54"/>
        <v>0</v>
      </c>
      <c r="I116" s="241">
        <f t="shared" si="54"/>
        <v>0</v>
      </c>
      <c r="J116" s="241">
        <f t="shared" si="54"/>
        <v>0</v>
      </c>
      <c r="K116" s="241">
        <f t="shared" si="54"/>
        <v>0</v>
      </c>
      <c r="L116" s="241">
        <f t="shared" si="54"/>
        <v>0</v>
      </c>
      <c r="M116" s="241">
        <f t="shared" si="54"/>
        <v>0</v>
      </c>
      <c r="N116" s="241">
        <f t="shared" si="54"/>
        <v>0</v>
      </c>
      <c r="O116" s="241">
        <f t="shared" si="54"/>
        <v>0</v>
      </c>
      <c r="P116" s="241">
        <f t="shared" si="54"/>
        <v>0</v>
      </c>
      <c r="Q116" s="241">
        <f t="shared" si="54"/>
        <v>0</v>
      </c>
      <c r="R116" s="241">
        <f t="shared" si="54"/>
        <v>0</v>
      </c>
      <c r="S116" s="241">
        <f t="shared" si="54"/>
        <v>0</v>
      </c>
      <c r="T116" s="241">
        <f t="shared" si="54"/>
        <v>0</v>
      </c>
      <c r="U116" s="241">
        <f t="shared" si="54"/>
        <v>0</v>
      </c>
      <c r="V116" s="241">
        <f t="shared" si="54"/>
        <v>0</v>
      </c>
      <c r="W116" s="241">
        <f t="shared" si="54"/>
        <v>0</v>
      </c>
      <c r="X116" s="241">
        <f t="shared" si="54"/>
        <v>0</v>
      </c>
      <c r="Y116" s="241">
        <f t="shared" si="54"/>
        <v>0</v>
      </c>
      <c r="Z116" s="241">
        <f t="shared" si="54"/>
        <v>0</v>
      </c>
      <c r="AA116" s="241">
        <f t="shared" si="54"/>
        <v>0</v>
      </c>
      <c r="AB116" s="241">
        <f t="shared" si="54"/>
        <v>0</v>
      </c>
      <c r="AC116" s="241">
        <f t="shared" si="54"/>
        <v>0</v>
      </c>
      <c r="AD116" s="241">
        <f t="shared" si="54"/>
        <v>0</v>
      </c>
      <c r="AE116" s="241">
        <f t="shared" si="54"/>
        <v>0</v>
      </c>
      <c r="AF116" s="241">
        <f t="shared" si="54"/>
        <v>0</v>
      </c>
      <c r="AG116" s="241">
        <f t="shared" si="54"/>
        <v>0</v>
      </c>
      <c r="AH116" s="241">
        <f t="shared" si="54"/>
        <v>0</v>
      </c>
      <c r="AI116" s="241">
        <f t="shared" si="54"/>
        <v>0</v>
      </c>
      <c r="AJ116" s="241">
        <f t="shared" si="54"/>
        <v>0</v>
      </c>
      <c r="AK116" s="241">
        <f t="shared" ref="AK116:BP116" si="55">-(AK7 + AK90)</f>
        <v>0</v>
      </c>
      <c r="AL116" s="241">
        <f t="shared" si="55"/>
        <v>0</v>
      </c>
      <c r="AM116" s="241">
        <f t="shared" si="55"/>
        <v>0</v>
      </c>
      <c r="AN116" s="241">
        <f t="shared" si="55"/>
        <v>0</v>
      </c>
      <c r="AO116" s="241">
        <f t="shared" si="55"/>
        <v>0</v>
      </c>
      <c r="AP116" s="241">
        <f t="shared" si="55"/>
        <v>0</v>
      </c>
      <c r="AQ116" s="241">
        <f t="shared" si="55"/>
        <v>0</v>
      </c>
      <c r="AR116" s="241">
        <f t="shared" si="55"/>
        <v>0</v>
      </c>
      <c r="AS116" s="241">
        <f t="shared" si="55"/>
        <v>0</v>
      </c>
      <c r="AT116" s="241">
        <f t="shared" si="55"/>
        <v>0</v>
      </c>
      <c r="AU116" s="241">
        <f t="shared" si="55"/>
        <v>0</v>
      </c>
      <c r="AV116" s="241">
        <f t="shared" si="55"/>
        <v>0</v>
      </c>
      <c r="AW116" s="241">
        <f t="shared" si="55"/>
        <v>0</v>
      </c>
      <c r="AX116" s="241">
        <f t="shared" si="55"/>
        <v>0</v>
      </c>
      <c r="AY116" s="241">
        <f t="shared" si="55"/>
        <v>0</v>
      </c>
      <c r="AZ116" s="241">
        <f t="shared" si="55"/>
        <v>0</v>
      </c>
      <c r="BA116" s="241">
        <f t="shared" si="55"/>
        <v>0</v>
      </c>
      <c r="BB116" s="241">
        <f t="shared" si="55"/>
        <v>0</v>
      </c>
      <c r="BC116" s="241">
        <f t="shared" si="55"/>
        <v>0</v>
      </c>
      <c r="BD116" s="241">
        <f t="shared" si="55"/>
        <v>0</v>
      </c>
      <c r="BE116" s="241">
        <f t="shared" si="55"/>
        <v>0</v>
      </c>
      <c r="BF116" s="241">
        <f t="shared" si="55"/>
        <v>0</v>
      </c>
      <c r="BG116" s="241">
        <f t="shared" si="55"/>
        <v>0</v>
      </c>
      <c r="BH116" s="241">
        <f t="shared" si="55"/>
        <v>0</v>
      </c>
      <c r="BI116" s="241">
        <f t="shared" si="55"/>
        <v>0</v>
      </c>
      <c r="BJ116" s="241">
        <f t="shared" si="55"/>
        <v>0</v>
      </c>
      <c r="BK116" s="241">
        <f t="shared" si="55"/>
        <v>0</v>
      </c>
      <c r="BL116" s="241">
        <f t="shared" si="55"/>
        <v>0</v>
      </c>
      <c r="BM116" s="241">
        <f t="shared" si="55"/>
        <v>0</v>
      </c>
      <c r="BN116" s="241">
        <f t="shared" si="55"/>
        <v>0</v>
      </c>
      <c r="BO116" s="241">
        <f t="shared" si="55"/>
        <v>0</v>
      </c>
      <c r="BP116" s="241">
        <f t="shared" si="55"/>
        <v>0</v>
      </c>
      <c r="BQ116" s="241">
        <f t="shared" ref="BQ116:BX116" si="56">-(BQ7 + BQ90)</f>
        <v>0</v>
      </c>
      <c r="BR116" s="241">
        <f t="shared" si="56"/>
        <v>0</v>
      </c>
      <c r="BS116" s="241">
        <f t="shared" si="56"/>
        <v>0</v>
      </c>
      <c r="BT116" s="241">
        <f t="shared" si="56"/>
        <v>0</v>
      </c>
      <c r="BU116" s="241">
        <f t="shared" si="56"/>
        <v>0</v>
      </c>
      <c r="BV116" s="241">
        <f t="shared" si="56"/>
        <v>0</v>
      </c>
      <c r="BW116" s="241">
        <f t="shared" si="56"/>
        <v>0</v>
      </c>
      <c r="BX116" s="241">
        <f t="shared" si="56"/>
        <v>0</v>
      </c>
    </row>
    <row r="117" spans="3:76" hidden="1" x14ac:dyDescent="0.2">
      <c r="C117" s="240" t="s">
        <v>308</v>
      </c>
      <c r="D117" s="247"/>
      <c r="E117" s="241"/>
      <c r="F117" s="241"/>
      <c r="G117" s="241"/>
      <c r="H117" s="241"/>
      <c r="I117" s="241"/>
      <c r="J117" s="241"/>
      <c r="K117" s="241"/>
      <c r="L117" s="241"/>
      <c r="M117" s="241"/>
      <c r="N117" s="241"/>
      <c r="O117" s="241"/>
      <c r="P117" s="241"/>
      <c r="Q117" s="241"/>
      <c r="R117" s="241"/>
      <c r="S117" s="241"/>
      <c r="T117" s="241"/>
      <c r="U117" s="241"/>
      <c r="V117" s="241"/>
      <c r="W117" s="241"/>
      <c r="X117" s="241"/>
      <c r="Y117" s="241"/>
      <c r="Z117" s="241"/>
      <c r="AA117" s="241"/>
      <c r="AB117" s="241"/>
      <c r="AC117" s="241"/>
      <c r="AD117" s="241"/>
      <c r="AE117" s="241"/>
      <c r="AF117" s="241"/>
      <c r="AG117" s="241"/>
      <c r="AH117" s="241"/>
      <c r="AI117" s="241"/>
      <c r="AJ117" s="241"/>
      <c r="AK117" s="241"/>
      <c r="AL117" s="241"/>
      <c r="AM117" s="241"/>
      <c r="AN117" s="241"/>
      <c r="AO117" s="241"/>
      <c r="AP117" s="241"/>
      <c r="AQ117" s="241"/>
      <c r="AR117" s="241"/>
      <c r="AS117" s="241"/>
      <c r="AT117" s="241"/>
      <c r="AU117" s="241"/>
      <c r="AV117" s="241"/>
      <c r="AW117" s="241"/>
      <c r="AX117" s="241"/>
      <c r="AY117" s="241"/>
      <c r="AZ117" s="241"/>
      <c r="BA117" s="241"/>
      <c r="BB117" s="241"/>
      <c r="BC117" s="241"/>
      <c r="BD117" s="241"/>
      <c r="BE117" s="241"/>
      <c r="BF117" s="241"/>
      <c r="BG117" s="241"/>
      <c r="BH117" s="241"/>
      <c r="BI117" s="241"/>
      <c r="BJ117" s="241"/>
      <c r="BK117" s="241"/>
      <c r="BL117" s="241"/>
      <c r="BM117" s="241"/>
      <c r="BN117" s="241"/>
      <c r="BO117" s="241"/>
      <c r="BP117" s="241"/>
      <c r="BQ117" s="241"/>
      <c r="BR117" s="241"/>
      <c r="BS117" s="241"/>
      <c r="BT117" s="241"/>
      <c r="BU117" s="241"/>
      <c r="BV117" s="241"/>
      <c r="BW117" s="241"/>
      <c r="BX117" s="241"/>
    </row>
    <row r="118" spans="3:76" hidden="1" x14ac:dyDescent="0.2">
      <c r="C118" s="240" t="s">
        <v>297</v>
      </c>
      <c r="D118" s="247"/>
      <c r="E118" s="241">
        <f t="shared" ref="E118:AJ118" si="57">-E55</f>
        <v>0</v>
      </c>
      <c r="F118" s="241">
        <f t="shared" si="57"/>
        <v>0</v>
      </c>
      <c r="G118" s="241">
        <f t="shared" si="57"/>
        <v>0</v>
      </c>
      <c r="H118" s="241">
        <f t="shared" si="57"/>
        <v>0</v>
      </c>
      <c r="I118" s="241">
        <f t="shared" si="57"/>
        <v>0</v>
      </c>
      <c r="J118" s="241">
        <f t="shared" si="57"/>
        <v>0</v>
      </c>
      <c r="K118" s="241">
        <f t="shared" si="57"/>
        <v>0</v>
      </c>
      <c r="L118" s="241">
        <f t="shared" si="57"/>
        <v>0</v>
      </c>
      <c r="M118" s="241">
        <f t="shared" si="57"/>
        <v>0</v>
      </c>
      <c r="N118" s="241">
        <f t="shared" si="57"/>
        <v>0</v>
      </c>
      <c r="O118" s="241">
        <f t="shared" si="57"/>
        <v>0</v>
      </c>
      <c r="P118" s="241">
        <f t="shared" si="57"/>
        <v>0</v>
      </c>
      <c r="Q118" s="241">
        <f t="shared" si="57"/>
        <v>8942</v>
      </c>
      <c r="R118" s="241">
        <f t="shared" si="57"/>
        <v>0</v>
      </c>
      <c r="S118" s="241">
        <f t="shared" si="57"/>
        <v>0</v>
      </c>
      <c r="T118" s="241">
        <f t="shared" si="57"/>
        <v>0</v>
      </c>
      <c r="U118" s="241">
        <f t="shared" si="57"/>
        <v>0</v>
      </c>
      <c r="V118" s="241">
        <f t="shared" si="57"/>
        <v>0</v>
      </c>
      <c r="W118" s="241">
        <f t="shared" si="57"/>
        <v>0</v>
      </c>
      <c r="X118" s="241">
        <f t="shared" si="57"/>
        <v>0</v>
      </c>
      <c r="Y118" s="241">
        <f t="shared" si="57"/>
        <v>0</v>
      </c>
      <c r="Z118" s="241">
        <f t="shared" si="57"/>
        <v>0</v>
      </c>
      <c r="AA118" s="241">
        <f t="shared" si="57"/>
        <v>0</v>
      </c>
      <c r="AB118" s="241">
        <f t="shared" si="57"/>
        <v>0</v>
      </c>
      <c r="AC118" s="241">
        <f t="shared" si="57"/>
        <v>0</v>
      </c>
      <c r="AD118" s="241">
        <f t="shared" si="57"/>
        <v>0</v>
      </c>
      <c r="AE118" s="241">
        <f t="shared" si="57"/>
        <v>0</v>
      </c>
      <c r="AF118" s="241">
        <f t="shared" si="57"/>
        <v>0</v>
      </c>
      <c r="AG118" s="241">
        <f t="shared" si="57"/>
        <v>0</v>
      </c>
      <c r="AH118" s="241">
        <f t="shared" si="57"/>
        <v>0</v>
      </c>
      <c r="AI118" s="241">
        <f t="shared" si="57"/>
        <v>0</v>
      </c>
      <c r="AJ118" s="241">
        <f t="shared" si="57"/>
        <v>0</v>
      </c>
      <c r="AK118" s="241">
        <f t="shared" ref="AK118:BP118" si="58">-AK55</f>
        <v>0</v>
      </c>
      <c r="AL118" s="241">
        <f t="shared" si="58"/>
        <v>0</v>
      </c>
      <c r="AM118" s="241">
        <f t="shared" si="58"/>
        <v>0</v>
      </c>
      <c r="AN118" s="241">
        <f t="shared" si="58"/>
        <v>0</v>
      </c>
      <c r="AO118" s="241">
        <f t="shared" si="58"/>
        <v>0</v>
      </c>
      <c r="AP118" s="241">
        <f t="shared" si="58"/>
        <v>0</v>
      </c>
      <c r="AQ118" s="241">
        <f t="shared" si="58"/>
        <v>0</v>
      </c>
      <c r="AR118" s="241">
        <f t="shared" si="58"/>
        <v>0</v>
      </c>
      <c r="AS118" s="241">
        <f t="shared" si="58"/>
        <v>0</v>
      </c>
      <c r="AT118" s="241">
        <f t="shared" si="58"/>
        <v>0</v>
      </c>
      <c r="AU118" s="241">
        <f t="shared" si="58"/>
        <v>0</v>
      </c>
      <c r="AV118" s="241">
        <f t="shared" si="58"/>
        <v>0</v>
      </c>
      <c r="AW118" s="241">
        <f t="shared" si="58"/>
        <v>0</v>
      </c>
      <c r="AX118" s="241">
        <f t="shared" si="58"/>
        <v>0</v>
      </c>
      <c r="AY118" s="241">
        <f t="shared" si="58"/>
        <v>0</v>
      </c>
      <c r="AZ118" s="241">
        <f t="shared" si="58"/>
        <v>0</v>
      </c>
      <c r="BA118" s="241">
        <f t="shared" si="58"/>
        <v>0</v>
      </c>
      <c r="BB118" s="241">
        <f t="shared" si="58"/>
        <v>0</v>
      </c>
      <c r="BC118" s="241">
        <f t="shared" si="58"/>
        <v>0</v>
      </c>
      <c r="BD118" s="241">
        <f t="shared" si="58"/>
        <v>0</v>
      </c>
      <c r="BE118" s="241">
        <f t="shared" si="58"/>
        <v>0</v>
      </c>
      <c r="BF118" s="241">
        <f t="shared" si="58"/>
        <v>0</v>
      </c>
      <c r="BG118" s="241">
        <f t="shared" si="58"/>
        <v>0</v>
      </c>
      <c r="BH118" s="241">
        <f t="shared" si="58"/>
        <v>0</v>
      </c>
      <c r="BI118" s="241">
        <f t="shared" si="58"/>
        <v>0</v>
      </c>
      <c r="BJ118" s="241">
        <f t="shared" si="58"/>
        <v>0</v>
      </c>
      <c r="BK118" s="241">
        <f t="shared" si="58"/>
        <v>0</v>
      </c>
      <c r="BL118" s="241">
        <f t="shared" si="58"/>
        <v>0</v>
      </c>
      <c r="BM118" s="241">
        <f t="shared" si="58"/>
        <v>0</v>
      </c>
      <c r="BN118" s="241">
        <f t="shared" si="58"/>
        <v>0</v>
      </c>
      <c r="BO118" s="241">
        <f t="shared" si="58"/>
        <v>0</v>
      </c>
      <c r="BP118" s="241">
        <f t="shared" si="58"/>
        <v>0</v>
      </c>
      <c r="BQ118" s="241">
        <f t="shared" ref="BQ118:BX118" si="59">-BQ55</f>
        <v>0</v>
      </c>
      <c r="BR118" s="241">
        <f t="shared" si="59"/>
        <v>0</v>
      </c>
      <c r="BS118" s="241">
        <f t="shared" si="59"/>
        <v>0</v>
      </c>
      <c r="BT118" s="241">
        <f t="shared" si="59"/>
        <v>0</v>
      </c>
      <c r="BU118" s="241">
        <f t="shared" si="59"/>
        <v>0</v>
      </c>
      <c r="BV118" s="241">
        <f t="shared" si="59"/>
        <v>0</v>
      </c>
      <c r="BW118" s="241">
        <f t="shared" si="59"/>
        <v>0</v>
      </c>
      <c r="BX118" s="241">
        <f t="shared" si="59"/>
        <v>0</v>
      </c>
    </row>
    <row r="119" spans="3:76" hidden="1" x14ac:dyDescent="0.2">
      <c r="C119" s="240" t="s">
        <v>298</v>
      </c>
      <c r="D119" s="247"/>
      <c r="E119" s="241"/>
      <c r="F119" s="241"/>
      <c r="G119" s="241"/>
      <c r="H119" s="241"/>
      <c r="I119" s="241"/>
      <c r="J119" s="241"/>
      <c r="K119" s="241"/>
      <c r="L119" s="241"/>
      <c r="M119" s="241"/>
      <c r="N119" s="241"/>
      <c r="O119" s="241"/>
      <c r="P119" s="241"/>
      <c r="Q119" s="241"/>
      <c r="R119" s="241"/>
      <c r="S119" s="241"/>
      <c r="T119" s="241"/>
      <c r="U119" s="241"/>
      <c r="V119" s="241"/>
      <c r="W119" s="241"/>
      <c r="X119" s="241"/>
      <c r="Y119" s="241"/>
      <c r="Z119" s="241"/>
      <c r="AA119" s="241"/>
      <c r="AB119" s="241"/>
      <c r="AC119" s="241"/>
      <c r="AD119" s="241"/>
      <c r="AE119" s="241"/>
      <c r="AF119" s="241"/>
      <c r="AG119" s="241"/>
      <c r="AH119" s="241"/>
      <c r="AI119" s="241"/>
      <c r="AJ119" s="241"/>
      <c r="AK119" s="241"/>
      <c r="AL119" s="241"/>
      <c r="AM119" s="241"/>
      <c r="AN119" s="241"/>
      <c r="AO119" s="241"/>
      <c r="AP119" s="241"/>
      <c r="AQ119" s="241"/>
      <c r="AR119" s="241"/>
      <c r="AS119" s="241"/>
      <c r="AT119" s="241"/>
      <c r="AU119" s="241"/>
      <c r="AV119" s="241"/>
      <c r="AW119" s="241"/>
      <c r="AX119" s="241"/>
      <c r="AY119" s="241"/>
      <c r="AZ119" s="241"/>
      <c r="BA119" s="241"/>
      <c r="BB119" s="241"/>
      <c r="BC119" s="241"/>
      <c r="BD119" s="241"/>
      <c r="BE119" s="241"/>
      <c r="BF119" s="241"/>
      <c r="BG119" s="241"/>
      <c r="BH119" s="241"/>
      <c r="BI119" s="241"/>
      <c r="BJ119" s="241"/>
      <c r="BK119" s="241"/>
      <c r="BL119" s="241"/>
      <c r="BM119" s="241"/>
      <c r="BN119" s="241"/>
      <c r="BO119" s="241"/>
      <c r="BP119" s="241"/>
      <c r="BQ119" s="241"/>
      <c r="BR119" s="241"/>
      <c r="BS119" s="241"/>
      <c r="BT119" s="241"/>
      <c r="BU119" s="241"/>
      <c r="BV119" s="241"/>
      <c r="BW119" s="241"/>
      <c r="BX119" s="241" t="e">
        <f>IF(#REF!&gt;0.25,(BX97-#REF!)*D120,BX97*D120)</f>
        <v>#REF!</v>
      </c>
    </row>
    <row r="120" spans="3:76" hidden="1" x14ac:dyDescent="0.2">
      <c r="C120" s="243" t="s">
        <v>300</v>
      </c>
      <c r="D120" s="247">
        <v>0</v>
      </c>
      <c r="E120" s="186"/>
      <c r="F120" s="186"/>
      <c r="G120" s="186"/>
      <c r="H120" s="186"/>
      <c r="I120" s="186"/>
      <c r="J120" s="186"/>
      <c r="K120" s="186"/>
      <c r="L120" s="186"/>
      <c r="M120" s="186"/>
      <c r="N120" s="186"/>
      <c r="O120" s="186"/>
      <c r="P120" s="186"/>
      <c r="Q120" s="186"/>
      <c r="R120" s="186"/>
      <c r="S120" s="186"/>
      <c r="T120" s="186"/>
      <c r="U120" s="186"/>
      <c r="V120" s="186"/>
      <c r="W120" s="186"/>
      <c r="X120" s="186"/>
      <c r="Y120" s="186"/>
      <c r="Z120" s="186"/>
      <c r="AA120" s="186"/>
      <c r="AB120" s="186"/>
      <c r="AC120" s="186"/>
      <c r="AD120" s="186"/>
      <c r="AE120" s="186"/>
      <c r="AF120" s="186"/>
      <c r="AG120" s="186"/>
      <c r="AH120" s="186"/>
      <c r="AI120" s="186"/>
      <c r="AJ120" s="186"/>
      <c r="AK120" s="186"/>
      <c r="AL120" s="186"/>
      <c r="AM120" s="186"/>
      <c r="AN120" s="186"/>
      <c r="AO120" s="186"/>
      <c r="AP120" s="186"/>
      <c r="AQ120" s="186"/>
      <c r="AR120" s="186"/>
      <c r="AS120" s="186"/>
      <c r="AT120" s="186"/>
      <c r="AU120" s="186"/>
      <c r="AV120" s="186"/>
      <c r="AW120" s="186"/>
      <c r="AX120" s="186"/>
      <c r="AY120" s="186"/>
      <c r="AZ120" s="186"/>
      <c r="BA120" s="186"/>
      <c r="BB120" s="186"/>
      <c r="BC120" s="186"/>
      <c r="BD120" s="186"/>
      <c r="BE120" s="186"/>
      <c r="BF120" s="186"/>
      <c r="BG120" s="186"/>
      <c r="BH120" s="186"/>
      <c r="BI120" s="186"/>
      <c r="BJ120" s="186"/>
      <c r="BK120" s="186"/>
      <c r="BL120" s="186"/>
      <c r="BM120" s="186"/>
      <c r="BN120" s="186"/>
      <c r="BO120" s="186"/>
      <c r="BP120" s="186"/>
      <c r="BQ120" s="186"/>
      <c r="BR120" s="186"/>
      <c r="BS120" s="186"/>
      <c r="BT120" s="186"/>
      <c r="BU120" s="186"/>
      <c r="BV120" s="186"/>
      <c r="BW120" s="186"/>
      <c r="BX120" s="186"/>
    </row>
    <row r="121" spans="3:76" hidden="1" x14ac:dyDescent="0.2">
      <c r="C121" s="240" t="s">
        <v>301</v>
      </c>
      <c r="D121" s="241"/>
      <c r="E121" s="249">
        <f t="shared" ref="E121:BX121" si="60">E116+E117+E118+E119+E120</f>
        <v>0</v>
      </c>
      <c r="F121" s="249">
        <f t="shared" si="60"/>
        <v>0</v>
      </c>
      <c r="G121" s="249">
        <f t="shared" si="60"/>
        <v>0</v>
      </c>
      <c r="H121" s="249">
        <f t="shared" si="60"/>
        <v>0</v>
      </c>
      <c r="I121" s="249">
        <f t="shared" si="60"/>
        <v>0</v>
      </c>
      <c r="J121" s="249">
        <f t="shared" si="60"/>
        <v>0</v>
      </c>
      <c r="K121" s="249">
        <f t="shared" si="60"/>
        <v>0</v>
      </c>
      <c r="L121" s="249">
        <f t="shared" si="60"/>
        <v>0</v>
      </c>
      <c r="M121" s="249">
        <f t="shared" si="60"/>
        <v>0</v>
      </c>
      <c r="N121" s="249">
        <f t="shared" si="60"/>
        <v>0</v>
      </c>
      <c r="O121" s="249">
        <f t="shared" si="60"/>
        <v>0</v>
      </c>
      <c r="P121" s="249">
        <f t="shared" si="60"/>
        <v>0</v>
      </c>
      <c r="Q121" s="249">
        <f t="shared" si="60"/>
        <v>8942</v>
      </c>
      <c r="R121" s="249">
        <f t="shared" si="60"/>
        <v>0</v>
      </c>
      <c r="S121" s="249">
        <f t="shared" si="60"/>
        <v>0</v>
      </c>
      <c r="T121" s="249">
        <f t="shared" si="60"/>
        <v>0</v>
      </c>
      <c r="U121" s="249">
        <f t="shared" si="60"/>
        <v>0</v>
      </c>
      <c r="V121" s="249">
        <f t="shared" si="60"/>
        <v>0</v>
      </c>
      <c r="W121" s="249">
        <f t="shared" si="60"/>
        <v>0</v>
      </c>
      <c r="X121" s="249">
        <f t="shared" si="60"/>
        <v>0</v>
      </c>
      <c r="Y121" s="249">
        <f t="shared" si="60"/>
        <v>0</v>
      </c>
      <c r="Z121" s="249">
        <f t="shared" si="60"/>
        <v>0</v>
      </c>
      <c r="AA121" s="249">
        <f t="shared" si="60"/>
        <v>0</v>
      </c>
      <c r="AB121" s="249">
        <f t="shared" si="60"/>
        <v>0</v>
      </c>
      <c r="AC121" s="249">
        <f t="shared" si="60"/>
        <v>0</v>
      </c>
      <c r="AD121" s="249">
        <f t="shared" si="60"/>
        <v>0</v>
      </c>
      <c r="AE121" s="249">
        <f t="shared" si="60"/>
        <v>0</v>
      </c>
      <c r="AF121" s="249">
        <f t="shared" si="60"/>
        <v>0</v>
      </c>
      <c r="AG121" s="249">
        <f t="shared" si="60"/>
        <v>0</v>
      </c>
      <c r="AH121" s="249">
        <f t="shared" si="60"/>
        <v>0</v>
      </c>
      <c r="AI121" s="249">
        <f t="shared" si="60"/>
        <v>0</v>
      </c>
      <c r="AJ121" s="249">
        <f t="shared" si="60"/>
        <v>0</v>
      </c>
      <c r="AK121" s="249">
        <f t="shared" si="60"/>
        <v>0</v>
      </c>
      <c r="AL121" s="249">
        <f t="shared" si="60"/>
        <v>0</v>
      </c>
      <c r="AM121" s="249">
        <f t="shared" si="60"/>
        <v>0</v>
      </c>
      <c r="AN121" s="249">
        <f t="shared" si="60"/>
        <v>0</v>
      </c>
      <c r="AO121" s="249">
        <f t="shared" si="60"/>
        <v>0</v>
      </c>
      <c r="AP121" s="249">
        <f t="shared" si="60"/>
        <v>0</v>
      </c>
      <c r="AQ121" s="249">
        <f t="shared" si="60"/>
        <v>0</v>
      </c>
      <c r="AR121" s="249">
        <f t="shared" si="60"/>
        <v>0</v>
      </c>
      <c r="AS121" s="249">
        <f t="shared" si="60"/>
        <v>0</v>
      </c>
      <c r="AT121" s="249">
        <f t="shared" si="60"/>
        <v>0</v>
      </c>
      <c r="AU121" s="249">
        <f t="shared" si="60"/>
        <v>0</v>
      </c>
      <c r="AV121" s="249">
        <f t="shared" si="60"/>
        <v>0</v>
      </c>
      <c r="AW121" s="249">
        <f t="shared" si="60"/>
        <v>0</v>
      </c>
      <c r="AX121" s="249">
        <f t="shared" si="60"/>
        <v>0</v>
      </c>
      <c r="AY121" s="249">
        <f t="shared" si="60"/>
        <v>0</v>
      </c>
      <c r="AZ121" s="249">
        <f t="shared" si="60"/>
        <v>0</v>
      </c>
      <c r="BA121" s="249">
        <f t="shared" si="60"/>
        <v>0</v>
      </c>
      <c r="BB121" s="249">
        <f t="shared" si="60"/>
        <v>0</v>
      </c>
      <c r="BC121" s="249">
        <f t="shared" si="60"/>
        <v>0</v>
      </c>
      <c r="BD121" s="249">
        <f t="shared" si="60"/>
        <v>0</v>
      </c>
      <c r="BE121" s="249">
        <f t="shared" si="60"/>
        <v>0</v>
      </c>
      <c r="BF121" s="249">
        <f t="shared" si="60"/>
        <v>0</v>
      </c>
      <c r="BG121" s="249">
        <f t="shared" si="60"/>
        <v>0</v>
      </c>
      <c r="BH121" s="249">
        <f t="shared" si="60"/>
        <v>0</v>
      </c>
      <c r="BI121" s="249">
        <f t="shared" si="60"/>
        <v>0</v>
      </c>
      <c r="BJ121" s="249">
        <f t="shared" si="60"/>
        <v>0</v>
      </c>
      <c r="BK121" s="249">
        <f t="shared" si="60"/>
        <v>0</v>
      </c>
      <c r="BL121" s="249">
        <f t="shared" si="60"/>
        <v>0</v>
      </c>
      <c r="BM121" s="249">
        <f t="shared" si="60"/>
        <v>0</v>
      </c>
      <c r="BN121" s="249">
        <f t="shared" si="60"/>
        <v>0</v>
      </c>
      <c r="BO121" s="249">
        <f t="shared" si="60"/>
        <v>0</v>
      </c>
      <c r="BP121" s="249">
        <f t="shared" si="60"/>
        <v>0</v>
      </c>
      <c r="BQ121" s="249">
        <f t="shared" si="60"/>
        <v>0</v>
      </c>
      <c r="BR121" s="249">
        <f t="shared" si="60"/>
        <v>0</v>
      </c>
      <c r="BS121" s="249">
        <f t="shared" si="60"/>
        <v>0</v>
      </c>
      <c r="BT121" s="249">
        <f t="shared" si="60"/>
        <v>0</v>
      </c>
      <c r="BU121" s="249">
        <f t="shared" si="60"/>
        <v>0</v>
      </c>
      <c r="BV121" s="249">
        <f t="shared" si="60"/>
        <v>0</v>
      </c>
      <c r="BW121" s="249">
        <f t="shared" si="60"/>
        <v>0</v>
      </c>
      <c r="BX121" s="249" t="e">
        <f t="shared" si="60"/>
        <v>#REF!</v>
      </c>
    </row>
    <row r="122" spans="3:76" hidden="1" x14ac:dyDescent="0.2">
      <c r="C122" s="244"/>
      <c r="D122" s="250" t="s">
        <v>309</v>
      </c>
      <c r="E122" s="254">
        <f>E121</f>
        <v>0</v>
      </c>
      <c r="F122" s="254">
        <f t="shared" ref="F122:BX122" si="61">E122+F121</f>
        <v>0</v>
      </c>
      <c r="G122" s="254">
        <f t="shared" si="61"/>
        <v>0</v>
      </c>
      <c r="H122" s="254">
        <f t="shared" si="61"/>
        <v>0</v>
      </c>
      <c r="I122" s="254">
        <f t="shared" si="61"/>
        <v>0</v>
      </c>
      <c r="J122" s="254">
        <f t="shared" si="61"/>
        <v>0</v>
      </c>
      <c r="K122" s="254">
        <f t="shared" si="61"/>
        <v>0</v>
      </c>
      <c r="L122" s="254">
        <f t="shared" si="61"/>
        <v>0</v>
      </c>
      <c r="M122" s="254">
        <f t="shared" si="61"/>
        <v>0</v>
      </c>
      <c r="N122" s="254">
        <f t="shared" si="61"/>
        <v>0</v>
      </c>
      <c r="O122" s="254">
        <f t="shared" si="61"/>
        <v>0</v>
      </c>
      <c r="P122" s="254">
        <f t="shared" si="61"/>
        <v>0</v>
      </c>
      <c r="Q122" s="254">
        <f t="shared" si="61"/>
        <v>8942</v>
      </c>
      <c r="R122" s="254">
        <f t="shared" si="61"/>
        <v>8942</v>
      </c>
      <c r="S122" s="254">
        <f t="shared" si="61"/>
        <v>8942</v>
      </c>
      <c r="T122" s="254">
        <f t="shared" si="61"/>
        <v>8942</v>
      </c>
      <c r="U122" s="254">
        <f t="shared" si="61"/>
        <v>8942</v>
      </c>
      <c r="V122" s="254">
        <f t="shared" si="61"/>
        <v>8942</v>
      </c>
      <c r="W122" s="254">
        <f t="shared" si="61"/>
        <v>8942</v>
      </c>
      <c r="X122" s="254">
        <f t="shared" si="61"/>
        <v>8942</v>
      </c>
      <c r="Y122" s="254">
        <f t="shared" si="61"/>
        <v>8942</v>
      </c>
      <c r="Z122" s="254">
        <f t="shared" si="61"/>
        <v>8942</v>
      </c>
      <c r="AA122" s="254">
        <f t="shared" si="61"/>
        <v>8942</v>
      </c>
      <c r="AB122" s="254">
        <f t="shared" si="61"/>
        <v>8942</v>
      </c>
      <c r="AC122" s="254">
        <f t="shared" si="61"/>
        <v>8942</v>
      </c>
      <c r="AD122" s="254">
        <f t="shared" si="61"/>
        <v>8942</v>
      </c>
      <c r="AE122" s="254">
        <f t="shared" si="61"/>
        <v>8942</v>
      </c>
      <c r="AF122" s="254">
        <f t="shared" si="61"/>
        <v>8942</v>
      </c>
      <c r="AG122" s="254">
        <f t="shared" si="61"/>
        <v>8942</v>
      </c>
      <c r="AH122" s="254">
        <f t="shared" si="61"/>
        <v>8942</v>
      </c>
      <c r="AI122" s="254">
        <f t="shared" si="61"/>
        <v>8942</v>
      </c>
      <c r="AJ122" s="254">
        <f t="shared" si="61"/>
        <v>8942</v>
      </c>
      <c r="AK122" s="254">
        <f t="shared" si="61"/>
        <v>8942</v>
      </c>
      <c r="AL122" s="254">
        <f t="shared" si="61"/>
        <v>8942</v>
      </c>
      <c r="AM122" s="254">
        <f t="shared" si="61"/>
        <v>8942</v>
      </c>
      <c r="AN122" s="254">
        <f t="shared" si="61"/>
        <v>8942</v>
      </c>
      <c r="AO122" s="254">
        <f t="shared" si="61"/>
        <v>8942</v>
      </c>
      <c r="AP122" s="254">
        <f t="shared" si="61"/>
        <v>8942</v>
      </c>
      <c r="AQ122" s="254">
        <f t="shared" si="61"/>
        <v>8942</v>
      </c>
      <c r="AR122" s="254">
        <f t="shared" si="61"/>
        <v>8942</v>
      </c>
      <c r="AS122" s="254">
        <f t="shared" si="61"/>
        <v>8942</v>
      </c>
      <c r="AT122" s="254">
        <f t="shared" si="61"/>
        <v>8942</v>
      </c>
      <c r="AU122" s="254">
        <f t="shared" si="61"/>
        <v>8942</v>
      </c>
      <c r="AV122" s="254">
        <f t="shared" si="61"/>
        <v>8942</v>
      </c>
      <c r="AW122" s="254">
        <f t="shared" si="61"/>
        <v>8942</v>
      </c>
      <c r="AX122" s="254">
        <f t="shared" si="61"/>
        <v>8942</v>
      </c>
      <c r="AY122" s="254">
        <f t="shared" si="61"/>
        <v>8942</v>
      </c>
      <c r="AZ122" s="254">
        <f t="shared" si="61"/>
        <v>8942</v>
      </c>
      <c r="BA122" s="254">
        <f t="shared" si="61"/>
        <v>8942</v>
      </c>
      <c r="BB122" s="254">
        <f t="shared" si="61"/>
        <v>8942</v>
      </c>
      <c r="BC122" s="254">
        <f t="shared" si="61"/>
        <v>8942</v>
      </c>
      <c r="BD122" s="254">
        <f t="shared" si="61"/>
        <v>8942</v>
      </c>
      <c r="BE122" s="254">
        <f t="shared" si="61"/>
        <v>8942</v>
      </c>
      <c r="BF122" s="254">
        <f t="shared" si="61"/>
        <v>8942</v>
      </c>
      <c r="BG122" s="254">
        <f t="shared" si="61"/>
        <v>8942</v>
      </c>
      <c r="BH122" s="254">
        <f t="shared" si="61"/>
        <v>8942</v>
      </c>
      <c r="BI122" s="254">
        <f t="shared" si="61"/>
        <v>8942</v>
      </c>
      <c r="BJ122" s="254">
        <f t="shared" si="61"/>
        <v>8942</v>
      </c>
      <c r="BK122" s="254">
        <f t="shared" si="61"/>
        <v>8942</v>
      </c>
      <c r="BL122" s="254">
        <f t="shared" si="61"/>
        <v>8942</v>
      </c>
      <c r="BM122" s="254">
        <f t="shared" si="61"/>
        <v>8942</v>
      </c>
      <c r="BN122" s="254">
        <f t="shared" si="61"/>
        <v>8942</v>
      </c>
      <c r="BO122" s="254">
        <f t="shared" si="61"/>
        <v>8942</v>
      </c>
      <c r="BP122" s="254">
        <f t="shared" si="61"/>
        <v>8942</v>
      </c>
      <c r="BQ122" s="254">
        <f t="shared" si="61"/>
        <v>8942</v>
      </c>
      <c r="BR122" s="254">
        <f t="shared" si="61"/>
        <v>8942</v>
      </c>
      <c r="BS122" s="254">
        <f t="shared" si="61"/>
        <v>8942</v>
      </c>
      <c r="BT122" s="254">
        <f t="shared" si="61"/>
        <v>8942</v>
      </c>
      <c r="BU122" s="254">
        <f t="shared" si="61"/>
        <v>8942</v>
      </c>
      <c r="BV122" s="254">
        <f t="shared" si="61"/>
        <v>8942</v>
      </c>
      <c r="BW122" s="254">
        <f t="shared" si="61"/>
        <v>8942</v>
      </c>
      <c r="BX122" s="254" t="e">
        <f t="shared" si="61"/>
        <v>#REF!</v>
      </c>
    </row>
    <row r="123" spans="3:76" hidden="1" x14ac:dyDescent="0.2">
      <c r="C123" s="243" t="s">
        <v>302</v>
      </c>
      <c r="D123" s="250" t="e">
        <f>IRR(E121:BX121)*12</f>
        <v>#VALUE!</v>
      </c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168"/>
      <c r="T123" s="168"/>
      <c r="U123" s="168"/>
      <c r="V123" s="168"/>
      <c r="W123" s="168"/>
      <c r="X123" s="168"/>
      <c r="Y123" s="168"/>
      <c r="Z123" s="168"/>
      <c r="AA123" s="168"/>
      <c r="AB123" s="168"/>
      <c r="AC123" s="168"/>
      <c r="AD123" s="168"/>
      <c r="AE123" s="168"/>
      <c r="AF123" s="168"/>
      <c r="AG123" s="168"/>
      <c r="AH123" s="168"/>
      <c r="AI123" s="168"/>
      <c r="AJ123" s="168"/>
      <c r="AK123" s="168"/>
      <c r="AL123" s="168"/>
      <c r="AM123" s="168"/>
      <c r="AN123" s="168"/>
      <c r="AO123" s="168"/>
      <c r="AP123" s="168"/>
      <c r="AQ123" s="168"/>
      <c r="AR123" s="168"/>
      <c r="AS123" s="168"/>
      <c r="AT123" s="168"/>
      <c r="AU123" s="168"/>
      <c r="AV123" s="168"/>
      <c r="AW123" s="168"/>
      <c r="AX123" s="168"/>
      <c r="AY123" s="168"/>
      <c r="AZ123" s="168"/>
      <c r="BA123" s="168"/>
      <c r="BB123" s="168"/>
      <c r="BC123" s="168"/>
      <c r="BD123" s="168"/>
      <c r="BE123" s="168"/>
      <c r="BF123" s="168"/>
      <c r="BG123" s="168"/>
      <c r="BH123" s="168"/>
      <c r="BI123" s="168"/>
      <c r="BJ123" s="168"/>
      <c r="BK123" s="168"/>
      <c r="BL123" s="168"/>
      <c r="BM123" s="168"/>
      <c r="BN123" s="168"/>
      <c r="BO123" s="168"/>
      <c r="BP123" s="168"/>
      <c r="BQ123" s="168"/>
      <c r="BR123" s="168"/>
      <c r="BS123" s="168"/>
      <c r="BT123" s="168"/>
      <c r="BU123" s="168"/>
      <c r="BV123" s="168"/>
      <c r="BW123" s="168"/>
      <c r="BX123" s="168"/>
    </row>
    <row r="124" spans="3:76" hidden="1" x14ac:dyDescent="0.2">
      <c r="C124" s="251" t="s">
        <v>303</v>
      </c>
      <c r="D124" s="252">
        <f>-MIN(M122:BL122) - D125</f>
        <v>0</v>
      </c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  <c r="P124" s="168"/>
      <c r="Q124" s="168"/>
      <c r="R124" s="168"/>
      <c r="S124" s="168"/>
      <c r="T124" s="168"/>
      <c r="U124" s="168"/>
      <c r="V124" s="168"/>
      <c r="W124" s="168"/>
      <c r="X124" s="168"/>
      <c r="Y124" s="168"/>
      <c r="Z124" s="168"/>
      <c r="AA124" s="168"/>
      <c r="AB124" s="168"/>
      <c r="AC124" s="168"/>
      <c r="AD124" s="168"/>
      <c r="AE124" s="168"/>
      <c r="AF124" s="168"/>
      <c r="AG124" s="168"/>
      <c r="AH124" s="168"/>
      <c r="AI124" s="168"/>
      <c r="AJ124" s="168"/>
      <c r="AK124" s="168"/>
      <c r="AL124" s="168"/>
      <c r="AM124" s="168"/>
      <c r="AN124" s="168"/>
      <c r="AO124" s="168"/>
      <c r="AP124" s="168"/>
      <c r="AQ124" s="168"/>
      <c r="AR124" s="168"/>
      <c r="AS124" s="168"/>
      <c r="AT124" s="168"/>
      <c r="AU124" s="168"/>
      <c r="AV124" s="168"/>
      <c r="AW124" s="168"/>
      <c r="AX124" s="168"/>
      <c r="AY124" s="168"/>
      <c r="AZ124" s="168"/>
      <c r="BA124" s="168"/>
      <c r="BB124" s="168"/>
      <c r="BC124" s="168"/>
      <c r="BD124" s="168"/>
      <c r="BE124" s="168"/>
      <c r="BF124" s="168"/>
      <c r="BG124" s="168"/>
      <c r="BH124" s="168"/>
      <c r="BI124" s="168"/>
      <c r="BJ124" s="168"/>
      <c r="BK124" s="168"/>
      <c r="BL124" s="168"/>
      <c r="BM124" s="168"/>
      <c r="BN124" s="168"/>
      <c r="BO124" s="168"/>
      <c r="BP124" s="168"/>
      <c r="BQ124" s="168"/>
      <c r="BR124" s="168"/>
      <c r="BS124" s="168"/>
      <c r="BT124" s="168"/>
      <c r="BU124" s="168"/>
      <c r="BV124" s="168"/>
      <c r="BW124" s="168"/>
      <c r="BX124" s="168"/>
    </row>
    <row r="125" spans="3:76" hidden="1" x14ac:dyDescent="0.2">
      <c r="C125" s="251" t="s">
        <v>310</v>
      </c>
      <c r="D125" s="252">
        <f>-SUM(M120:BB120)</f>
        <v>0</v>
      </c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  <c r="P125" s="168"/>
      <c r="Q125" s="168"/>
      <c r="R125" s="168"/>
      <c r="S125" s="168"/>
      <c r="T125" s="168"/>
      <c r="U125" s="168"/>
      <c r="V125" s="168"/>
      <c r="W125" s="168"/>
      <c r="X125" s="168"/>
      <c r="Y125" s="168"/>
      <c r="Z125" s="168"/>
      <c r="AA125" s="168"/>
      <c r="AB125" s="168"/>
      <c r="AC125" s="168"/>
      <c r="AD125" s="168"/>
      <c r="AE125" s="168"/>
      <c r="AF125" s="168"/>
      <c r="AG125" s="168"/>
      <c r="AH125" s="168"/>
      <c r="AI125" s="168"/>
      <c r="AJ125" s="168"/>
      <c r="AK125" s="168"/>
      <c r="AL125" s="168"/>
      <c r="AM125" s="168"/>
      <c r="AN125" s="168"/>
      <c r="AO125" s="168"/>
      <c r="AP125" s="168"/>
      <c r="AQ125" s="168"/>
      <c r="AR125" s="168"/>
      <c r="AS125" s="168"/>
      <c r="AT125" s="168"/>
      <c r="AU125" s="168"/>
      <c r="AV125" s="168"/>
      <c r="AW125" s="168"/>
      <c r="AX125" s="168"/>
      <c r="AY125" s="168"/>
      <c r="AZ125" s="168"/>
      <c r="BA125" s="168"/>
      <c r="BB125" s="168"/>
      <c r="BC125" s="168"/>
      <c r="BD125" s="168"/>
      <c r="BE125" s="168"/>
      <c r="BF125" s="168"/>
      <c r="BG125" s="168"/>
      <c r="BH125" s="168"/>
      <c r="BI125" s="168"/>
      <c r="BJ125" s="168"/>
      <c r="BK125" s="168"/>
      <c r="BL125" s="168"/>
      <c r="BM125" s="168"/>
      <c r="BN125" s="168"/>
      <c r="BO125" s="168"/>
      <c r="BP125" s="168"/>
      <c r="BQ125" s="168"/>
      <c r="BR125" s="168"/>
      <c r="BS125" s="168"/>
      <c r="BT125" s="168"/>
      <c r="BU125" s="168"/>
      <c r="BV125" s="168"/>
      <c r="BW125" s="168"/>
      <c r="BX125" s="168"/>
    </row>
    <row r="126" spans="3:76" hidden="1" x14ac:dyDescent="0.2">
      <c r="C126" s="243" t="s">
        <v>304</v>
      </c>
      <c r="D126" s="253">
        <f>D125+D124</f>
        <v>0</v>
      </c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8"/>
      <c r="AA126" s="168"/>
      <c r="AB126" s="168"/>
      <c r="AC126" s="168"/>
      <c r="AD126" s="168"/>
      <c r="AE126" s="168"/>
      <c r="AF126" s="168"/>
      <c r="AG126" s="168"/>
      <c r="AH126" s="168"/>
      <c r="AI126" s="168"/>
      <c r="AJ126" s="168"/>
      <c r="AK126" s="168"/>
      <c r="AL126" s="168"/>
      <c r="AM126" s="168"/>
      <c r="AN126" s="168"/>
      <c r="AO126" s="168"/>
      <c r="AP126" s="168"/>
      <c r="AQ126" s="168"/>
      <c r="AR126" s="168"/>
      <c r="AS126" s="168"/>
      <c r="AT126" s="168"/>
      <c r="AU126" s="168"/>
      <c r="AV126" s="168"/>
      <c r="AW126" s="168"/>
      <c r="AX126" s="168"/>
      <c r="AY126" s="168"/>
      <c r="AZ126" s="168"/>
      <c r="BA126" s="168"/>
      <c r="BB126" s="168"/>
      <c r="BC126" s="168"/>
      <c r="BD126" s="168"/>
      <c r="BE126" s="168"/>
      <c r="BF126" s="168"/>
      <c r="BG126" s="168"/>
      <c r="BH126" s="168"/>
      <c r="BI126" s="168"/>
      <c r="BJ126" s="168"/>
      <c r="BK126" s="168"/>
      <c r="BL126" s="168"/>
      <c r="BM126" s="168"/>
      <c r="BN126" s="168"/>
      <c r="BO126" s="168"/>
      <c r="BP126" s="168"/>
      <c r="BQ126" s="168"/>
      <c r="BR126" s="168"/>
      <c r="BS126" s="168"/>
      <c r="BT126" s="168"/>
      <c r="BU126" s="168"/>
      <c r="BV126" s="168"/>
      <c r="BW126" s="168"/>
      <c r="BX126" s="168"/>
    </row>
    <row r="127" spans="3:76" hidden="1" x14ac:dyDescent="0.2">
      <c r="C127" s="243" t="s">
        <v>305</v>
      </c>
      <c r="D127" s="253" t="e">
        <f>BX118+BX119</f>
        <v>#REF!</v>
      </c>
      <c r="E127" s="168"/>
      <c r="F127" s="168"/>
      <c r="G127" s="168"/>
      <c r="H127" s="168"/>
      <c r="I127" s="168"/>
      <c r="J127" s="168"/>
      <c r="K127" s="168"/>
      <c r="L127" s="168"/>
      <c r="M127" s="168"/>
      <c r="N127" s="168"/>
      <c r="O127" s="168"/>
      <c r="P127" s="168"/>
      <c r="Q127" s="168"/>
      <c r="R127" s="168"/>
      <c r="S127" s="168"/>
      <c r="T127" s="168"/>
      <c r="U127" s="168"/>
      <c r="V127" s="168"/>
      <c r="W127" s="168"/>
      <c r="X127" s="168"/>
      <c r="Y127" s="168"/>
      <c r="Z127" s="168"/>
      <c r="AA127" s="168"/>
      <c r="AB127" s="168"/>
      <c r="AC127" s="168"/>
      <c r="AD127" s="168"/>
      <c r="AE127" s="168"/>
      <c r="AF127" s="168"/>
      <c r="AG127" s="168"/>
      <c r="AH127" s="168"/>
      <c r="AI127" s="168"/>
      <c r="AJ127" s="168"/>
      <c r="AK127" s="168"/>
      <c r="AL127" s="168"/>
      <c r="AM127" s="168"/>
      <c r="AN127" s="168"/>
      <c r="AO127" s="168"/>
      <c r="AP127" s="168"/>
      <c r="AQ127" s="168"/>
      <c r="AR127" s="168"/>
      <c r="AS127" s="168"/>
      <c r="AT127" s="168"/>
      <c r="AU127" s="168"/>
      <c r="AV127" s="168"/>
      <c r="AW127" s="168"/>
      <c r="AX127" s="168"/>
      <c r="AY127" s="168"/>
      <c r="AZ127" s="168"/>
      <c r="BA127" s="168"/>
      <c r="BB127" s="168"/>
      <c r="BC127" s="168"/>
      <c r="BD127" s="168"/>
      <c r="BE127" s="168"/>
      <c r="BF127" s="168"/>
      <c r="BG127" s="168"/>
      <c r="BH127" s="168"/>
      <c r="BI127" s="168"/>
      <c r="BJ127" s="168"/>
      <c r="BK127" s="168"/>
      <c r="BL127" s="168"/>
      <c r="BM127" s="168"/>
      <c r="BN127" s="168"/>
      <c r="BO127" s="168"/>
      <c r="BP127" s="168"/>
      <c r="BQ127" s="168"/>
      <c r="BR127" s="168"/>
      <c r="BS127" s="168"/>
      <c r="BT127" s="168"/>
      <c r="BU127" s="168"/>
      <c r="BV127" s="168"/>
      <c r="BW127" s="168"/>
      <c r="BX127" s="168"/>
    </row>
    <row r="128" spans="3:76" hidden="1" x14ac:dyDescent="0.2">
      <c r="C128" s="243" t="s">
        <v>306</v>
      </c>
      <c r="D128" s="250" t="e">
        <f>(D127-D125)/D126</f>
        <v>#REF!</v>
      </c>
      <c r="E128" s="168"/>
      <c r="F128" s="168"/>
      <c r="G128" s="168"/>
      <c r="H128" s="168"/>
      <c r="I128" s="168"/>
      <c r="J128" s="168"/>
      <c r="K128" s="168"/>
      <c r="L128" s="168"/>
      <c r="M128" s="168"/>
      <c r="N128" s="168"/>
      <c r="O128" s="168"/>
      <c r="P128" s="168"/>
      <c r="Q128" s="168"/>
      <c r="R128" s="168"/>
      <c r="S128" s="168"/>
      <c r="T128" s="168"/>
      <c r="U128" s="168"/>
      <c r="V128" s="168"/>
      <c r="W128" s="168"/>
      <c r="X128" s="168"/>
      <c r="Y128" s="168"/>
      <c r="Z128" s="168"/>
      <c r="AA128" s="168"/>
      <c r="AB128" s="168"/>
      <c r="AC128" s="168"/>
      <c r="AD128" s="168"/>
      <c r="AE128" s="168"/>
      <c r="AF128" s="168"/>
      <c r="AG128" s="168"/>
      <c r="AH128" s="168"/>
      <c r="AI128" s="168"/>
      <c r="AJ128" s="168"/>
      <c r="AK128" s="168"/>
      <c r="AL128" s="168"/>
      <c r="AM128" s="168"/>
      <c r="AN128" s="168"/>
      <c r="AO128" s="168"/>
      <c r="AP128" s="168"/>
      <c r="AQ128" s="168"/>
      <c r="AR128" s="168"/>
      <c r="AS128" s="168"/>
      <c r="AT128" s="168"/>
      <c r="AU128" s="168"/>
      <c r="AV128" s="168"/>
      <c r="AW128" s="168"/>
      <c r="AX128" s="168"/>
      <c r="AY128" s="168"/>
      <c r="AZ128" s="168"/>
      <c r="BA128" s="168"/>
      <c r="BB128" s="168"/>
      <c r="BC128" s="168"/>
      <c r="BD128" s="168"/>
      <c r="BE128" s="168"/>
      <c r="BF128" s="168"/>
      <c r="BG128" s="168"/>
      <c r="BH128" s="168"/>
      <c r="BI128" s="168"/>
      <c r="BJ128" s="168"/>
      <c r="BK128" s="168"/>
      <c r="BL128" s="168"/>
      <c r="BM128" s="168"/>
      <c r="BN128" s="168"/>
      <c r="BO128" s="168"/>
      <c r="BP128" s="168"/>
      <c r="BQ128" s="168"/>
      <c r="BR128" s="168"/>
      <c r="BS128" s="168"/>
      <c r="BT128" s="168"/>
      <c r="BU128" s="168"/>
      <c r="BV128" s="168"/>
      <c r="BW128" s="168"/>
      <c r="BX128" s="168"/>
    </row>
    <row r="129" spans="3:76" hidden="1" x14ac:dyDescent="0.2">
      <c r="E129" s="168"/>
      <c r="F129" s="168"/>
      <c r="G129" s="168"/>
      <c r="H129" s="168"/>
      <c r="I129" s="168"/>
      <c r="J129" s="168"/>
      <c r="K129" s="168"/>
      <c r="L129" s="168"/>
      <c r="M129" s="168"/>
      <c r="N129" s="168"/>
      <c r="O129" s="168"/>
      <c r="P129" s="168"/>
      <c r="Q129" s="168"/>
      <c r="R129" s="168"/>
      <c r="S129" s="168"/>
      <c r="T129" s="168"/>
      <c r="U129" s="168"/>
      <c r="V129" s="168"/>
      <c r="W129" s="168"/>
      <c r="X129" s="168"/>
      <c r="Y129" s="168"/>
      <c r="Z129" s="168"/>
      <c r="AA129" s="168"/>
      <c r="AB129" s="168"/>
      <c r="AC129" s="168"/>
      <c r="AD129" s="168"/>
      <c r="AE129" s="168"/>
      <c r="AF129" s="168"/>
      <c r="AG129" s="168"/>
      <c r="AH129" s="168"/>
      <c r="AI129" s="168"/>
      <c r="AJ129" s="168"/>
      <c r="AK129" s="168"/>
      <c r="AL129" s="168"/>
      <c r="AM129" s="168"/>
      <c r="AN129" s="168"/>
      <c r="AO129" s="168"/>
      <c r="AP129" s="168"/>
      <c r="AQ129" s="168"/>
      <c r="AR129" s="168"/>
      <c r="AS129" s="168"/>
      <c r="AT129" s="168"/>
      <c r="AU129" s="168"/>
      <c r="AV129" s="168"/>
      <c r="AW129" s="168"/>
      <c r="AX129" s="168"/>
      <c r="AY129" s="168"/>
      <c r="AZ129" s="168"/>
      <c r="BA129" s="168"/>
      <c r="BB129" s="168"/>
      <c r="BC129" s="168"/>
      <c r="BD129" s="168"/>
      <c r="BE129" s="168"/>
      <c r="BF129" s="168"/>
      <c r="BG129" s="168"/>
      <c r="BH129" s="168"/>
      <c r="BI129" s="168"/>
      <c r="BJ129" s="168"/>
      <c r="BK129" s="168"/>
      <c r="BL129" s="168"/>
      <c r="BM129" s="168"/>
      <c r="BN129" s="168"/>
      <c r="BO129" s="168"/>
      <c r="BP129" s="168"/>
      <c r="BQ129" s="168"/>
      <c r="BR129" s="168"/>
      <c r="BS129" s="168"/>
      <c r="BT129" s="168"/>
      <c r="BU129" s="168"/>
      <c r="BV129" s="168"/>
      <c r="BW129" s="168"/>
      <c r="BX129" s="168"/>
    </row>
    <row r="130" spans="3:76" hidden="1" x14ac:dyDescent="0.2">
      <c r="E130" s="168"/>
      <c r="F130" s="168"/>
      <c r="G130" s="168"/>
      <c r="H130" s="168"/>
      <c r="I130" s="168"/>
      <c r="J130" s="168"/>
      <c r="K130" s="168"/>
      <c r="L130" s="168"/>
      <c r="M130" s="168"/>
      <c r="N130" s="168"/>
      <c r="O130" s="168"/>
      <c r="P130" s="168"/>
      <c r="Q130" s="168"/>
      <c r="R130" s="168"/>
      <c r="S130" s="168"/>
      <c r="T130" s="168"/>
      <c r="U130" s="168"/>
      <c r="V130" s="168"/>
      <c r="W130" s="168"/>
      <c r="X130" s="168"/>
      <c r="Y130" s="168"/>
      <c r="Z130" s="168"/>
      <c r="AA130" s="168"/>
      <c r="AB130" s="168"/>
      <c r="AC130" s="168"/>
      <c r="AD130" s="168"/>
      <c r="AE130" s="168"/>
      <c r="AF130" s="168"/>
      <c r="AG130" s="168"/>
      <c r="AH130" s="168"/>
      <c r="AI130" s="168"/>
      <c r="AJ130" s="168"/>
      <c r="AK130" s="168"/>
      <c r="AL130" s="168"/>
      <c r="AM130" s="168"/>
      <c r="AN130" s="168"/>
      <c r="AO130" s="168"/>
      <c r="AP130" s="168"/>
      <c r="AQ130" s="168"/>
      <c r="AR130" s="168"/>
      <c r="AS130" s="168"/>
      <c r="AT130" s="168"/>
      <c r="AU130" s="168"/>
      <c r="AV130" s="168"/>
      <c r="AW130" s="168"/>
      <c r="AX130" s="168"/>
      <c r="AY130" s="168"/>
      <c r="AZ130" s="168"/>
      <c r="BA130" s="168"/>
      <c r="BB130" s="168"/>
      <c r="BC130" s="168"/>
      <c r="BD130" s="168"/>
      <c r="BE130" s="168"/>
      <c r="BF130" s="168"/>
      <c r="BG130" s="168"/>
      <c r="BH130" s="168"/>
      <c r="BI130" s="168"/>
      <c r="BJ130" s="168"/>
      <c r="BK130" s="168"/>
      <c r="BL130" s="168"/>
      <c r="BM130" s="168"/>
      <c r="BN130" s="168"/>
      <c r="BO130" s="168"/>
      <c r="BP130" s="168"/>
      <c r="BQ130" s="168"/>
      <c r="BR130" s="168"/>
      <c r="BS130" s="168"/>
      <c r="BT130" s="168"/>
      <c r="BU130" s="168"/>
      <c r="BV130" s="168"/>
      <c r="BW130" s="168"/>
      <c r="BX130" s="168"/>
    </row>
    <row r="131" spans="3:76" hidden="1" x14ac:dyDescent="0.2">
      <c r="E131" s="168"/>
      <c r="F131" s="168"/>
      <c r="G131" s="168"/>
      <c r="H131" s="168"/>
      <c r="I131" s="168"/>
      <c r="J131" s="168"/>
      <c r="K131" s="168"/>
      <c r="L131" s="168"/>
      <c r="M131" s="168"/>
      <c r="N131" s="168"/>
      <c r="O131" s="168"/>
      <c r="P131" s="168"/>
      <c r="Q131" s="168"/>
      <c r="R131" s="168"/>
      <c r="S131" s="168"/>
      <c r="T131" s="168"/>
      <c r="U131" s="168"/>
      <c r="V131" s="168"/>
      <c r="W131" s="168"/>
      <c r="X131" s="168"/>
      <c r="Y131" s="168"/>
      <c r="Z131" s="168"/>
      <c r="AA131" s="168"/>
      <c r="AB131" s="168"/>
      <c r="AC131" s="168"/>
      <c r="AD131" s="168"/>
      <c r="AE131" s="168"/>
      <c r="AF131" s="168"/>
      <c r="AG131" s="168"/>
      <c r="AH131" s="168"/>
      <c r="AI131" s="168"/>
      <c r="AJ131" s="168"/>
      <c r="AK131" s="168"/>
      <c r="AL131" s="168"/>
      <c r="AM131" s="168"/>
      <c r="AN131" s="168"/>
      <c r="AO131" s="168"/>
      <c r="AP131" s="168"/>
      <c r="AQ131" s="168"/>
      <c r="AR131" s="168"/>
      <c r="AS131" s="168"/>
      <c r="AT131" s="168"/>
      <c r="AU131" s="168"/>
      <c r="AV131" s="168"/>
      <c r="AW131" s="168"/>
      <c r="AX131" s="168"/>
      <c r="AY131" s="168"/>
      <c r="AZ131" s="168"/>
      <c r="BA131" s="168"/>
      <c r="BB131" s="168"/>
      <c r="BC131" s="168"/>
      <c r="BD131" s="168"/>
      <c r="BE131" s="168"/>
      <c r="BF131" s="168"/>
      <c r="BG131" s="168"/>
      <c r="BH131" s="168"/>
      <c r="BI131" s="168"/>
      <c r="BJ131" s="168"/>
      <c r="BK131" s="168"/>
      <c r="BL131" s="168"/>
      <c r="BM131" s="168"/>
      <c r="BN131" s="168"/>
      <c r="BO131" s="168"/>
      <c r="BP131" s="168"/>
      <c r="BQ131" s="168"/>
      <c r="BR131" s="168"/>
      <c r="BS131" s="168"/>
      <c r="BT131" s="168"/>
      <c r="BU131" s="168"/>
      <c r="BV131" s="168"/>
      <c r="BW131" s="168"/>
      <c r="BX131" s="168"/>
    </row>
    <row r="132" spans="3:76" hidden="1" x14ac:dyDescent="0.2">
      <c r="E132" s="168"/>
      <c r="F132" s="168"/>
      <c r="G132" s="168"/>
      <c r="H132" s="168"/>
      <c r="I132" s="168"/>
      <c r="J132" s="168"/>
      <c r="K132" s="168"/>
      <c r="L132" s="168"/>
      <c r="M132" s="168"/>
      <c r="N132" s="168"/>
      <c r="O132" s="168"/>
      <c r="P132" s="168"/>
      <c r="Q132" s="168"/>
      <c r="R132" s="168"/>
      <c r="S132" s="168"/>
      <c r="T132" s="168"/>
      <c r="U132" s="168"/>
      <c r="V132" s="168"/>
      <c r="W132" s="168"/>
      <c r="X132" s="168"/>
      <c r="Y132" s="168"/>
      <c r="Z132" s="168"/>
      <c r="AA132" s="168"/>
      <c r="AB132" s="168"/>
      <c r="AC132" s="168"/>
      <c r="AD132" s="168"/>
      <c r="AE132" s="168"/>
      <c r="AF132" s="168"/>
      <c r="AG132" s="168"/>
      <c r="AH132" s="168"/>
      <c r="AI132" s="168"/>
      <c r="AJ132" s="168"/>
      <c r="AK132" s="168"/>
      <c r="AL132" s="168"/>
      <c r="AM132" s="168"/>
      <c r="AN132" s="168"/>
      <c r="AO132" s="168"/>
      <c r="AP132" s="168"/>
      <c r="AQ132" s="168"/>
      <c r="AR132" s="168"/>
      <c r="AS132" s="168"/>
      <c r="AT132" s="168"/>
      <c r="AU132" s="168"/>
      <c r="AV132" s="168"/>
      <c r="AW132" s="168"/>
      <c r="AX132" s="168"/>
      <c r="AY132" s="168"/>
      <c r="AZ132" s="168"/>
      <c r="BA132" s="168"/>
      <c r="BB132" s="168"/>
      <c r="BC132" s="168"/>
      <c r="BD132" s="168"/>
      <c r="BE132" s="168"/>
      <c r="BF132" s="168"/>
      <c r="BG132" s="168"/>
      <c r="BH132" s="168"/>
      <c r="BI132" s="168"/>
      <c r="BJ132" s="168"/>
      <c r="BK132" s="168"/>
      <c r="BL132" s="168"/>
      <c r="BM132" s="168"/>
      <c r="BN132" s="168"/>
      <c r="BO132" s="168"/>
      <c r="BP132" s="168"/>
      <c r="BQ132" s="168"/>
      <c r="BR132" s="168"/>
      <c r="BS132" s="168"/>
      <c r="BT132" s="168"/>
      <c r="BU132" s="168"/>
      <c r="BV132" s="168"/>
      <c r="BW132" s="168"/>
      <c r="BX132" s="168"/>
    </row>
    <row r="133" spans="3:76" hidden="1" x14ac:dyDescent="0.2">
      <c r="C133" s="240" t="s">
        <v>311</v>
      </c>
      <c r="D133" s="241"/>
      <c r="E133" s="242">
        <f t="shared" ref="E133:AJ133" si="62">-(E8 + E91)</f>
        <v>0</v>
      </c>
      <c r="F133" s="242">
        <f t="shared" si="62"/>
        <v>0</v>
      </c>
      <c r="G133" s="242">
        <f t="shared" si="62"/>
        <v>0</v>
      </c>
      <c r="H133" s="242">
        <f t="shared" si="62"/>
        <v>0</v>
      </c>
      <c r="I133" s="242">
        <f t="shared" si="62"/>
        <v>0</v>
      </c>
      <c r="J133" s="242">
        <f t="shared" si="62"/>
        <v>0</v>
      </c>
      <c r="K133" s="242">
        <f t="shared" si="62"/>
        <v>0</v>
      </c>
      <c r="L133" s="242">
        <f t="shared" si="62"/>
        <v>0</v>
      </c>
      <c r="M133" s="242">
        <f t="shared" si="62"/>
        <v>0</v>
      </c>
      <c r="N133" s="242">
        <f t="shared" si="62"/>
        <v>0</v>
      </c>
      <c r="O133" s="242">
        <f t="shared" si="62"/>
        <v>0</v>
      </c>
      <c r="P133" s="242">
        <f t="shared" si="62"/>
        <v>0</v>
      </c>
      <c r="Q133" s="242">
        <f t="shared" si="62"/>
        <v>0</v>
      </c>
      <c r="R133" s="242">
        <f t="shared" si="62"/>
        <v>0</v>
      </c>
      <c r="S133" s="242">
        <f t="shared" si="62"/>
        <v>0</v>
      </c>
      <c r="T133" s="242">
        <f t="shared" si="62"/>
        <v>0</v>
      </c>
      <c r="U133" s="242">
        <f t="shared" si="62"/>
        <v>0</v>
      </c>
      <c r="V133" s="242">
        <f t="shared" si="62"/>
        <v>0</v>
      </c>
      <c r="W133" s="242">
        <f t="shared" si="62"/>
        <v>0</v>
      </c>
      <c r="X133" s="242">
        <f t="shared" si="62"/>
        <v>0</v>
      </c>
      <c r="Y133" s="242">
        <f t="shared" si="62"/>
        <v>0</v>
      </c>
      <c r="Z133" s="242">
        <f t="shared" si="62"/>
        <v>0</v>
      </c>
      <c r="AA133" s="242">
        <f t="shared" si="62"/>
        <v>0</v>
      </c>
      <c r="AB133" s="242">
        <f t="shared" si="62"/>
        <v>0</v>
      </c>
      <c r="AC133" s="242">
        <f t="shared" si="62"/>
        <v>0</v>
      </c>
      <c r="AD133" s="242">
        <f t="shared" si="62"/>
        <v>0</v>
      </c>
      <c r="AE133" s="242">
        <f t="shared" si="62"/>
        <v>0</v>
      </c>
      <c r="AF133" s="242">
        <f t="shared" si="62"/>
        <v>0</v>
      </c>
      <c r="AG133" s="242">
        <f t="shared" si="62"/>
        <v>0</v>
      </c>
      <c r="AH133" s="242">
        <f t="shared" si="62"/>
        <v>0</v>
      </c>
      <c r="AI133" s="242">
        <f t="shared" si="62"/>
        <v>0</v>
      </c>
      <c r="AJ133" s="242">
        <f t="shared" si="62"/>
        <v>0</v>
      </c>
      <c r="AK133" s="242">
        <f t="shared" ref="AK133:BP133" si="63">-(AK8 + AK91)</f>
        <v>0</v>
      </c>
      <c r="AL133" s="242">
        <f t="shared" si="63"/>
        <v>0</v>
      </c>
      <c r="AM133" s="242">
        <f t="shared" si="63"/>
        <v>0</v>
      </c>
      <c r="AN133" s="242">
        <f t="shared" si="63"/>
        <v>0</v>
      </c>
      <c r="AO133" s="242">
        <f t="shared" si="63"/>
        <v>0</v>
      </c>
      <c r="AP133" s="242">
        <f t="shared" si="63"/>
        <v>0</v>
      </c>
      <c r="AQ133" s="242">
        <f t="shared" si="63"/>
        <v>0</v>
      </c>
      <c r="AR133" s="242">
        <f t="shared" si="63"/>
        <v>0</v>
      </c>
      <c r="AS133" s="242">
        <f t="shared" si="63"/>
        <v>0</v>
      </c>
      <c r="AT133" s="242">
        <f t="shared" si="63"/>
        <v>0</v>
      </c>
      <c r="AU133" s="242">
        <f t="shared" si="63"/>
        <v>0</v>
      </c>
      <c r="AV133" s="242">
        <f t="shared" si="63"/>
        <v>0</v>
      </c>
      <c r="AW133" s="242">
        <f t="shared" si="63"/>
        <v>0</v>
      </c>
      <c r="AX133" s="242">
        <f t="shared" si="63"/>
        <v>0</v>
      </c>
      <c r="AY133" s="242">
        <f t="shared" si="63"/>
        <v>0</v>
      </c>
      <c r="AZ133" s="242">
        <f t="shared" si="63"/>
        <v>0</v>
      </c>
      <c r="BA133" s="242">
        <f t="shared" si="63"/>
        <v>0</v>
      </c>
      <c r="BB133" s="242">
        <f t="shared" si="63"/>
        <v>0</v>
      </c>
      <c r="BC133" s="242">
        <f t="shared" si="63"/>
        <v>0</v>
      </c>
      <c r="BD133" s="242">
        <f t="shared" si="63"/>
        <v>0</v>
      </c>
      <c r="BE133" s="242">
        <f t="shared" si="63"/>
        <v>0</v>
      </c>
      <c r="BF133" s="242">
        <f t="shared" si="63"/>
        <v>0</v>
      </c>
      <c r="BG133" s="242">
        <f t="shared" si="63"/>
        <v>0</v>
      </c>
      <c r="BH133" s="242">
        <f t="shared" si="63"/>
        <v>0</v>
      </c>
      <c r="BI133" s="242">
        <f t="shared" si="63"/>
        <v>0</v>
      </c>
      <c r="BJ133" s="242">
        <f t="shared" si="63"/>
        <v>0</v>
      </c>
      <c r="BK133" s="242">
        <f t="shared" si="63"/>
        <v>0</v>
      </c>
      <c r="BL133" s="242">
        <f t="shared" si="63"/>
        <v>0</v>
      </c>
      <c r="BM133" s="242">
        <f t="shared" si="63"/>
        <v>0</v>
      </c>
      <c r="BN133" s="242">
        <f t="shared" si="63"/>
        <v>0</v>
      </c>
      <c r="BO133" s="242">
        <f t="shared" si="63"/>
        <v>0</v>
      </c>
      <c r="BP133" s="242">
        <f t="shared" si="63"/>
        <v>0</v>
      </c>
      <c r="BQ133" s="242">
        <f t="shared" ref="BQ133:BX133" si="64">-(BQ8 + BQ91)</f>
        <v>0</v>
      </c>
      <c r="BR133" s="242">
        <f t="shared" si="64"/>
        <v>0</v>
      </c>
      <c r="BS133" s="242">
        <f t="shared" si="64"/>
        <v>0</v>
      </c>
      <c r="BT133" s="242">
        <f t="shared" si="64"/>
        <v>0</v>
      </c>
      <c r="BU133" s="242">
        <f t="shared" si="64"/>
        <v>0</v>
      </c>
      <c r="BV133" s="242">
        <f t="shared" si="64"/>
        <v>0</v>
      </c>
      <c r="BW133" s="242">
        <f t="shared" si="64"/>
        <v>0</v>
      </c>
      <c r="BX133" s="242">
        <f t="shared" si="64"/>
        <v>0</v>
      </c>
    </row>
    <row r="134" spans="3:76" hidden="1" x14ac:dyDescent="0.2">
      <c r="C134" s="240" t="s">
        <v>308</v>
      </c>
      <c r="D134" s="247"/>
      <c r="E134" s="241"/>
      <c r="F134" s="241"/>
      <c r="G134" s="241"/>
      <c r="H134" s="241"/>
      <c r="I134" s="241"/>
      <c r="J134" s="241"/>
      <c r="K134" s="241"/>
      <c r="L134" s="241"/>
      <c r="M134" s="241"/>
      <c r="N134" s="241"/>
      <c r="O134" s="241"/>
      <c r="P134" s="241"/>
      <c r="Q134" s="241"/>
      <c r="R134" s="241"/>
      <c r="S134" s="241"/>
      <c r="T134" s="241"/>
      <c r="U134" s="241"/>
      <c r="V134" s="241"/>
      <c r="W134" s="241"/>
      <c r="X134" s="241"/>
      <c r="Y134" s="241"/>
      <c r="Z134" s="241"/>
      <c r="AA134" s="241"/>
      <c r="AB134" s="241"/>
      <c r="AC134" s="241"/>
      <c r="AD134" s="241"/>
      <c r="AE134" s="241"/>
      <c r="AF134" s="241"/>
      <c r="AG134" s="241"/>
      <c r="AH134" s="241"/>
      <c r="AI134" s="241"/>
      <c r="AJ134" s="241"/>
      <c r="AK134" s="241"/>
      <c r="AL134" s="241"/>
      <c r="AM134" s="241"/>
      <c r="AN134" s="241"/>
      <c r="AO134" s="241"/>
      <c r="AP134" s="241"/>
      <c r="AQ134" s="241"/>
      <c r="AR134" s="241"/>
      <c r="AS134" s="241"/>
      <c r="AT134" s="241"/>
      <c r="AU134" s="241"/>
      <c r="AV134" s="241"/>
      <c r="AW134" s="241"/>
      <c r="AX134" s="241"/>
      <c r="AY134" s="241"/>
      <c r="AZ134" s="241"/>
      <c r="BA134" s="241"/>
      <c r="BB134" s="241"/>
      <c r="BC134" s="242"/>
      <c r="BD134" s="241"/>
      <c r="BE134" s="241"/>
      <c r="BF134" s="241"/>
      <c r="BG134" s="241"/>
      <c r="BH134" s="241"/>
      <c r="BI134" s="241"/>
      <c r="BJ134" s="241"/>
      <c r="BK134" s="241"/>
      <c r="BL134" s="241"/>
      <c r="BM134" s="241"/>
      <c r="BN134" s="241"/>
      <c r="BO134" s="241"/>
      <c r="BP134" s="241"/>
      <c r="BQ134" s="241"/>
      <c r="BR134" s="241"/>
      <c r="BS134" s="241"/>
      <c r="BT134" s="241"/>
      <c r="BU134" s="241"/>
      <c r="BV134" s="241"/>
      <c r="BW134" s="241"/>
      <c r="BX134" s="241"/>
    </row>
    <row r="135" spans="3:76" hidden="1" x14ac:dyDescent="0.2">
      <c r="C135" s="240" t="s">
        <v>297</v>
      </c>
      <c r="D135" s="247"/>
      <c r="E135" s="241">
        <f t="shared" ref="E135:AJ135" si="65">-E56</f>
        <v>0</v>
      </c>
      <c r="F135" s="241">
        <f t="shared" si="65"/>
        <v>0</v>
      </c>
      <c r="G135" s="241">
        <f t="shared" si="65"/>
        <v>0</v>
      </c>
      <c r="H135" s="241">
        <f t="shared" si="65"/>
        <v>0</v>
      </c>
      <c r="I135" s="241">
        <f t="shared" si="65"/>
        <v>0</v>
      </c>
      <c r="J135" s="241">
        <f t="shared" si="65"/>
        <v>0</v>
      </c>
      <c r="K135" s="241">
        <f t="shared" si="65"/>
        <v>0</v>
      </c>
      <c r="L135" s="241">
        <f t="shared" si="65"/>
        <v>0</v>
      </c>
      <c r="M135" s="241">
        <f t="shared" si="65"/>
        <v>0</v>
      </c>
      <c r="N135" s="241">
        <f t="shared" si="65"/>
        <v>0</v>
      </c>
      <c r="O135" s="241">
        <f t="shared" si="65"/>
        <v>0</v>
      </c>
      <c r="P135" s="241">
        <f t="shared" si="65"/>
        <v>0</v>
      </c>
      <c r="Q135" s="241">
        <f t="shared" si="65"/>
        <v>0</v>
      </c>
      <c r="R135" s="241">
        <f t="shared" si="65"/>
        <v>0</v>
      </c>
      <c r="S135" s="241">
        <f t="shared" si="65"/>
        <v>0</v>
      </c>
      <c r="T135" s="241">
        <f t="shared" si="65"/>
        <v>0</v>
      </c>
      <c r="U135" s="241">
        <f t="shared" si="65"/>
        <v>0</v>
      </c>
      <c r="V135" s="241">
        <f t="shared" si="65"/>
        <v>0</v>
      </c>
      <c r="W135" s="241">
        <f t="shared" si="65"/>
        <v>0</v>
      </c>
      <c r="X135" s="241">
        <f t="shared" si="65"/>
        <v>0</v>
      </c>
      <c r="Y135" s="241">
        <f t="shared" si="65"/>
        <v>0</v>
      </c>
      <c r="Z135" s="241">
        <f t="shared" si="65"/>
        <v>0</v>
      </c>
      <c r="AA135" s="241">
        <f t="shared" si="65"/>
        <v>0</v>
      </c>
      <c r="AB135" s="241">
        <f t="shared" si="65"/>
        <v>0</v>
      </c>
      <c r="AC135" s="241">
        <f t="shared" si="65"/>
        <v>0</v>
      </c>
      <c r="AD135" s="241">
        <f t="shared" si="65"/>
        <v>0</v>
      </c>
      <c r="AE135" s="241">
        <f t="shared" si="65"/>
        <v>0</v>
      </c>
      <c r="AF135" s="241">
        <f t="shared" si="65"/>
        <v>0</v>
      </c>
      <c r="AG135" s="241">
        <f t="shared" si="65"/>
        <v>0</v>
      </c>
      <c r="AH135" s="241">
        <f t="shared" si="65"/>
        <v>0</v>
      </c>
      <c r="AI135" s="241">
        <f t="shared" si="65"/>
        <v>0</v>
      </c>
      <c r="AJ135" s="241">
        <f t="shared" si="65"/>
        <v>0</v>
      </c>
      <c r="AK135" s="241">
        <f t="shared" ref="AK135:BP135" si="66">-AK56</f>
        <v>0</v>
      </c>
      <c r="AL135" s="241">
        <f t="shared" si="66"/>
        <v>0</v>
      </c>
      <c r="AM135" s="241">
        <f t="shared" si="66"/>
        <v>0</v>
      </c>
      <c r="AN135" s="241">
        <f t="shared" si="66"/>
        <v>0</v>
      </c>
      <c r="AO135" s="241">
        <f t="shared" si="66"/>
        <v>0</v>
      </c>
      <c r="AP135" s="241">
        <f t="shared" si="66"/>
        <v>0</v>
      </c>
      <c r="AQ135" s="241">
        <f t="shared" si="66"/>
        <v>0</v>
      </c>
      <c r="AR135" s="241">
        <f t="shared" si="66"/>
        <v>0</v>
      </c>
      <c r="AS135" s="241">
        <f t="shared" si="66"/>
        <v>0</v>
      </c>
      <c r="AT135" s="241">
        <f t="shared" si="66"/>
        <v>0</v>
      </c>
      <c r="AU135" s="241">
        <f t="shared" si="66"/>
        <v>0</v>
      </c>
      <c r="AV135" s="241">
        <f t="shared" si="66"/>
        <v>0</v>
      </c>
      <c r="AW135" s="241">
        <f t="shared" si="66"/>
        <v>0</v>
      </c>
      <c r="AX135" s="241">
        <f t="shared" si="66"/>
        <v>0</v>
      </c>
      <c r="AY135" s="241">
        <f t="shared" si="66"/>
        <v>0</v>
      </c>
      <c r="AZ135" s="241">
        <f t="shared" si="66"/>
        <v>0</v>
      </c>
      <c r="BA135" s="241">
        <f t="shared" si="66"/>
        <v>0</v>
      </c>
      <c r="BB135" s="241">
        <f t="shared" si="66"/>
        <v>0</v>
      </c>
      <c r="BC135" s="241">
        <f t="shared" si="66"/>
        <v>0</v>
      </c>
      <c r="BD135" s="241">
        <f t="shared" si="66"/>
        <v>0</v>
      </c>
      <c r="BE135" s="241">
        <f t="shared" si="66"/>
        <v>0</v>
      </c>
      <c r="BF135" s="241">
        <f t="shared" si="66"/>
        <v>0</v>
      </c>
      <c r="BG135" s="241">
        <f t="shared" si="66"/>
        <v>0</v>
      </c>
      <c r="BH135" s="241">
        <f t="shared" si="66"/>
        <v>0</v>
      </c>
      <c r="BI135" s="241">
        <f t="shared" si="66"/>
        <v>0</v>
      </c>
      <c r="BJ135" s="241">
        <f t="shared" si="66"/>
        <v>0</v>
      </c>
      <c r="BK135" s="241">
        <f t="shared" si="66"/>
        <v>0</v>
      </c>
      <c r="BL135" s="241">
        <f t="shared" si="66"/>
        <v>0</v>
      </c>
      <c r="BM135" s="241">
        <f t="shared" si="66"/>
        <v>0</v>
      </c>
      <c r="BN135" s="241">
        <f t="shared" si="66"/>
        <v>0</v>
      </c>
      <c r="BO135" s="241">
        <f t="shared" si="66"/>
        <v>0</v>
      </c>
      <c r="BP135" s="241">
        <f t="shared" si="66"/>
        <v>0</v>
      </c>
      <c r="BQ135" s="241">
        <f t="shared" ref="BQ135:BX135" si="67">-BQ56</f>
        <v>0</v>
      </c>
      <c r="BR135" s="241">
        <f t="shared" si="67"/>
        <v>0</v>
      </c>
      <c r="BS135" s="241">
        <f t="shared" si="67"/>
        <v>0</v>
      </c>
      <c r="BT135" s="241">
        <f t="shared" si="67"/>
        <v>0</v>
      </c>
      <c r="BU135" s="241">
        <f t="shared" si="67"/>
        <v>0</v>
      </c>
      <c r="BV135" s="241">
        <f t="shared" si="67"/>
        <v>0</v>
      </c>
      <c r="BW135" s="241">
        <f t="shared" si="67"/>
        <v>0</v>
      </c>
      <c r="BX135" s="241">
        <f t="shared" si="67"/>
        <v>0</v>
      </c>
    </row>
    <row r="136" spans="3:76" hidden="1" x14ac:dyDescent="0.2">
      <c r="C136" s="240" t="s">
        <v>298</v>
      </c>
      <c r="D136" s="247"/>
      <c r="E136" s="241"/>
      <c r="F136" s="241"/>
      <c r="G136" s="241"/>
      <c r="H136" s="241"/>
      <c r="I136" s="241"/>
      <c r="J136" s="241"/>
      <c r="K136" s="241"/>
      <c r="L136" s="241"/>
      <c r="M136" s="241"/>
      <c r="N136" s="241"/>
      <c r="O136" s="241"/>
      <c r="P136" s="241"/>
      <c r="Q136" s="241"/>
      <c r="R136" s="241"/>
      <c r="S136" s="241"/>
      <c r="T136" s="241"/>
      <c r="U136" s="241"/>
      <c r="V136" s="241"/>
      <c r="W136" s="241"/>
      <c r="X136" s="241"/>
      <c r="Y136" s="241"/>
      <c r="Z136" s="241"/>
      <c r="AA136" s="241"/>
      <c r="AB136" s="241"/>
      <c r="AC136" s="241"/>
      <c r="AD136" s="241"/>
      <c r="AE136" s="241"/>
      <c r="AF136" s="241"/>
      <c r="AG136" s="241"/>
      <c r="AH136" s="241"/>
      <c r="AI136" s="241"/>
      <c r="AJ136" s="241"/>
      <c r="AK136" s="241"/>
      <c r="AL136" s="241"/>
      <c r="AM136" s="241"/>
      <c r="AN136" s="241"/>
      <c r="AO136" s="241"/>
      <c r="AP136" s="241"/>
      <c r="AQ136" s="241"/>
      <c r="AR136" s="241"/>
      <c r="AS136" s="241"/>
      <c r="AT136" s="241"/>
      <c r="AU136" s="241"/>
      <c r="AV136" s="241"/>
      <c r="AW136" s="241"/>
      <c r="AX136" s="241"/>
      <c r="AY136" s="241"/>
      <c r="AZ136" s="241"/>
      <c r="BA136" s="241"/>
      <c r="BB136" s="241"/>
      <c r="BC136" s="242"/>
      <c r="BD136" s="241"/>
      <c r="BE136" s="241"/>
      <c r="BF136" s="241"/>
      <c r="BG136" s="241"/>
      <c r="BH136" s="241"/>
      <c r="BI136" s="241"/>
      <c r="BJ136" s="241"/>
      <c r="BK136" s="241"/>
      <c r="BL136" s="241"/>
      <c r="BM136" s="241"/>
      <c r="BN136" s="241"/>
      <c r="BO136" s="241"/>
      <c r="BP136" s="241"/>
      <c r="BQ136" s="241"/>
      <c r="BR136" s="241"/>
      <c r="BS136" s="241"/>
      <c r="BT136" s="241"/>
      <c r="BU136" s="241"/>
      <c r="BV136" s="241"/>
      <c r="BW136" s="241"/>
      <c r="BX136" s="241" t="e">
        <f>IF(#REF!&gt;0.25,(BX97-#REF!)*D137,BX97*D137)</f>
        <v>#REF!</v>
      </c>
    </row>
    <row r="137" spans="3:76" hidden="1" x14ac:dyDescent="0.2">
      <c r="C137" s="243" t="s">
        <v>300</v>
      </c>
      <c r="D137" s="247">
        <v>0</v>
      </c>
      <c r="E137" s="241"/>
      <c r="F137" s="241"/>
      <c r="G137" s="241"/>
      <c r="H137" s="241"/>
      <c r="I137" s="241"/>
      <c r="J137" s="241"/>
      <c r="K137" s="241"/>
      <c r="L137" s="241"/>
      <c r="M137" s="241"/>
      <c r="N137" s="241"/>
      <c r="O137" s="241"/>
      <c r="P137" s="241"/>
      <c r="Q137" s="241"/>
      <c r="R137" s="241"/>
      <c r="S137" s="241"/>
      <c r="T137" s="241"/>
      <c r="U137" s="241"/>
      <c r="V137" s="241"/>
      <c r="W137" s="241"/>
      <c r="X137" s="241"/>
      <c r="Y137" s="241"/>
      <c r="Z137" s="241"/>
      <c r="AA137" s="241"/>
      <c r="AB137" s="241"/>
      <c r="AC137" s="241"/>
      <c r="AD137" s="241"/>
      <c r="AE137" s="241"/>
      <c r="AF137" s="241"/>
      <c r="AG137" s="241"/>
      <c r="AH137" s="241"/>
      <c r="AI137" s="241"/>
      <c r="AJ137" s="241"/>
      <c r="AK137" s="241"/>
      <c r="AL137" s="241"/>
      <c r="AM137" s="241"/>
      <c r="AN137" s="241"/>
      <c r="AO137" s="241"/>
      <c r="AP137" s="241"/>
      <c r="AQ137" s="241"/>
      <c r="AR137" s="241"/>
      <c r="AS137" s="241"/>
      <c r="AT137" s="241"/>
      <c r="AU137" s="241"/>
      <c r="AV137" s="241"/>
      <c r="AW137" s="241"/>
      <c r="AX137" s="241"/>
      <c r="AY137" s="241"/>
      <c r="AZ137" s="241"/>
      <c r="BA137" s="241"/>
      <c r="BB137" s="241"/>
      <c r="BC137" s="242"/>
      <c r="BD137" s="241"/>
      <c r="BE137" s="241"/>
      <c r="BF137" s="241"/>
      <c r="BG137" s="241"/>
      <c r="BH137" s="241"/>
      <c r="BI137" s="241"/>
      <c r="BJ137" s="241"/>
      <c r="BK137" s="241"/>
      <c r="BL137" s="241"/>
      <c r="BM137" s="241"/>
      <c r="BN137" s="241"/>
      <c r="BO137" s="241"/>
      <c r="BP137" s="241"/>
      <c r="BQ137" s="241"/>
      <c r="BR137" s="241"/>
      <c r="BS137" s="241"/>
      <c r="BT137" s="241"/>
      <c r="BU137" s="241"/>
      <c r="BV137" s="241"/>
      <c r="BW137" s="241"/>
      <c r="BX137" s="241"/>
    </row>
    <row r="138" spans="3:76" hidden="1" x14ac:dyDescent="0.2">
      <c r="C138" s="240" t="s">
        <v>301</v>
      </c>
      <c r="D138" s="241"/>
      <c r="E138" s="249">
        <f t="shared" ref="E138:BX138" si="68">E133+E134+E135+E136+E137</f>
        <v>0</v>
      </c>
      <c r="F138" s="249">
        <f t="shared" si="68"/>
        <v>0</v>
      </c>
      <c r="G138" s="249">
        <f t="shared" si="68"/>
        <v>0</v>
      </c>
      <c r="H138" s="249">
        <f t="shared" si="68"/>
        <v>0</v>
      </c>
      <c r="I138" s="249">
        <f t="shared" si="68"/>
        <v>0</v>
      </c>
      <c r="J138" s="249">
        <f t="shared" si="68"/>
        <v>0</v>
      </c>
      <c r="K138" s="249">
        <f t="shared" si="68"/>
        <v>0</v>
      </c>
      <c r="L138" s="249">
        <f t="shared" si="68"/>
        <v>0</v>
      </c>
      <c r="M138" s="249">
        <f t="shared" si="68"/>
        <v>0</v>
      </c>
      <c r="N138" s="249">
        <f t="shared" si="68"/>
        <v>0</v>
      </c>
      <c r="O138" s="249">
        <f t="shared" si="68"/>
        <v>0</v>
      </c>
      <c r="P138" s="249">
        <f t="shared" si="68"/>
        <v>0</v>
      </c>
      <c r="Q138" s="249">
        <f t="shared" si="68"/>
        <v>0</v>
      </c>
      <c r="R138" s="249">
        <f t="shared" si="68"/>
        <v>0</v>
      </c>
      <c r="S138" s="249">
        <f t="shared" si="68"/>
        <v>0</v>
      </c>
      <c r="T138" s="249">
        <f t="shared" si="68"/>
        <v>0</v>
      </c>
      <c r="U138" s="249">
        <f t="shared" si="68"/>
        <v>0</v>
      </c>
      <c r="V138" s="249">
        <f t="shared" si="68"/>
        <v>0</v>
      </c>
      <c r="W138" s="249">
        <f t="shared" si="68"/>
        <v>0</v>
      </c>
      <c r="X138" s="249">
        <f t="shared" si="68"/>
        <v>0</v>
      </c>
      <c r="Y138" s="249">
        <f t="shared" si="68"/>
        <v>0</v>
      </c>
      <c r="Z138" s="249">
        <f t="shared" si="68"/>
        <v>0</v>
      </c>
      <c r="AA138" s="249">
        <f t="shared" si="68"/>
        <v>0</v>
      </c>
      <c r="AB138" s="249">
        <f t="shared" si="68"/>
        <v>0</v>
      </c>
      <c r="AC138" s="249">
        <f t="shared" si="68"/>
        <v>0</v>
      </c>
      <c r="AD138" s="249">
        <f t="shared" si="68"/>
        <v>0</v>
      </c>
      <c r="AE138" s="249">
        <f t="shared" si="68"/>
        <v>0</v>
      </c>
      <c r="AF138" s="249">
        <f t="shared" si="68"/>
        <v>0</v>
      </c>
      <c r="AG138" s="249">
        <f t="shared" si="68"/>
        <v>0</v>
      </c>
      <c r="AH138" s="249">
        <f t="shared" si="68"/>
        <v>0</v>
      </c>
      <c r="AI138" s="249">
        <f t="shared" si="68"/>
        <v>0</v>
      </c>
      <c r="AJ138" s="249">
        <f t="shared" si="68"/>
        <v>0</v>
      </c>
      <c r="AK138" s="249">
        <f t="shared" si="68"/>
        <v>0</v>
      </c>
      <c r="AL138" s="249">
        <f t="shared" si="68"/>
        <v>0</v>
      </c>
      <c r="AM138" s="249">
        <f t="shared" si="68"/>
        <v>0</v>
      </c>
      <c r="AN138" s="249">
        <f t="shared" si="68"/>
        <v>0</v>
      </c>
      <c r="AO138" s="249">
        <f t="shared" si="68"/>
        <v>0</v>
      </c>
      <c r="AP138" s="249">
        <f t="shared" si="68"/>
        <v>0</v>
      </c>
      <c r="AQ138" s="249">
        <f t="shared" si="68"/>
        <v>0</v>
      </c>
      <c r="AR138" s="249">
        <f t="shared" si="68"/>
        <v>0</v>
      </c>
      <c r="AS138" s="249">
        <f t="shared" si="68"/>
        <v>0</v>
      </c>
      <c r="AT138" s="249">
        <f t="shared" si="68"/>
        <v>0</v>
      </c>
      <c r="AU138" s="249">
        <f t="shared" si="68"/>
        <v>0</v>
      </c>
      <c r="AV138" s="249">
        <f t="shared" si="68"/>
        <v>0</v>
      </c>
      <c r="AW138" s="249">
        <f t="shared" si="68"/>
        <v>0</v>
      </c>
      <c r="AX138" s="249">
        <f t="shared" si="68"/>
        <v>0</v>
      </c>
      <c r="AY138" s="249">
        <f t="shared" si="68"/>
        <v>0</v>
      </c>
      <c r="AZ138" s="249">
        <f t="shared" si="68"/>
        <v>0</v>
      </c>
      <c r="BA138" s="249">
        <f t="shared" si="68"/>
        <v>0</v>
      </c>
      <c r="BB138" s="249">
        <f t="shared" si="68"/>
        <v>0</v>
      </c>
      <c r="BC138" s="249">
        <f t="shared" si="68"/>
        <v>0</v>
      </c>
      <c r="BD138" s="249">
        <f t="shared" si="68"/>
        <v>0</v>
      </c>
      <c r="BE138" s="249">
        <f t="shared" si="68"/>
        <v>0</v>
      </c>
      <c r="BF138" s="249">
        <f t="shared" si="68"/>
        <v>0</v>
      </c>
      <c r="BG138" s="249">
        <f t="shared" si="68"/>
        <v>0</v>
      </c>
      <c r="BH138" s="249">
        <f t="shared" si="68"/>
        <v>0</v>
      </c>
      <c r="BI138" s="249">
        <f t="shared" si="68"/>
        <v>0</v>
      </c>
      <c r="BJ138" s="249">
        <f t="shared" si="68"/>
        <v>0</v>
      </c>
      <c r="BK138" s="249">
        <f t="shared" si="68"/>
        <v>0</v>
      </c>
      <c r="BL138" s="249">
        <f t="shared" si="68"/>
        <v>0</v>
      </c>
      <c r="BM138" s="249">
        <f t="shared" si="68"/>
        <v>0</v>
      </c>
      <c r="BN138" s="249">
        <f t="shared" si="68"/>
        <v>0</v>
      </c>
      <c r="BO138" s="249">
        <f t="shared" si="68"/>
        <v>0</v>
      </c>
      <c r="BP138" s="249">
        <f t="shared" si="68"/>
        <v>0</v>
      </c>
      <c r="BQ138" s="249">
        <f t="shared" si="68"/>
        <v>0</v>
      </c>
      <c r="BR138" s="249">
        <f t="shared" si="68"/>
        <v>0</v>
      </c>
      <c r="BS138" s="249">
        <f t="shared" si="68"/>
        <v>0</v>
      </c>
      <c r="BT138" s="249">
        <f t="shared" si="68"/>
        <v>0</v>
      </c>
      <c r="BU138" s="249">
        <f t="shared" si="68"/>
        <v>0</v>
      </c>
      <c r="BV138" s="249">
        <f t="shared" si="68"/>
        <v>0</v>
      </c>
      <c r="BW138" s="249">
        <f t="shared" si="68"/>
        <v>0</v>
      </c>
      <c r="BX138" s="249" t="e">
        <f t="shared" si="68"/>
        <v>#REF!</v>
      </c>
    </row>
    <row r="139" spans="3:76" hidden="1" x14ac:dyDescent="0.2">
      <c r="C139" s="244"/>
      <c r="D139" s="250" t="s">
        <v>309</v>
      </c>
      <c r="E139" s="254">
        <f>E138</f>
        <v>0</v>
      </c>
      <c r="F139" s="254">
        <f t="shared" ref="F139:BX139" si="69">E139+F138</f>
        <v>0</v>
      </c>
      <c r="G139" s="254">
        <f t="shared" si="69"/>
        <v>0</v>
      </c>
      <c r="H139" s="254">
        <f t="shared" si="69"/>
        <v>0</v>
      </c>
      <c r="I139" s="254">
        <f t="shared" si="69"/>
        <v>0</v>
      </c>
      <c r="J139" s="254">
        <f t="shared" si="69"/>
        <v>0</v>
      </c>
      <c r="K139" s="254">
        <f t="shared" si="69"/>
        <v>0</v>
      </c>
      <c r="L139" s="254">
        <f t="shared" si="69"/>
        <v>0</v>
      </c>
      <c r="M139" s="254">
        <f t="shared" si="69"/>
        <v>0</v>
      </c>
      <c r="N139" s="254">
        <f t="shared" si="69"/>
        <v>0</v>
      </c>
      <c r="O139" s="254">
        <f t="shared" si="69"/>
        <v>0</v>
      </c>
      <c r="P139" s="254">
        <f t="shared" si="69"/>
        <v>0</v>
      </c>
      <c r="Q139" s="254">
        <f t="shared" si="69"/>
        <v>0</v>
      </c>
      <c r="R139" s="254">
        <f t="shared" si="69"/>
        <v>0</v>
      </c>
      <c r="S139" s="254">
        <f t="shared" si="69"/>
        <v>0</v>
      </c>
      <c r="T139" s="254">
        <f t="shared" si="69"/>
        <v>0</v>
      </c>
      <c r="U139" s="254">
        <f t="shared" si="69"/>
        <v>0</v>
      </c>
      <c r="V139" s="255">
        <f t="shared" si="69"/>
        <v>0</v>
      </c>
      <c r="W139" s="255">
        <f t="shared" si="69"/>
        <v>0</v>
      </c>
      <c r="X139" s="255">
        <f t="shared" si="69"/>
        <v>0</v>
      </c>
      <c r="Y139" s="255">
        <f t="shared" si="69"/>
        <v>0</v>
      </c>
      <c r="Z139" s="255">
        <f t="shared" si="69"/>
        <v>0</v>
      </c>
      <c r="AA139" s="255">
        <f t="shared" si="69"/>
        <v>0</v>
      </c>
      <c r="AB139" s="255">
        <f t="shared" si="69"/>
        <v>0</v>
      </c>
      <c r="AC139" s="255">
        <f t="shared" si="69"/>
        <v>0</v>
      </c>
      <c r="AD139" s="255">
        <f t="shared" si="69"/>
        <v>0</v>
      </c>
      <c r="AE139" s="255">
        <f t="shared" si="69"/>
        <v>0</v>
      </c>
      <c r="AF139" s="255">
        <f t="shared" si="69"/>
        <v>0</v>
      </c>
      <c r="AG139" s="255">
        <f t="shared" si="69"/>
        <v>0</v>
      </c>
      <c r="AH139" s="255">
        <f t="shared" si="69"/>
        <v>0</v>
      </c>
      <c r="AI139" s="255">
        <f t="shared" si="69"/>
        <v>0</v>
      </c>
      <c r="AJ139" s="255">
        <f t="shared" si="69"/>
        <v>0</v>
      </c>
      <c r="AK139" s="255">
        <f t="shared" si="69"/>
        <v>0</v>
      </c>
      <c r="AL139" s="255">
        <f t="shared" si="69"/>
        <v>0</v>
      </c>
      <c r="AM139" s="255">
        <f t="shared" si="69"/>
        <v>0</v>
      </c>
      <c r="AN139" s="255">
        <f t="shared" si="69"/>
        <v>0</v>
      </c>
      <c r="AO139" s="255">
        <f t="shared" si="69"/>
        <v>0</v>
      </c>
      <c r="AP139" s="255">
        <f t="shared" si="69"/>
        <v>0</v>
      </c>
      <c r="AQ139" s="255">
        <f t="shared" si="69"/>
        <v>0</v>
      </c>
      <c r="AR139" s="255">
        <f t="shared" si="69"/>
        <v>0</v>
      </c>
      <c r="AS139" s="255">
        <f t="shared" si="69"/>
        <v>0</v>
      </c>
      <c r="AT139" s="255">
        <f t="shared" si="69"/>
        <v>0</v>
      </c>
      <c r="AU139" s="255">
        <f t="shared" si="69"/>
        <v>0</v>
      </c>
      <c r="AV139" s="255">
        <f t="shared" si="69"/>
        <v>0</v>
      </c>
      <c r="AW139" s="255">
        <f t="shared" si="69"/>
        <v>0</v>
      </c>
      <c r="AX139" s="255">
        <f t="shared" si="69"/>
        <v>0</v>
      </c>
      <c r="AY139" s="255">
        <f t="shared" si="69"/>
        <v>0</v>
      </c>
      <c r="AZ139" s="255">
        <f t="shared" si="69"/>
        <v>0</v>
      </c>
      <c r="BA139" s="255">
        <f t="shared" si="69"/>
        <v>0</v>
      </c>
      <c r="BB139" s="255">
        <f t="shared" si="69"/>
        <v>0</v>
      </c>
      <c r="BC139" s="254">
        <f t="shared" si="69"/>
        <v>0</v>
      </c>
      <c r="BD139" s="254">
        <f t="shared" si="69"/>
        <v>0</v>
      </c>
      <c r="BE139" s="254">
        <f t="shared" si="69"/>
        <v>0</v>
      </c>
      <c r="BF139" s="254">
        <f t="shared" si="69"/>
        <v>0</v>
      </c>
      <c r="BG139" s="254">
        <f t="shared" si="69"/>
        <v>0</v>
      </c>
      <c r="BH139" s="254">
        <f t="shared" si="69"/>
        <v>0</v>
      </c>
      <c r="BI139" s="254">
        <f t="shared" si="69"/>
        <v>0</v>
      </c>
      <c r="BJ139" s="254">
        <f t="shared" si="69"/>
        <v>0</v>
      </c>
      <c r="BK139" s="254">
        <f t="shared" si="69"/>
        <v>0</v>
      </c>
      <c r="BL139" s="254">
        <f t="shared" si="69"/>
        <v>0</v>
      </c>
      <c r="BM139" s="254">
        <f t="shared" si="69"/>
        <v>0</v>
      </c>
      <c r="BN139" s="254">
        <f t="shared" si="69"/>
        <v>0</v>
      </c>
      <c r="BO139" s="254">
        <f t="shared" si="69"/>
        <v>0</v>
      </c>
      <c r="BP139" s="254">
        <f t="shared" si="69"/>
        <v>0</v>
      </c>
      <c r="BQ139" s="254">
        <f t="shared" si="69"/>
        <v>0</v>
      </c>
      <c r="BR139" s="254">
        <f t="shared" si="69"/>
        <v>0</v>
      </c>
      <c r="BS139" s="254">
        <f t="shared" si="69"/>
        <v>0</v>
      </c>
      <c r="BT139" s="254">
        <f t="shared" si="69"/>
        <v>0</v>
      </c>
      <c r="BU139" s="254">
        <f t="shared" si="69"/>
        <v>0</v>
      </c>
      <c r="BV139" s="254">
        <f t="shared" si="69"/>
        <v>0</v>
      </c>
      <c r="BW139" s="254">
        <f t="shared" si="69"/>
        <v>0</v>
      </c>
      <c r="BX139" s="254" t="e">
        <f t="shared" si="69"/>
        <v>#REF!</v>
      </c>
    </row>
    <row r="140" spans="3:76" hidden="1" x14ac:dyDescent="0.2">
      <c r="C140" s="243" t="s">
        <v>302</v>
      </c>
      <c r="D140" s="250" t="e">
        <f>IRR(E138:BX138)*12</f>
        <v>#VALUE!</v>
      </c>
      <c r="E140" s="168"/>
      <c r="F140" s="168"/>
      <c r="G140" s="168"/>
      <c r="H140" s="168"/>
      <c r="I140" s="168"/>
      <c r="J140" s="168"/>
      <c r="K140" s="168"/>
      <c r="L140" s="168"/>
      <c r="M140" s="168"/>
      <c r="N140" s="168"/>
      <c r="O140" s="168"/>
      <c r="P140" s="168"/>
      <c r="Q140" s="168"/>
      <c r="R140" s="168"/>
      <c r="S140" s="168"/>
      <c r="T140" s="168"/>
      <c r="U140" s="168"/>
      <c r="V140" s="168"/>
      <c r="W140" s="168"/>
      <c r="X140" s="168"/>
      <c r="Y140" s="168"/>
      <c r="Z140" s="168"/>
      <c r="AA140" s="168"/>
      <c r="AB140" s="168"/>
      <c r="AC140" s="168"/>
      <c r="AD140" s="168"/>
      <c r="AE140" s="168"/>
      <c r="AF140" s="168"/>
      <c r="AG140" s="168"/>
      <c r="AH140" s="168"/>
      <c r="AI140" s="168"/>
      <c r="AJ140" s="168"/>
      <c r="AK140" s="168"/>
      <c r="AL140" s="168"/>
      <c r="AM140" s="168"/>
      <c r="AN140" s="168"/>
      <c r="AO140" s="168"/>
      <c r="AP140" s="168"/>
      <c r="AQ140" s="168"/>
      <c r="AR140" s="168"/>
      <c r="AS140" s="168"/>
      <c r="AT140" s="168"/>
      <c r="AU140" s="168"/>
      <c r="AV140" s="168"/>
      <c r="AW140" s="168"/>
      <c r="AX140" s="168"/>
      <c r="AY140" s="168"/>
      <c r="AZ140" s="168"/>
      <c r="BA140" s="168"/>
      <c r="BB140" s="168"/>
      <c r="BC140" s="168"/>
      <c r="BD140" s="168"/>
      <c r="BE140" s="168"/>
      <c r="BF140" s="168"/>
      <c r="BG140" s="168"/>
      <c r="BH140" s="168"/>
      <c r="BI140" s="168"/>
      <c r="BJ140" s="168"/>
      <c r="BK140" s="168"/>
      <c r="BL140" s="168"/>
      <c r="BM140" s="168"/>
      <c r="BN140" s="168"/>
      <c r="BO140" s="168"/>
      <c r="BP140" s="168"/>
      <c r="BQ140" s="168"/>
      <c r="BR140" s="168"/>
      <c r="BS140" s="168"/>
      <c r="BT140" s="168"/>
      <c r="BU140" s="168"/>
      <c r="BV140" s="168"/>
      <c r="BW140" s="168"/>
      <c r="BX140" s="168"/>
    </row>
    <row r="141" spans="3:76" hidden="1" x14ac:dyDescent="0.2">
      <c r="C141" s="251" t="s">
        <v>303</v>
      </c>
      <c r="D141" s="252">
        <f>-MIN(M139:BL139) - D142</f>
        <v>0</v>
      </c>
      <c r="E141" s="168"/>
      <c r="F141" s="168"/>
      <c r="G141" s="168"/>
      <c r="H141" s="168"/>
      <c r="I141" s="168"/>
      <c r="J141" s="168"/>
      <c r="K141" s="168"/>
      <c r="L141" s="168"/>
      <c r="M141" s="168"/>
      <c r="N141" s="168"/>
      <c r="O141" s="168"/>
      <c r="P141" s="168"/>
      <c r="Q141" s="168"/>
      <c r="R141" s="168"/>
      <c r="S141" s="168"/>
      <c r="T141" s="168"/>
      <c r="U141" s="168"/>
      <c r="V141" s="168"/>
      <c r="W141" s="168"/>
      <c r="X141" s="168"/>
      <c r="Y141" s="168"/>
      <c r="Z141" s="168"/>
      <c r="AA141" s="168"/>
      <c r="AB141" s="168"/>
      <c r="AC141" s="168"/>
      <c r="AD141" s="168"/>
      <c r="AE141" s="168"/>
      <c r="AF141" s="168"/>
      <c r="AG141" s="168"/>
      <c r="AH141" s="168"/>
      <c r="AI141" s="168"/>
      <c r="AJ141" s="168"/>
      <c r="AK141" s="168"/>
      <c r="AL141" s="168"/>
      <c r="AM141" s="168"/>
      <c r="AN141" s="168"/>
      <c r="AO141" s="168"/>
      <c r="AP141" s="168"/>
      <c r="AQ141" s="168"/>
      <c r="AR141" s="168"/>
      <c r="AS141" s="168"/>
      <c r="AT141" s="168"/>
      <c r="AU141" s="168"/>
      <c r="AV141" s="168"/>
      <c r="AW141" s="168"/>
      <c r="AX141" s="168"/>
      <c r="AY141" s="168"/>
      <c r="AZ141" s="168"/>
      <c r="BA141" s="168"/>
      <c r="BB141" s="168"/>
      <c r="BC141" s="168"/>
      <c r="BD141" s="168"/>
      <c r="BE141" s="168"/>
      <c r="BF141" s="168"/>
      <c r="BG141" s="168"/>
      <c r="BH141" s="168"/>
      <c r="BI141" s="168"/>
      <c r="BJ141" s="168"/>
      <c r="BK141" s="168"/>
      <c r="BL141" s="168"/>
      <c r="BM141" s="168"/>
      <c r="BN141" s="168"/>
      <c r="BO141" s="168"/>
      <c r="BP141" s="168"/>
      <c r="BQ141" s="168"/>
      <c r="BR141" s="168"/>
      <c r="BS141" s="168"/>
      <c r="BT141" s="168"/>
      <c r="BU141" s="168"/>
      <c r="BV141" s="168"/>
      <c r="BW141" s="168"/>
      <c r="BX141" s="168"/>
    </row>
    <row r="142" spans="3:76" hidden="1" x14ac:dyDescent="0.2">
      <c r="C142" s="251" t="s">
        <v>310</v>
      </c>
      <c r="D142" s="252">
        <f>-SUM(M137:BB137)</f>
        <v>0</v>
      </c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8"/>
      <c r="Q142" s="168"/>
      <c r="R142" s="168"/>
      <c r="S142" s="168"/>
      <c r="T142" s="168"/>
      <c r="U142" s="168"/>
      <c r="V142" s="168"/>
      <c r="W142" s="168"/>
      <c r="X142" s="168"/>
      <c r="Y142" s="168"/>
      <c r="Z142" s="168"/>
      <c r="AA142" s="168"/>
      <c r="AB142" s="168"/>
      <c r="AC142" s="168"/>
      <c r="AD142" s="168"/>
      <c r="AE142" s="168"/>
      <c r="AF142" s="168"/>
      <c r="AG142" s="168"/>
      <c r="AH142" s="168"/>
      <c r="AI142" s="168"/>
      <c r="AJ142" s="168"/>
      <c r="AK142" s="168"/>
      <c r="AL142" s="168"/>
      <c r="AM142" s="168"/>
      <c r="AN142" s="168"/>
      <c r="AO142" s="168"/>
      <c r="AP142" s="168"/>
      <c r="AQ142" s="168"/>
      <c r="AR142" s="168"/>
      <c r="AS142" s="168"/>
      <c r="AT142" s="168"/>
      <c r="AU142" s="168"/>
      <c r="AV142" s="168"/>
      <c r="AW142" s="168"/>
      <c r="AX142" s="168"/>
      <c r="AY142" s="168"/>
      <c r="AZ142" s="168"/>
      <c r="BA142" s="168"/>
      <c r="BB142" s="168"/>
      <c r="BC142" s="168"/>
      <c r="BD142" s="168"/>
      <c r="BE142" s="168"/>
      <c r="BF142" s="168"/>
      <c r="BG142" s="168"/>
      <c r="BH142" s="168"/>
      <c r="BI142" s="168"/>
      <c r="BJ142" s="168"/>
      <c r="BK142" s="168"/>
      <c r="BL142" s="168"/>
      <c r="BM142" s="168"/>
      <c r="BN142" s="168"/>
      <c r="BO142" s="168"/>
      <c r="BP142" s="168"/>
      <c r="BQ142" s="168"/>
      <c r="BR142" s="168"/>
      <c r="BS142" s="168"/>
      <c r="BT142" s="168"/>
      <c r="BU142" s="168"/>
      <c r="BV142" s="168"/>
      <c r="BW142" s="168"/>
      <c r="BX142" s="168"/>
    </row>
    <row r="143" spans="3:76" hidden="1" x14ac:dyDescent="0.2">
      <c r="C143" s="243" t="s">
        <v>304</v>
      </c>
      <c r="D143" s="253">
        <f>D142+D141</f>
        <v>0</v>
      </c>
      <c r="E143" s="168"/>
      <c r="F143" s="168"/>
      <c r="G143" s="168"/>
      <c r="H143" s="168"/>
      <c r="I143" s="168"/>
      <c r="J143" s="168"/>
      <c r="K143" s="168"/>
      <c r="L143" s="168"/>
      <c r="M143" s="168"/>
      <c r="N143" s="168"/>
      <c r="O143" s="168"/>
      <c r="P143" s="168"/>
      <c r="Q143" s="168"/>
      <c r="R143" s="168"/>
      <c r="S143" s="168"/>
      <c r="T143" s="168"/>
      <c r="U143" s="168"/>
      <c r="V143" s="168"/>
      <c r="W143" s="168"/>
      <c r="X143" s="168"/>
      <c r="Y143" s="168"/>
      <c r="Z143" s="168"/>
      <c r="AA143" s="168"/>
      <c r="AB143" s="168"/>
      <c r="AC143" s="168"/>
      <c r="AD143" s="168"/>
      <c r="AE143" s="168"/>
      <c r="AF143" s="168"/>
      <c r="AG143" s="168"/>
      <c r="AH143" s="168"/>
      <c r="AI143" s="168"/>
      <c r="AJ143" s="168"/>
      <c r="AK143" s="168"/>
      <c r="AL143" s="168"/>
      <c r="AM143" s="168"/>
      <c r="AN143" s="168"/>
      <c r="AO143" s="168"/>
      <c r="AP143" s="168"/>
      <c r="AQ143" s="168"/>
      <c r="AR143" s="168"/>
      <c r="AS143" s="168"/>
      <c r="AT143" s="168"/>
      <c r="AU143" s="168"/>
      <c r="AV143" s="168"/>
      <c r="AW143" s="168"/>
      <c r="AX143" s="168"/>
      <c r="AY143" s="168"/>
      <c r="AZ143" s="168"/>
      <c r="BA143" s="168"/>
      <c r="BB143" s="168"/>
      <c r="BC143" s="168"/>
      <c r="BD143" s="168"/>
      <c r="BE143" s="168"/>
      <c r="BF143" s="168"/>
      <c r="BG143" s="168"/>
      <c r="BH143" s="168"/>
      <c r="BI143" s="168"/>
      <c r="BJ143" s="168"/>
      <c r="BK143" s="168"/>
      <c r="BL143" s="168"/>
      <c r="BM143" s="168"/>
      <c r="BN143" s="168"/>
      <c r="BO143" s="168"/>
      <c r="BP143" s="168"/>
      <c r="BQ143" s="168"/>
      <c r="BR143" s="168"/>
      <c r="BS143" s="168"/>
      <c r="BT143" s="168"/>
      <c r="BU143" s="168"/>
      <c r="BV143" s="168"/>
      <c r="BW143" s="168"/>
      <c r="BX143" s="168"/>
    </row>
    <row r="144" spans="3:76" hidden="1" x14ac:dyDescent="0.2">
      <c r="C144" s="243" t="s">
        <v>305</v>
      </c>
      <c r="D144" s="253" t="e">
        <f>BX135+BX136</f>
        <v>#REF!</v>
      </c>
      <c r="E144" s="168"/>
      <c r="F144" s="168"/>
      <c r="G144" s="168"/>
      <c r="H144" s="168"/>
      <c r="I144" s="168"/>
      <c r="J144" s="168"/>
      <c r="K144" s="168"/>
      <c r="L144" s="168"/>
      <c r="M144" s="168"/>
      <c r="N144" s="168"/>
      <c r="O144" s="168"/>
      <c r="P144" s="168"/>
      <c r="Q144" s="168"/>
      <c r="R144" s="168"/>
      <c r="S144" s="168"/>
      <c r="T144" s="168"/>
      <c r="U144" s="168"/>
      <c r="V144" s="168"/>
      <c r="W144" s="168"/>
      <c r="X144" s="168"/>
      <c r="Y144" s="168"/>
      <c r="Z144" s="168"/>
      <c r="AA144" s="168"/>
      <c r="AB144" s="168"/>
      <c r="AC144" s="168"/>
      <c r="AD144" s="168"/>
      <c r="AE144" s="168"/>
      <c r="AF144" s="168"/>
      <c r="AG144" s="168"/>
      <c r="AH144" s="168"/>
      <c r="AI144" s="168"/>
      <c r="AJ144" s="168"/>
      <c r="AK144" s="168"/>
      <c r="AL144" s="168"/>
      <c r="AM144" s="168"/>
      <c r="AN144" s="168"/>
      <c r="AO144" s="168"/>
      <c r="AP144" s="168"/>
      <c r="AQ144" s="168"/>
      <c r="AR144" s="168"/>
      <c r="AS144" s="168"/>
      <c r="AT144" s="168"/>
      <c r="AU144" s="168"/>
      <c r="AV144" s="168"/>
      <c r="AW144" s="168"/>
      <c r="AX144" s="168"/>
      <c r="AY144" s="168"/>
      <c r="AZ144" s="168"/>
      <c r="BA144" s="168"/>
      <c r="BB144" s="168"/>
      <c r="BC144" s="168"/>
      <c r="BD144" s="168"/>
      <c r="BE144" s="168"/>
      <c r="BF144" s="168"/>
      <c r="BG144" s="168"/>
      <c r="BH144" s="168"/>
      <c r="BI144" s="168"/>
      <c r="BJ144" s="168"/>
      <c r="BK144" s="168"/>
      <c r="BL144" s="168"/>
      <c r="BM144" s="168"/>
      <c r="BN144" s="168"/>
      <c r="BO144" s="168"/>
      <c r="BP144" s="168"/>
      <c r="BQ144" s="168"/>
      <c r="BR144" s="168"/>
      <c r="BS144" s="168"/>
      <c r="BT144" s="168"/>
      <c r="BU144" s="168"/>
      <c r="BV144" s="168"/>
      <c r="BW144" s="168"/>
      <c r="BX144" s="168"/>
    </row>
    <row r="145" spans="3:76" hidden="1" x14ac:dyDescent="0.2">
      <c r="C145" s="243" t="s">
        <v>306</v>
      </c>
      <c r="D145" s="250" t="e">
        <f>(D144-D142)/D143</f>
        <v>#REF!</v>
      </c>
      <c r="E145" s="168"/>
      <c r="F145" s="168"/>
      <c r="G145" s="168"/>
      <c r="H145" s="168"/>
      <c r="I145" s="168"/>
      <c r="J145" s="168"/>
      <c r="K145" s="168"/>
      <c r="L145" s="168"/>
      <c r="M145" s="168"/>
      <c r="N145" s="168"/>
      <c r="O145" s="168"/>
      <c r="P145" s="168"/>
      <c r="Q145" s="168"/>
      <c r="R145" s="168"/>
      <c r="S145" s="168"/>
      <c r="T145" s="168"/>
      <c r="U145" s="168"/>
      <c r="V145" s="168"/>
      <c r="W145" s="168"/>
      <c r="X145" s="168"/>
      <c r="Y145" s="168"/>
      <c r="Z145" s="168"/>
      <c r="AA145" s="168"/>
      <c r="AB145" s="168"/>
      <c r="AC145" s="168"/>
      <c r="AD145" s="168"/>
      <c r="AE145" s="168"/>
      <c r="AF145" s="168"/>
      <c r="AG145" s="168"/>
      <c r="AH145" s="168"/>
      <c r="AI145" s="168"/>
      <c r="AJ145" s="168"/>
      <c r="AK145" s="168"/>
      <c r="AL145" s="168"/>
      <c r="AM145" s="168"/>
      <c r="AN145" s="168"/>
      <c r="AO145" s="168"/>
      <c r="AP145" s="168"/>
      <c r="AQ145" s="168"/>
      <c r="AR145" s="168"/>
      <c r="AS145" s="168"/>
      <c r="AT145" s="168"/>
      <c r="AU145" s="168"/>
      <c r="AV145" s="168"/>
      <c r="AW145" s="168"/>
      <c r="AX145" s="168"/>
      <c r="AY145" s="168"/>
      <c r="AZ145" s="168"/>
      <c r="BA145" s="168"/>
      <c r="BB145" s="168"/>
      <c r="BC145" s="168"/>
      <c r="BD145" s="168"/>
      <c r="BE145" s="168"/>
      <c r="BF145" s="168"/>
      <c r="BG145" s="168"/>
      <c r="BH145" s="168"/>
      <c r="BI145" s="168"/>
      <c r="BJ145" s="168"/>
      <c r="BK145" s="168"/>
      <c r="BL145" s="168"/>
      <c r="BM145" s="168"/>
      <c r="BN145" s="168"/>
      <c r="BO145" s="168"/>
      <c r="BP145" s="168"/>
      <c r="BQ145" s="168"/>
      <c r="BR145" s="168"/>
      <c r="BS145" s="168"/>
      <c r="BT145" s="168"/>
      <c r="BU145" s="168"/>
      <c r="BV145" s="168"/>
      <c r="BW145" s="168"/>
      <c r="BX145" s="168"/>
    </row>
  </sheetData>
  <mergeCells count="30">
    <mergeCell ref="E2:P2"/>
    <mergeCell ref="Q2:AB2"/>
    <mergeCell ref="AC2:AN2"/>
    <mergeCell ref="AO2:AZ2"/>
    <mergeCell ref="B96:C96"/>
    <mergeCell ref="B97:C97"/>
    <mergeCell ref="B2:C4"/>
    <mergeCell ref="B5:B8"/>
    <mergeCell ref="B9:B11"/>
    <mergeCell ref="B12:B16"/>
    <mergeCell ref="B17:C17"/>
    <mergeCell ref="B18:B94"/>
    <mergeCell ref="B95:C95"/>
    <mergeCell ref="BY87:BZ87"/>
    <mergeCell ref="BZ88:BZ94"/>
    <mergeCell ref="BY95:BZ95"/>
    <mergeCell ref="BY96:BZ96"/>
    <mergeCell ref="BZ5:BZ8"/>
    <mergeCell ref="BZ9:BZ11"/>
    <mergeCell ref="BY17:BZ17"/>
    <mergeCell ref="BA2:BL2"/>
    <mergeCell ref="BY2:BZ4"/>
    <mergeCell ref="BZ12:BZ16"/>
    <mergeCell ref="BZ18:BZ86"/>
    <mergeCell ref="CC18:CC86"/>
    <mergeCell ref="CC5:CC8"/>
    <mergeCell ref="CC9:CC11"/>
    <mergeCell ref="CC12:CC16"/>
    <mergeCell ref="CB17:CC17"/>
    <mergeCell ref="BM2:BX2"/>
  </mergeCells>
  <conditionalFormatting sqref="E18:BX18 E24:BX24 E30:BX30 E37:BX37 E46:BX46 E52:BX52 E60:BX60 E84:BX84 E87:BX87">
    <cfRule type="cellIs" dxfId="8" priority="1" operator="equal">
      <formula>0</formula>
    </cfRule>
  </conditionalFormatting>
  <conditionalFormatting sqref="F101:BS104 E102 BT102:BX102 E104 BT104:BX104 E116 M116:BX116 F116:L119 E118 M118:BX118 E135:BX135">
    <cfRule type="cellIs" dxfId="7" priority="2" operator="equal">
      <formula>0</formula>
    </cfRule>
  </conditionalFormatting>
  <dataValidations count="1">
    <dataValidation type="list" allowBlank="1" showErrorMessage="1" sqref="CB4" xr:uid="{00000000-0002-0000-0600-000000000000}">
      <formula1>$D$3:$BX$3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B2:T79"/>
  <sheetViews>
    <sheetView topLeftCell="A17" workbookViewId="0">
      <selection activeCell="C8" sqref="C8"/>
    </sheetView>
  </sheetViews>
  <sheetFormatPr baseColWidth="10" defaultColWidth="12.6640625" defaultRowHeight="15" customHeight="1" x14ac:dyDescent="0.15"/>
  <sheetData>
    <row r="2" spans="2:20" ht="14" x14ac:dyDescent="0.15">
      <c r="B2" s="529" t="s">
        <v>312</v>
      </c>
      <c r="C2" s="469"/>
      <c r="D2" s="469"/>
      <c r="E2" s="469"/>
      <c r="G2" s="529" t="s">
        <v>313</v>
      </c>
      <c r="H2" s="469"/>
      <c r="I2" s="469"/>
      <c r="J2" s="469"/>
      <c r="L2" s="529" t="s">
        <v>314</v>
      </c>
      <c r="M2" s="469"/>
      <c r="N2" s="469"/>
      <c r="O2" s="469"/>
      <c r="Q2" s="529" t="s">
        <v>315</v>
      </c>
      <c r="R2" s="469"/>
      <c r="S2" s="469"/>
      <c r="T2" s="469"/>
    </row>
    <row r="3" spans="2:20" ht="15" customHeight="1" x14ac:dyDescent="0.15">
      <c r="B3" s="469"/>
      <c r="C3" s="469"/>
      <c r="D3" s="469"/>
      <c r="E3" s="469"/>
      <c r="G3" s="469"/>
      <c r="H3" s="469"/>
      <c r="I3" s="469"/>
      <c r="J3" s="469"/>
      <c r="L3" s="469"/>
      <c r="M3" s="469"/>
      <c r="N3" s="469"/>
      <c r="O3" s="469"/>
      <c r="Q3" s="469"/>
      <c r="R3" s="469"/>
      <c r="S3" s="469"/>
      <c r="T3" s="469"/>
    </row>
    <row r="7" spans="2:20" ht="15" customHeight="1" x14ac:dyDescent="0.15">
      <c r="B7" s="256" t="s">
        <v>316</v>
      </c>
      <c r="C7" s="257" t="s">
        <v>317</v>
      </c>
      <c r="D7" s="258" t="s">
        <v>284</v>
      </c>
      <c r="E7" s="259" t="s">
        <v>318</v>
      </c>
      <c r="G7" s="256" t="s">
        <v>316</v>
      </c>
      <c r="H7" s="257" t="s">
        <v>317</v>
      </c>
      <c r="I7" s="258" t="s">
        <v>284</v>
      </c>
      <c r="J7" s="259" t="s">
        <v>318</v>
      </c>
      <c r="L7" s="256" t="s">
        <v>316</v>
      </c>
      <c r="M7" s="257" t="s">
        <v>317</v>
      </c>
      <c r="N7" s="258" t="s">
        <v>284</v>
      </c>
      <c r="O7" s="259" t="s">
        <v>318</v>
      </c>
      <c r="Q7" s="256" t="s">
        <v>316</v>
      </c>
      <c r="R7" s="257" t="s">
        <v>317</v>
      </c>
      <c r="S7" s="258" t="s">
        <v>284</v>
      </c>
      <c r="T7" s="259" t="s">
        <v>318</v>
      </c>
    </row>
    <row r="8" spans="2:20" ht="15" customHeight="1" x14ac:dyDescent="0.15">
      <c r="B8" s="260">
        <v>45292</v>
      </c>
      <c r="C8" s="261">
        <f t="array" ref="C8:C79">TRANSPOSE('Cash-flow'!E100:BX100)</f>
        <v>0</v>
      </c>
      <c r="D8" s="262">
        <f>0-C8</f>
        <v>0</v>
      </c>
      <c r="E8" s="263">
        <f>D8*'Cash-flow'!$D$53/12</f>
        <v>0</v>
      </c>
      <c r="G8" s="260">
        <v>45292</v>
      </c>
      <c r="H8" s="264" t="e">
        <f t="array" ref="H8:H79">TRANSPOSE('Cash-flow'!#REF!)</f>
        <v>#REF!</v>
      </c>
      <c r="I8" s="262" t="e">
        <f>0-H8</f>
        <v>#REF!</v>
      </c>
      <c r="J8" s="263" t="e">
        <f>I8*'Cash-flow'!$D$54/12</f>
        <v>#REF!</v>
      </c>
      <c r="L8" s="260">
        <v>45292</v>
      </c>
      <c r="M8" s="264">
        <f t="array" ref="M8:M79">TRANSPOSE('Cash-flow'!E116:BX116)</f>
        <v>0</v>
      </c>
      <c r="N8" s="262">
        <f>0-M8</f>
        <v>0</v>
      </c>
      <c r="O8" s="263">
        <f>N8*'Cash-flow'!$D$55/12</f>
        <v>0</v>
      </c>
      <c r="Q8" s="260">
        <v>45292</v>
      </c>
      <c r="R8" s="261">
        <f t="array" ref="R8:R79">TRANSPOSE('Cash-flow'!E133:BX133)</f>
        <v>0</v>
      </c>
      <c r="S8" s="262">
        <f>0-R8</f>
        <v>0</v>
      </c>
      <c r="T8" s="263">
        <f>S8*'Cash-flow'!$D$56/12</f>
        <v>0</v>
      </c>
    </row>
    <row r="9" spans="2:20" ht="14" x14ac:dyDescent="0.15">
      <c r="B9" s="265">
        <v>45323</v>
      </c>
      <c r="C9" s="261">
        <v>0</v>
      </c>
      <c r="D9" s="262">
        <f t="shared" ref="D9:D78" si="0">D8-C9</f>
        <v>0</v>
      </c>
      <c r="E9" s="263">
        <f>D9*'Cash-flow'!$D$53/12</f>
        <v>0</v>
      </c>
      <c r="G9" s="265">
        <v>45323</v>
      </c>
      <c r="H9" s="261" t="e">
        <v>#REF!</v>
      </c>
      <c r="I9" s="262" t="e">
        <f t="shared" ref="I9:I78" si="1">I8-H9</f>
        <v>#REF!</v>
      </c>
      <c r="J9" s="263" t="e">
        <f>I9*'Cash-flow'!$D$54/12</f>
        <v>#REF!</v>
      </c>
      <c r="L9" s="265">
        <v>45323</v>
      </c>
      <c r="M9" s="261">
        <v>0</v>
      </c>
      <c r="N9" s="262">
        <f t="shared" ref="N9:N78" si="2">N8-M9</f>
        <v>0</v>
      </c>
      <c r="O9" s="263">
        <f>N9*'Cash-flow'!$D$55/12</f>
        <v>0</v>
      </c>
      <c r="Q9" s="265">
        <v>45323</v>
      </c>
      <c r="R9" s="261">
        <v>0</v>
      </c>
      <c r="S9" s="262">
        <f t="shared" ref="S9:S78" si="3">S8-R9</f>
        <v>0</v>
      </c>
      <c r="T9" s="263">
        <f>S9*'Cash-flow'!$D$56/12</f>
        <v>0</v>
      </c>
    </row>
    <row r="10" spans="2:20" ht="14" x14ac:dyDescent="0.15">
      <c r="B10" s="265">
        <v>45352</v>
      </c>
      <c r="C10" s="261">
        <v>0</v>
      </c>
      <c r="D10" s="262">
        <f t="shared" si="0"/>
        <v>0</v>
      </c>
      <c r="E10" s="263">
        <f>D10*'Cash-flow'!$D$53/12</f>
        <v>0</v>
      </c>
      <c r="G10" s="265">
        <v>45352</v>
      </c>
      <c r="H10" s="261" t="e">
        <v>#REF!</v>
      </c>
      <c r="I10" s="262" t="e">
        <f t="shared" si="1"/>
        <v>#REF!</v>
      </c>
      <c r="J10" s="263" t="e">
        <f>I10*'Cash-flow'!$D$54/12</f>
        <v>#REF!</v>
      </c>
      <c r="L10" s="265">
        <v>45352</v>
      </c>
      <c r="M10" s="261">
        <v>0</v>
      </c>
      <c r="N10" s="262">
        <f t="shared" si="2"/>
        <v>0</v>
      </c>
      <c r="O10" s="263">
        <f>N10*'Cash-flow'!$D$55/12</f>
        <v>0</v>
      </c>
      <c r="Q10" s="265">
        <v>45352</v>
      </c>
      <c r="R10" s="261">
        <v>0</v>
      </c>
      <c r="S10" s="262">
        <f t="shared" si="3"/>
        <v>0</v>
      </c>
      <c r="T10" s="263">
        <f>S10*'Cash-flow'!$D$56/12</f>
        <v>0</v>
      </c>
    </row>
    <row r="11" spans="2:20" ht="14" x14ac:dyDescent="0.15">
      <c r="B11" s="265">
        <v>45383</v>
      </c>
      <c r="C11" s="261">
        <v>0</v>
      </c>
      <c r="D11" s="262">
        <f t="shared" si="0"/>
        <v>0</v>
      </c>
      <c r="E11" s="263">
        <f>D11*'Cash-flow'!$D$53/12</f>
        <v>0</v>
      </c>
      <c r="G11" s="265">
        <v>45383</v>
      </c>
      <c r="H11" s="261" t="e">
        <v>#REF!</v>
      </c>
      <c r="I11" s="262" t="e">
        <f t="shared" si="1"/>
        <v>#REF!</v>
      </c>
      <c r="J11" s="263" t="e">
        <f>I11*'Cash-flow'!$D$54/12</f>
        <v>#REF!</v>
      </c>
      <c r="L11" s="265">
        <v>45383</v>
      </c>
      <c r="M11" s="261">
        <v>0</v>
      </c>
      <c r="N11" s="262">
        <f t="shared" si="2"/>
        <v>0</v>
      </c>
      <c r="O11" s="263">
        <f>N11*'Cash-flow'!$D$55/12</f>
        <v>0</v>
      </c>
      <c r="Q11" s="265">
        <v>45383</v>
      </c>
      <c r="R11" s="261">
        <v>0</v>
      </c>
      <c r="S11" s="262">
        <f t="shared" si="3"/>
        <v>0</v>
      </c>
      <c r="T11" s="263">
        <f>S11*'Cash-flow'!$D$56/12</f>
        <v>0</v>
      </c>
    </row>
    <row r="12" spans="2:20" ht="14" x14ac:dyDescent="0.15">
      <c r="B12" s="265">
        <v>45413</v>
      </c>
      <c r="C12" s="261">
        <v>0</v>
      </c>
      <c r="D12" s="262">
        <f t="shared" si="0"/>
        <v>0</v>
      </c>
      <c r="E12" s="263">
        <f>D12*'Cash-flow'!$D$53/12</f>
        <v>0</v>
      </c>
      <c r="G12" s="265">
        <v>45413</v>
      </c>
      <c r="H12" s="261" t="e">
        <v>#REF!</v>
      </c>
      <c r="I12" s="262" t="e">
        <f t="shared" si="1"/>
        <v>#REF!</v>
      </c>
      <c r="J12" s="263" t="e">
        <f>I12*'Cash-flow'!$D$54/12</f>
        <v>#REF!</v>
      </c>
      <c r="L12" s="265">
        <v>45413</v>
      </c>
      <c r="M12" s="261">
        <v>0</v>
      </c>
      <c r="N12" s="262">
        <f t="shared" si="2"/>
        <v>0</v>
      </c>
      <c r="O12" s="263">
        <f>N12*'Cash-flow'!$D$55/12</f>
        <v>0</v>
      </c>
      <c r="Q12" s="265">
        <v>45413</v>
      </c>
      <c r="R12" s="261">
        <v>0</v>
      </c>
      <c r="S12" s="262">
        <f t="shared" si="3"/>
        <v>0</v>
      </c>
      <c r="T12" s="263">
        <f>S12*'Cash-flow'!$D$56/12</f>
        <v>0</v>
      </c>
    </row>
    <row r="13" spans="2:20" ht="14" x14ac:dyDescent="0.15">
      <c r="B13" s="266">
        <v>45444</v>
      </c>
      <c r="C13" s="261">
        <v>0</v>
      </c>
      <c r="D13" s="262">
        <f t="shared" si="0"/>
        <v>0</v>
      </c>
      <c r="E13" s="263">
        <f>D13*'Cash-flow'!$D$53/12</f>
        <v>0</v>
      </c>
      <c r="G13" s="266">
        <v>45444</v>
      </c>
      <c r="H13" s="261" t="e">
        <v>#REF!</v>
      </c>
      <c r="I13" s="262" t="e">
        <f t="shared" si="1"/>
        <v>#REF!</v>
      </c>
      <c r="J13" s="263" t="e">
        <f>I13*'Cash-flow'!$D$54/12</f>
        <v>#REF!</v>
      </c>
      <c r="L13" s="266">
        <v>45444</v>
      </c>
      <c r="M13" s="261">
        <v>0</v>
      </c>
      <c r="N13" s="262">
        <f t="shared" si="2"/>
        <v>0</v>
      </c>
      <c r="O13" s="263">
        <f>N13*'Cash-flow'!$D$55/12</f>
        <v>0</v>
      </c>
      <c r="Q13" s="266">
        <v>45444</v>
      </c>
      <c r="R13" s="261">
        <v>0</v>
      </c>
      <c r="S13" s="262">
        <f t="shared" si="3"/>
        <v>0</v>
      </c>
      <c r="T13" s="263">
        <f>S13*'Cash-flow'!$D$56/12</f>
        <v>0</v>
      </c>
    </row>
    <row r="14" spans="2:20" ht="14" x14ac:dyDescent="0.15">
      <c r="B14" s="265">
        <v>45474</v>
      </c>
      <c r="C14" s="261">
        <v>0</v>
      </c>
      <c r="D14" s="262">
        <f t="shared" si="0"/>
        <v>0</v>
      </c>
      <c r="E14" s="263">
        <f>D14*'Cash-flow'!$D$53/12</f>
        <v>0</v>
      </c>
      <c r="G14" s="265">
        <v>45474</v>
      </c>
      <c r="H14" s="261" t="e">
        <v>#REF!</v>
      </c>
      <c r="I14" s="262" t="e">
        <f t="shared" si="1"/>
        <v>#REF!</v>
      </c>
      <c r="J14" s="263" t="e">
        <f>I14*'Cash-flow'!$D$54/12</f>
        <v>#REF!</v>
      </c>
      <c r="L14" s="265">
        <v>45474</v>
      </c>
      <c r="M14" s="261">
        <v>0</v>
      </c>
      <c r="N14" s="262">
        <f t="shared" si="2"/>
        <v>0</v>
      </c>
      <c r="O14" s="263">
        <f>N14*'Cash-flow'!$D$55/12</f>
        <v>0</v>
      </c>
      <c r="Q14" s="265">
        <v>45474</v>
      </c>
      <c r="R14" s="261">
        <v>0</v>
      </c>
      <c r="S14" s="262">
        <f t="shared" si="3"/>
        <v>0</v>
      </c>
      <c r="T14" s="263">
        <f>S14*'Cash-flow'!$D$56/12</f>
        <v>0</v>
      </c>
    </row>
    <row r="15" spans="2:20" ht="14" x14ac:dyDescent="0.15">
      <c r="B15" s="265">
        <v>45505</v>
      </c>
      <c r="C15" s="261">
        <v>0</v>
      </c>
      <c r="D15" s="262">
        <f t="shared" si="0"/>
        <v>0</v>
      </c>
      <c r="E15" s="263">
        <f>D15*'Cash-flow'!$D$53/12</f>
        <v>0</v>
      </c>
      <c r="G15" s="265">
        <v>45505</v>
      </c>
      <c r="H15" s="261" t="e">
        <v>#REF!</v>
      </c>
      <c r="I15" s="262" t="e">
        <f t="shared" si="1"/>
        <v>#REF!</v>
      </c>
      <c r="J15" s="263" t="e">
        <f>I15*'Cash-flow'!$D$54/12</f>
        <v>#REF!</v>
      </c>
      <c r="L15" s="265">
        <v>45505</v>
      </c>
      <c r="M15" s="261">
        <v>0</v>
      </c>
      <c r="N15" s="262">
        <f t="shared" si="2"/>
        <v>0</v>
      </c>
      <c r="O15" s="263">
        <f>N15*'Cash-flow'!$D$55/12</f>
        <v>0</v>
      </c>
      <c r="Q15" s="265">
        <v>45505</v>
      </c>
      <c r="R15" s="261">
        <v>0</v>
      </c>
      <c r="S15" s="262">
        <f t="shared" si="3"/>
        <v>0</v>
      </c>
      <c r="T15" s="263">
        <f>S15*'Cash-flow'!$D$56/12</f>
        <v>0</v>
      </c>
    </row>
    <row r="16" spans="2:20" ht="14" x14ac:dyDescent="0.15">
      <c r="B16" s="265">
        <v>45536</v>
      </c>
      <c r="C16" s="261">
        <v>0</v>
      </c>
      <c r="D16" s="262">
        <f t="shared" si="0"/>
        <v>0</v>
      </c>
      <c r="E16" s="263">
        <f>D16*'Cash-flow'!$D$53/12</f>
        <v>0</v>
      </c>
      <c r="G16" s="265">
        <v>45536</v>
      </c>
      <c r="H16" s="261" t="e">
        <v>#REF!</v>
      </c>
      <c r="I16" s="262" t="e">
        <f t="shared" si="1"/>
        <v>#REF!</v>
      </c>
      <c r="J16" s="263" t="e">
        <f>I16*'Cash-flow'!$D$54/12</f>
        <v>#REF!</v>
      </c>
      <c r="L16" s="265">
        <v>45536</v>
      </c>
      <c r="M16" s="261">
        <v>0</v>
      </c>
      <c r="N16" s="262">
        <f t="shared" si="2"/>
        <v>0</v>
      </c>
      <c r="O16" s="263">
        <f>N16*'Cash-flow'!$D$55/12</f>
        <v>0</v>
      </c>
      <c r="Q16" s="265">
        <v>45536</v>
      </c>
      <c r="R16" s="261">
        <v>0</v>
      </c>
      <c r="S16" s="262">
        <f t="shared" si="3"/>
        <v>0</v>
      </c>
      <c r="T16" s="263">
        <f>S16*'Cash-flow'!$D$56/12</f>
        <v>0</v>
      </c>
    </row>
    <row r="17" spans="2:20" ht="14" x14ac:dyDescent="0.15">
      <c r="B17" s="265">
        <v>45566</v>
      </c>
      <c r="C17" s="261">
        <v>0</v>
      </c>
      <c r="D17" s="262">
        <f t="shared" si="0"/>
        <v>0</v>
      </c>
      <c r="E17" s="263">
        <f>D17*'Cash-flow'!$D$53/12</f>
        <v>0</v>
      </c>
      <c r="G17" s="265">
        <v>45566</v>
      </c>
      <c r="H17" s="261" t="e">
        <v>#REF!</v>
      </c>
      <c r="I17" s="262" t="e">
        <f t="shared" si="1"/>
        <v>#REF!</v>
      </c>
      <c r="J17" s="263" t="e">
        <f>I17*'Cash-flow'!$D$54/12</f>
        <v>#REF!</v>
      </c>
      <c r="L17" s="265">
        <v>45566</v>
      </c>
      <c r="M17" s="261">
        <v>0</v>
      </c>
      <c r="N17" s="262">
        <f t="shared" si="2"/>
        <v>0</v>
      </c>
      <c r="O17" s="263">
        <f>N17*'Cash-flow'!$D$55/12</f>
        <v>0</v>
      </c>
      <c r="Q17" s="265">
        <v>45566</v>
      </c>
      <c r="R17" s="261">
        <v>0</v>
      </c>
      <c r="S17" s="262">
        <f t="shared" si="3"/>
        <v>0</v>
      </c>
      <c r="T17" s="263">
        <f>S17*'Cash-flow'!$D$56/12</f>
        <v>0</v>
      </c>
    </row>
    <row r="18" spans="2:20" ht="14" x14ac:dyDescent="0.15">
      <c r="B18" s="265">
        <v>45597</v>
      </c>
      <c r="C18" s="261">
        <v>0</v>
      </c>
      <c r="D18" s="262">
        <f t="shared" si="0"/>
        <v>0</v>
      </c>
      <c r="E18" s="263">
        <f>D18*'Cash-flow'!$D$53/12</f>
        <v>0</v>
      </c>
      <c r="G18" s="265">
        <v>45597</v>
      </c>
      <c r="H18" s="261" t="e">
        <v>#REF!</v>
      </c>
      <c r="I18" s="262" t="e">
        <f t="shared" si="1"/>
        <v>#REF!</v>
      </c>
      <c r="J18" s="263" t="e">
        <f>I18*'Cash-flow'!$D$54/12</f>
        <v>#REF!</v>
      </c>
      <c r="L18" s="265">
        <v>45597</v>
      </c>
      <c r="M18" s="261">
        <v>0</v>
      </c>
      <c r="N18" s="262">
        <f t="shared" si="2"/>
        <v>0</v>
      </c>
      <c r="O18" s="263">
        <f>N18*'Cash-flow'!$D$55/12</f>
        <v>0</v>
      </c>
      <c r="Q18" s="265">
        <v>45597</v>
      </c>
      <c r="R18" s="261">
        <v>0</v>
      </c>
      <c r="S18" s="262">
        <f t="shared" si="3"/>
        <v>0</v>
      </c>
      <c r="T18" s="263">
        <f>S18*'Cash-flow'!$D$56/12</f>
        <v>0</v>
      </c>
    </row>
    <row r="19" spans="2:20" ht="14" x14ac:dyDescent="0.15">
      <c r="B19" s="265">
        <v>45627</v>
      </c>
      <c r="C19" s="261">
        <v>0</v>
      </c>
      <c r="D19" s="262">
        <f t="shared" si="0"/>
        <v>0</v>
      </c>
      <c r="E19" s="263">
        <f>D19*'Cash-flow'!$D$53/12</f>
        <v>0</v>
      </c>
      <c r="G19" s="265">
        <v>45627</v>
      </c>
      <c r="H19" s="261" t="e">
        <v>#REF!</v>
      </c>
      <c r="I19" s="262" t="e">
        <f t="shared" si="1"/>
        <v>#REF!</v>
      </c>
      <c r="J19" s="263" t="e">
        <f>I19*'Cash-flow'!$D$54/12</f>
        <v>#REF!</v>
      </c>
      <c r="L19" s="265">
        <v>45627</v>
      </c>
      <c r="M19" s="261">
        <v>0</v>
      </c>
      <c r="N19" s="262">
        <f t="shared" si="2"/>
        <v>0</v>
      </c>
      <c r="O19" s="263">
        <f>N19*'Cash-flow'!$D$55/12</f>
        <v>0</v>
      </c>
      <c r="Q19" s="265">
        <v>45627</v>
      </c>
      <c r="R19" s="261">
        <v>0</v>
      </c>
      <c r="S19" s="262">
        <f t="shared" si="3"/>
        <v>0</v>
      </c>
      <c r="T19" s="263">
        <f>S19*'Cash-flow'!$D$56/12</f>
        <v>0</v>
      </c>
    </row>
    <row r="20" spans="2:20" ht="14" x14ac:dyDescent="0.15">
      <c r="B20" s="260">
        <v>45658</v>
      </c>
      <c r="C20" s="261">
        <v>-5000000</v>
      </c>
      <c r="D20" s="262">
        <f t="shared" si="0"/>
        <v>5000000</v>
      </c>
      <c r="E20" s="263">
        <f>D20*'Cash-flow'!$D$53/12</f>
        <v>45833.333333333336</v>
      </c>
      <c r="G20" s="260">
        <v>45658</v>
      </c>
      <c r="H20" s="261" t="e">
        <v>#REF!</v>
      </c>
      <c r="I20" s="262" t="e">
        <f t="shared" si="1"/>
        <v>#REF!</v>
      </c>
      <c r="J20" s="263" t="e">
        <f>I20*'Cash-flow'!$D$54/12</f>
        <v>#REF!</v>
      </c>
      <c r="L20" s="260">
        <v>45658</v>
      </c>
      <c r="M20" s="261">
        <v>0</v>
      </c>
      <c r="N20" s="262">
        <f t="shared" si="2"/>
        <v>0</v>
      </c>
      <c r="O20" s="263">
        <f>N20*'Cash-flow'!$D$55/12</f>
        <v>0</v>
      </c>
      <c r="Q20" s="260">
        <v>45658</v>
      </c>
      <c r="R20" s="261">
        <v>0</v>
      </c>
      <c r="S20" s="262">
        <f t="shared" si="3"/>
        <v>0</v>
      </c>
      <c r="T20" s="263">
        <f>S20*'Cash-flow'!$D$56/12</f>
        <v>0</v>
      </c>
    </row>
    <row r="21" spans="2:20" ht="14" x14ac:dyDescent="0.15">
      <c r="B21" s="265">
        <v>45689</v>
      </c>
      <c r="C21" s="261">
        <v>0</v>
      </c>
      <c r="D21" s="262">
        <f t="shared" si="0"/>
        <v>5000000</v>
      </c>
      <c r="E21" s="263">
        <f>D21*'Cash-flow'!$D$53/12</f>
        <v>45833.333333333336</v>
      </c>
      <c r="G21" s="265">
        <v>45689</v>
      </c>
      <c r="H21" s="261" t="e">
        <v>#REF!</v>
      </c>
      <c r="I21" s="262" t="e">
        <f t="shared" si="1"/>
        <v>#REF!</v>
      </c>
      <c r="J21" s="263" t="e">
        <f>I21*'Cash-flow'!$D$54/12</f>
        <v>#REF!</v>
      </c>
      <c r="L21" s="265">
        <v>45689</v>
      </c>
      <c r="M21" s="261">
        <v>0</v>
      </c>
      <c r="N21" s="262">
        <f t="shared" si="2"/>
        <v>0</v>
      </c>
      <c r="O21" s="263">
        <f>N21*'Cash-flow'!$D$55/12</f>
        <v>0</v>
      </c>
      <c r="Q21" s="265">
        <v>45689</v>
      </c>
      <c r="R21" s="261">
        <v>0</v>
      </c>
      <c r="S21" s="262">
        <f t="shared" si="3"/>
        <v>0</v>
      </c>
      <c r="T21" s="263">
        <f>S21*'Cash-flow'!$D$56/12</f>
        <v>0</v>
      </c>
    </row>
    <row r="22" spans="2:20" ht="14" x14ac:dyDescent="0.15">
      <c r="B22" s="265">
        <v>45717</v>
      </c>
      <c r="C22" s="261">
        <v>-100000</v>
      </c>
      <c r="D22" s="262">
        <f t="shared" si="0"/>
        <v>5100000</v>
      </c>
      <c r="E22" s="263">
        <f>D22*'Cash-flow'!$D$53/12</f>
        <v>46750</v>
      </c>
      <c r="G22" s="265">
        <v>45717</v>
      </c>
      <c r="H22" s="261" t="e">
        <v>#REF!</v>
      </c>
      <c r="I22" s="262" t="e">
        <f t="shared" si="1"/>
        <v>#REF!</v>
      </c>
      <c r="J22" s="263" t="e">
        <f>I22*'Cash-flow'!$D$54/12</f>
        <v>#REF!</v>
      </c>
      <c r="L22" s="265">
        <v>45717</v>
      </c>
      <c r="M22" s="261">
        <v>0</v>
      </c>
      <c r="N22" s="262">
        <f t="shared" si="2"/>
        <v>0</v>
      </c>
      <c r="O22" s="263">
        <f>N22*'Cash-flow'!$D$55/12</f>
        <v>0</v>
      </c>
      <c r="Q22" s="265">
        <v>45717</v>
      </c>
      <c r="R22" s="261">
        <v>0</v>
      </c>
      <c r="S22" s="262">
        <f t="shared" si="3"/>
        <v>0</v>
      </c>
      <c r="T22" s="263">
        <f>S22*'Cash-flow'!$D$56/12</f>
        <v>0</v>
      </c>
    </row>
    <row r="23" spans="2:20" ht="14" x14ac:dyDescent="0.15">
      <c r="B23" s="265">
        <v>45748</v>
      </c>
      <c r="C23" s="261">
        <v>-200000</v>
      </c>
      <c r="D23" s="262">
        <f t="shared" si="0"/>
        <v>5300000</v>
      </c>
      <c r="E23" s="263">
        <f>D23*'Cash-flow'!$D$53/12</f>
        <v>48583.333333333336</v>
      </c>
      <c r="G23" s="265">
        <v>45748</v>
      </c>
      <c r="H23" s="261" t="e">
        <v>#REF!</v>
      </c>
      <c r="I23" s="262" t="e">
        <f t="shared" si="1"/>
        <v>#REF!</v>
      </c>
      <c r="J23" s="263" t="e">
        <f>I23*'Cash-flow'!$D$54/12</f>
        <v>#REF!</v>
      </c>
      <c r="L23" s="265">
        <v>45748</v>
      </c>
      <c r="M23" s="261">
        <v>0</v>
      </c>
      <c r="N23" s="262">
        <f t="shared" si="2"/>
        <v>0</v>
      </c>
      <c r="O23" s="263">
        <f>N23*'Cash-flow'!$D$55/12</f>
        <v>0</v>
      </c>
      <c r="Q23" s="265">
        <v>45748</v>
      </c>
      <c r="R23" s="261">
        <v>0</v>
      </c>
      <c r="S23" s="262">
        <f t="shared" si="3"/>
        <v>0</v>
      </c>
      <c r="T23" s="263">
        <f>S23*'Cash-flow'!$D$56/12</f>
        <v>0</v>
      </c>
    </row>
    <row r="24" spans="2:20" ht="14" x14ac:dyDescent="0.15">
      <c r="B24" s="265">
        <v>45778</v>
      </c>
      <c r="C24" s="261">
        <v>-5000000</v>
      </c>
      <c r="D24" s="262">
        <f t="shared" si="0"/>
        <v>10300000</v>
      </c>
      <c r="E24" s="263">
        <f>D24*'Cash-flow'!$D$53/12</f>
        <v>94416.666666666672</v>
      </c>
      <c r="G24" s="265">
        <v>45778</v>
      </c>
      <c r="H24" s="261" t="e">
        <v>#REF!</v>
      </c>
      <c r="I24" s="262" t="e">
        <f t="shared" si="1"/>
        <v>#REF!</v>
      </c>
      <c r="J24" s="263" t="e">
        <f>I24*'Cash-flow'!$D$54/12</f>
        <v>#REF!</v>
      </c>
      <c r="L24" s="265">
        <v>45778</v>
      </c>
      <c r="M24" s="261">
        <v>0</v>
      </c>
      <c r="N24" s="262">
        <f t="shared" si="2"/>
        <v>0</v>
      </c>
      <c r="O24" s="263">
        <f>N24*'Cash-flow'!$D$55/12</f>
        <v>0</v>
      </c>
      <c r="Q24" s="265">
        <v>45778</v>
      </c>
      <c r="R24" s="261">
        <v>0</v>
      </c>
      <c r="S24" s="262">
        <f t="shared" si="3"/>
        <v>0</v>
      </c>
      <c r="T24" s="263">
        <f>S24*'Cash-flow'!$D$56/12</f>
        <v>0</v>
      </c>
    </row>
    <row r="25" spans="2:20" ht="14" x14ac:dyDescent="0.15">
      <c r="B25" s="266">
        <v>45809</v>
      </c>
      <c r="C25" s="261">
        <v>-1000000</v>
      </c>
      <c r="D25" s="262">
        <f t="shared" si="0"/>
        <v>11300000</v>
      </c>
      <c r="E25" s="263">
        <f>D25*'Cash-flow'!$D$53/12</f>
        <v>103583.33333333333</v>
      </c>
      <c r="G25" s="266">
        <v>45809</v>
      </c>
      <c r="H25" s="261" t="e">
        <v>#REF!</v>
      </c>
      <c r="I25" s="262" t="e">
        <f t="shared" si="1"/>
        <v>#REF!</v>
      </c>
      <c r="J25" s="263" t="e">
        <f>I25*'Cash-flow'!$D$54/12</f>
        <v>#REF!</v>
      </c>
      <c r="L25" s="266">
        <v>45809</v>
      </c>
      <c r="M25" s="261">
        <v>0</v>
      </c>
      <c r="N25" s="262">
        <f t="shared" si="2"/>
        <v>0</v>
      </c>
      <c r="O25" s="263">
        <f>N25*'Cash-flow'!$D$55/12</f>
        <v>0</v>
      </c>
      <c r="Q25" s="266">
        <v>45809</v>
      </c>
      <c r="R25" s="261">
        <v>0</v>
      </c>
      <c r="S25" s="262">
        <f t="shared" si="3"/>
        <v>0</v>
      </c>
      <c r="T25" s="263">
        <f>S25*'Cash-flow'!$D$56/12</f>
        <v>0</v>
      </c>
    </row>
    <row r="26" spans="2:20" ht="14" x14ac:dyDescent="0.15">
      <c r="B26" s="265">
        <v>45839</v>
      </c>
      <c r="C26" s="261">
        <v>-2500000</v>
      </c>
      <c r="D26" s="262">
        <f t="shared" si="0"/>
        <v>13800000</v>
      </c>
      <c r="E26" s="263">
        <f>D26*'Cash-flow'!$D$53/12</f>
        <v>126500</v>
      </c>
      <c r="G26" s="265">
        <v>45839</v>
      </c>
      <c r="H26" s="261" t="e">
        <v>#REF!</v>
      </c>
      <c r="I26" s="262" t="e">
        <f t="shared" si="1"/>
        <v>#REF!</v>
      </c>
      <c r="J26" s="263" t="e">
        <f>I26*'Cash-flow'!$D$54/12</f>
        <v>#REF!</v>
      </c>
      <c r="L26" s="265">
        <v>45839</v>
      </c>
      <c r="M26" s="261">
        <v>0</v>
      </c>
      <c r="N26" s="262">
        <f t="shared" si="2"/>
        <v>0</v>
      </c>
      <c r="O26" s="263">
        <f>N26*'Cash-flow'!$D$55/12</f>
        <v>0</v>
      </c>
      <c r="Q26" s="265">
        <v>45839</v>
      </c>
      <c r="R26" s="261">
        <v>0</v>
      </c>
      <c r="S26" s="262">
        <f t="shared" si="3"/>
        <v>0</v>
      </c>
      <c r="T26" s="263">
        <f>S26*'Cash-flow'!$D$56/12</f>
        <v>0</v>
      </c>
    </row>
    <row r="27" spans="2:20" ht="14" x14ac:dyDescent="0.15">
      <c r="B27" s="265">
        <v>45870</v>
      </c>
      <c r="C27" s="261">
        <v>-600000</v>
      </c>
      <c r="D27" s="262">
        <f t="shared" si="0"/>
        <v>14400000</v>
      </c>
      <c r="E27" s="263">
        <f>D27*'Cash-flow'!$D$53/12</f>
        <v>132000</v>
      </c>
      <c r="G27" s="265">
        <v>45870</v>
      </c>
      <c r="H27" s="261" t="e">
        <v>#REF!</v>
      </c>
      <c r="I27" s="262" t="e">
        <f t="shared" si="1"/>
        <v>#REF!</v>
      </c>
      <c r="J27" s="263" t="e">
        <f>I27*'Cash-flow'!$D$54/12</f>
        <v>#REF!</v>
      </c>
      <c r="L27" s="265">
        <v>45870</v>
      </c>
      <c r="M27" s="261">
        <v>0</v>
      </c>
      <c r="N27" s="262">
        <f t="shared" si="2"/>
        <v>0</v>
      </c>
      <c r="O27" s="263">
        <f>N27*'Cash-flow'!$D$55/12</f>
        <v>0</v>
      </c>
      <c r="Q27" s="265">
        <v>45870</v>
      </c>
      <c r="R27" s="261">
        <v>0</v>
      </c>
      <c r="S27" s="262">
        <f t="shared" si="3"/>
        <v>0</v>
      </c>
      <c r="T27" s="263">
        <f>S27*'Cash-flow'!$D$56/12</f>
        <v>0</v>
      </c>
    </row>
    <row r="28" spans="2:20" ht="14" x14ac:dyDescent="0.15">
      <c r="B28" s="265">
        <v>45901</v>
      </c>
      <c r="C28" s="261">
        <v>-700000</v>
      </c>
      <c r="D28" s="262">
        <f t="shared" si="0"/>
        <v>15100000</v>
      </c>
      <c r="E28" s="263">
        <f>D28*'Cash-flow'!$D$53/12</f>
        <v>138416.66666666666</v>
      </c>
      <c r="G28" s="265">
        <v>45901</v>
      </c>
      <c r="H28" s="261" t="e">
        <v>#REF!</v>
      </c>
      <c r="I28" s="262" t="e">
        <f t="shared" si="1"/>
        <v>#REF!</v>
      </c>
      <c r="J28" s="263" t="e">
        <f>I28*'Cash-flow'!$D$54/12</f>
        <v>#REF!</v>
      </c>
      <c r="L28" s="265">
        <v>45901</v>
      </c>
      <c r="M28" s="261">
        <v>0</v>
      </c>
      <c r="N28" s="262">
        <f t="shared" si="2"/>
        <v>0</v>
      </c>
      <c r="O28" s="263">
        <f>N28*'Cash-flow'!$D$55/12</f>
        <v>0</v>
      </c>
      <c r="Q28" s="265">
        <v>45901</v>
      </c>
      <c r="R28" s="261">
        <v>0</v>
      </c>
      <c r="S28" s="262">
        <f t="shared" si="3"/>
        <v>0</v>
      </c>
      <c r="T28" s="263">
        <f>S28*'Cash-flow'!$D$56/12</f>
        <v>0</v>
      </c>
    </row>
    <row r="29" spans="2:20" ht="14" x14ac:dyDescent="0.15">
      <c r="B29" s="265">
        <v>45931</v>
      </c>
      <c r="C29" s="261">
        <v>-1500000</v>
      </c>
      <c r="D29" s="262">
        <f t="shared" si="0"/>
        <v>16600000</v>
      </c>
      <c r="E29" s="263">
        <f>D29*'Cash-flow'!$D$53/12</f>
        <v>152166.66666666666</v>
      </c>
      <c r="G29" s="265">
        <v>45931</v>
      </c>
      <c r="H29" s="261" t="e">
        <v>#REF!</v>
      </c>
      <c r="I29" s="262" t="e">
        <f t="shared" si="1"/>
        <v>#REF!</v>
      </c>
      <c r="J29" s="263" t="e">
        <f>I29*'Cash-flow'!$D$54/12</f>
        <v>#REF!</v>
      </c>
      <c r="L29" s="265">
        <v>45931</v>
      </c>
      <c r="M29" s="261">
        <v>0</v>
      </c>
      <c r="N29" s="262">
        <f t="shared" si="2"/>
        <v>0</v>
      </c>
      <c r="O29" s="263">
        <f>N29*'Cash-flow'!$D$55/12</f>
        <v>0</v>
      </c>
      <c r="Q29" s="265">
        <v>45931</v>
      </c>
      <c r="R29" s="261">
        <v>0</v>
      </c>
      <c r="S29" s="262">
        <f t="shared" si="3"/>
        <v>0</v>
      </c>
      <c r="T29" s="263">
        <f>S29*'Cash-flow'!$D$56/12</f>
        <v>0</v>
      </c>
    </row>
    <row r="30" spans="2:20" ht="14" x14ac:dyDescent="0.15">
      <c r="B30" s="265">
        <v>45962</v>
      </c>
      <c r="C30" s="261">
        <v>0</v>
      </c>
      <c r="D30" s="262">
        <f t="shared" si="0"/>
        <v>16600000</v>
      </c>
      <c r="E30" s="263">
        <f>D30*'Cash-flow'!$D$53/12</f>
        <v>152166.66666666666</v>
      </c>
      <c r="G30" s="265">
        <v>45962</v>
      </c>
      <c r="H30" s="261" t="e">
        <v>#REF!</v>
      </c>
      <c r="I30" s="262" t="e">
        <f t="shared" si="1"/>
        <v>#REF!</v>
      </c>
      <c r="J30" s="263" t="e">
        <f>I30*'Cash-flow'!$D$54/12</f>
        <v>#REF!</v>
      </c>
      <c r="L30" s="265">
        <v>45962</v>
      </c>
      <c r="M30" s="261">
        <v>0</v>
      </c>
      <c r="N30" s="262">
        <f t="shared" si="2"/>
        <v>0</v>
      </c>
      <c r="O30" s="263">
        <f>N30*'Cash-flow'!$D$55/12</f>
        <v>0</v>
      </c>
      <c r="Q30" s="265">
        <v>45962</v>
      </c>
      <c r="R30" s="261">
        <v>0</v>
      </c>
      <c r="S30" s="262">
        <f t="shared" si="3"/>
        <v>0</v>
      </c>
      <c r="T30" s="263">
        <f>S30*'Cash-flow'!$D$56/12</f>
        <v>0</v>
      </c>
    </row>
    <row r="31" spans="2:20" ht="14" x14ac:dyDescent="0.15">
      <c r="B31" s="265">
        <v>45992</v>
      </c>
      <c r="C31" s="261">
        <v>-17000000</v>
      </c>
      <c r="D31" s="262">
        <f t="shared" si="0"/>
        <v>33600000</v>
      </c>
      <c r="E31" s="263">
        <f>D31*'Cash-flow'!$D$53/12</f>
        <v>308000</v>
      </c>
      <c r="G31" s="265">
        <v>45992</v>
      </c>
      <c r="H31" s="261" t="e">
        <v>#REF!</v>
      </c>
      <c r="I31" s="262" t="e">
        <f t="shared" si="1"/>
        <v>#REF!</v>
      </c>
      <c r="J31" s="263" t="e">
        <f>I31*'Cash-flow'!$D$54/12</f>
        <v>#REF!</v>
      </c>
      <c r="L31" s="265">
        <v>45992</v>
      </c>
      <c r="M31" s="261">
        <v>0</v>
      </c>
      <c r="N31" s="262">
        <f t="shared" si="2"/>
        <v>0</v>
      </c>
      <c r="O31" s="263">
        <f>N31*'Cash-flow'!$D$55/12</f>
        <v>0</v>
      </c>
      <c r="Q31" s="265">
        <v>45992</v>
      </c>
      <c r="R31" s="261">
        <v>0</v>
      </c>
      <c r="S31" s="262">
        <f t="shared" si="3"/>
        <v>0</v>
      </c>
      <c r="T31" s="263">
        <f>S31*'Cash-flow'!$D$56/12</f>
        <v>0</v>
      </c>
    </row>
    <row r="32" spans="2:20" ht="14" x14ac:dyDescent="0.15">
      <c r="B32" s="260">
        <v>46023</v>
      </c>
      <c r="C32" s="261">
        <v>0</v>
      </c>
      <c r="D32" s="262">
        <f t="shared" si="0"/>
        <v>33600000</v>
      </c>
      <c r="E32" s="263">
        <f>D32*'Cash-flow'!$D$53/12</f>
        <v>308000</v>
      </c>
      <c r="G32" s="260">
        <v>46023</v>
      </c>
      <c r="H32" s="261" t="e">
        <v>#REF!</v>
      </c>
      <c r="I32" s="262" t="e">
        <f t="shared" si="1"/>
        <v>#REF!</v>
      </c>
      <c r="J32" s="263" t="e">
        <f>I32*'Cash-flow'!$D$54/12</f>
        <v>#REF!</v>
      </c>
      <c r="L32" s="260">
        <v>46023</v>
      </c>
      <c r="M32" s="261">
        <v>0</v>
      </c>
      <c r="N32" s="262">
        <f t="shared" si="2"/>
        <v>0</v>
      </c>
      <c r="O32" s="263">
        <f>N32*'Cash-flow'!$D$55/12</f>
        <v>0</v>
      </c>
      <c r="Q32" s="260">
        <v>46023</v>
      </c>
      <c r="R32" s="261">
        <v>0</v>
      </c>
      <c r="S32" s="262">
        <f t="shared" si="3"/>
        <v>0</v>
      </c>
      <c r="T32" s="263">
        <f>S32*'Cash-flow'!$D$56/12</f>
        <v>0</v>
      </c>
    </row>
    <row r="33" spans="2:20" ht="14" x14ac:dyDescent="0.15">
      <c r="B33" s="265">
        <v>46054</v>
      </c>
      <c r="C33" s="261">
        <v>0</v>
      </c>
      <c r="D33" s="262">
        <f t="shared" si="0"/>
        <v>33600000</v>
      </c>
      <c r="E33" s="263">
        <f>D33*'Cash-flow'!$D$53/12</f>
        <v>308000</v>
      </c>
      <c r="G33" s="265">
        <v>46054</v>
      </c>
      <c r="H33" s="261" t="e">
        <v>#REF!</v>
      </c>
      <c r="I33" s="262" t="e">
        <f t="shared" si="1"/>
        <v>#REF!</v>
      </c>
      <c r="J33" s="263" t="e">
        <f>I33*'Cash-flow'!$D$54/12</f>
        <v>#REF!</v>
      </c>
      <c r="L33" s="265">
        <v>46054</v>
      </c>
      <c r="M33" s="261">
        <v>0</v>
      </c>
      <c r="N33" s="262">
        <f t="shared" si="2"/>
        <v>0</v>
      </c>
      <c r="O33" s="263">
        <f>N33*'Cash-flow'!$D$55/12</f>
        <v>0</v>
      </c>
      <c r="Q33" s="265">
        <v>46054</v>
      </c>
      <c r="R33" s="261">
        <v>0</v>
      </c>
      <c r="S33" s="262">
        <f t="shared" si="3"/>
        <v>0</v>
      </c>
      <c r="T33" s="263">
        <f>S33*'Cash-flow'!$D$56/12</f>
        <v>0</v>
      </c>
    </row>
    <row r="34" spans="2:20" ht="14" x14ac:dyDescent="0.15">
      <c r="B34" s="265">
        <v>46082</v>
      </c>
      <c r="C34" s="261">
        <v>0</v>
      </c>
      <c r="D34" s="262">
        <f t="shared" si="0"/>
        <v>33600000</v>
      </c>
      <c r="E34" s="263">
        <f>D34*'Cash-flow'!$D$53/12</f>
        <v>308000</v>
      </c>
      <c r="G34" s="265">
        <v>46082</v>
      </c>
      <c r="H34" s="261" t="e">
        <v>#REF!</v>
      </c>
      <c r="I34" s="262" t="e">
        <f t="shared" si="1"/>
        <v>#REF!</v>
      </c>
      <c r="J34" s="263" t="e">
        <f>I34*'Cash-flow'!$D$54/12</f>
        <v>#REF!</v>
      </c>
      <c r="L34" s="265">
        <v>46082</v>
      </c>
      <c r="M34" s="261">
        <v>0</v>
      </c>
      <c r="N34" s="262">
        <f t="shared" si="2"/>
        <v>0</v>
      </c>
      <c r="O34" s="263">
        <f>N34*'Cash-flow'!$D$55/12</f>
        <v>0</v>
      </c>
      <c r="Q34" s="265">
        <v>46082</v>
      </c>
      <c r="R34" s="261">
        <v>0</v>
      </c>
      <c r="S34" s="262">
        <f t="shared" si="3"/>
        <v>0</v>
      </c>
      <c r="T34" s="263">
        <f>S34*'Cash-flow'!$D$56/12</f>
        <v>0</v>
      </c>
    </row>
    <row r="35" spans="2:20" ht="14" x14ac:dyDescent="0.15">
      <c r="B35" s="265">
        <v>46113</v>
      </c>
      <c r="C35" s="261">
        <v>0</v>
      </c>
      <c r="D35" s="262">
        <f t="shared" si="0"/>
        <v>33600000</v>
      </c>
      <c r="E35" s="263">
        <f>D35*'Cash-flow'!$D$53/12</f>
        <v>308000</v>
      </c>
      <c r="G35" s="265">
        <v>46113</v>
      </c>
      <c r="H35" s="261" t="e">
        <v>#REF!</v>
      </c>
      <c r="I35" s="262" t="e">
        <f t="shared" si="1"/>
        <v>#REF!</v>
      </c>
      <c r="J35" s="263" t="e">
        <f>I35*'Cash-flow'!$D$54/12</f>
        <v>#REF!</v>
      </c>
      <c r="L35" s="265">
        <v>46113</v>
      </c>
      <c r="M35" s="261">
        <v>0</v>
      </c>
      <c r="N35" s="262">
        <f t="shared" si="2"/>
        <v>0</v>
      </c>
      <c r="O35" s="263">
        <f>N35*'Cash-flow'!$D$55/12</f>
        <v>0</v>
      </c>
      <c r="Q35" s="265">
        <v>46113</v>
      </c>
      <c r="R35" s="261">
        <v>0</v>
      </c>
      <c r="S35" s="262">
        <f t="shared" si="3"/>
        <v>0</v>
      </c>
      <c r="T35" s="263">
        <f>S35*'Cash-flow'!$D$56/12</f>
        <v>0</v>
      </c>
    </row>
    <row r="36" spans="2:20" ht="14" x14ac:dyDescent="0.15">
      <c r="B36" s="265">
        <v>46143</v>
      </c>
      <c r="C36" s="261">
        <v>0</v>
      </c>
      <c r="D36" s="262">
        <f t="shared" si="0"/>
        <v>33600000</v>
      </c>
      <c r="E36" s="263">
        <f>D36*'Cash-flow'!$D$53/12</f>
        <v>308000</v>
      </c>
      <c r="G36" s="265">
        <v>46143</v>
      </c>
      <c r="H36" s="261" t="e">
        <v>#REF!</v>
      </c>
      <c r="I36" s="262" t="e">
        <f t="shared" si="1"/>
        <v>#REF!</v>
      </c>
      <c r="J36" s="263" t="e">
        <f>I36*'Cash-flow'!$D$54/12</f>
        <v>#REF!</v>
      </c>
      <c r="L36" s="265">
        <v>46143</v>
      </c>
      <c r="M36" s="261">
        <v>0</v>
      </c>
      <c r="N36" s="262">
        <f t="shared" si="2"/>
        <v>0</v>
      </c>
      <c r="O36" s="263">
        <f>N36*'Cash-flow'!$D$55/12</f>
        <v>0</v>
      </c>
      <c r="Q36" s="265">
        <v>46143</v>
      </c>
      <c r="R36" s="261">
        <v>0</v>
      </c>
      <c r="S36" s="262">
        <f t="shared" si="3"/>
        <v>0</v>
      </c>
      <c r="T36" s="263">
        <f>S36*'Cash-flow'!$D$56/12</f>
        <v>0</v>
      </c>
    </row>
    <row r="37" spans="2:20" ht="14" x14ac:dyDescent="0.15">
      <c r="B37" s="266">
        <v>46174</v>
      </c>
      <c r="C37" s="261">
        <v>0</v>
      </c>
      <c r="D37" s="262">
        <f t="shared" si="0"/>
        <v>33600000</v>
      </c>
      <c r="E37" s="263">
        <f>D37*'Cash-flow'!$D$53/12</f>
        <v>308000</v>
      </c>
      <c r="G37" s="266">
        <v>46174</v>
      </c>
      <c r="H37" s="261" t="e">
        <v>#REF!</v>
      </c>
      <c r="I37" s="262" t="e">
        <f t="shared" si="1"/>
        <v>#REF!</v>
      </c>
      <c r="J37" s="263" t="e">
        <f>I37*'Cash-flow'!$D$54/12</f>
        <v>#REF!</v>
      </c>
      <c r="L37" s="266">
        <v>46174</v>
      </c>
      <c r="M37" s="261">
        <v>0</v>
      </c>
      <c r="N37" s="262">
        <f t="shared" si="2"/>
        <v>0</v>
      </c>
      <c r="O37" s="263">
        <f>N37*'Cash-flow'!$D$55/12</f>
        <v>0</v>
      </c>
      <c r="Q37" s="266">
        <v>46174</v>
      </c>
      <c r="R37" s="261">
        <v>0</v>
      </c>
      <c r="S37" s="262">
        <f t="shared" si="3"/>
        <v>0</v>
      </c>
      <c r="T37" s="263">
        <f>S37*'Cash-flow'!$D$56/12</f>
        <v>0</v>
      </c>
    </row>
    <row r="38" spans="2:20" ht="14" x14ac:dyDescent="0.15">
      <c r="B38" s="265">
        <v>46204</v>
      </c>
      <c r="C38" s="261">
        <v>0</v>
      </c>
      <c r="D38" s="262">
        <f t="shared" si="0"/>
        <v>33600000</v>
      </c>
      <c r="E38" s="263">
        <f>D38*'Cash-flow'!$D$53/12</f>
        <v>308000</v>
      </c>
      <c r="G38" s="265">
        <v>46204</v>
      </c>
      <c r="H38" s="261" t="e">
        <v>#REF!</v>
      </c>
      <c r="I38" s="262" t="e">
        <f t="shared" si="1"/>
        <v>#REF!</v>
      </c>
      <c r="J38" s="263" t="e">
        <f>I38*'Cash-flow'!$D$54/12</f>
        <v>#REF!</v>
      </c>
      <c r="L38" s="265">
        <v>46204</v>
      </c>
      <c r="M38" s="261">
        <v>0</v>
      </c>
      <c r="N38" s="262">
        <f t="shared" si="2"/>
        <v>0</v>
      </c>
      <c r="O38" s="263">
        <f>N38*'Cash-flow'!$D$55/12</f>
        <v>0</v>
      </c>
      <c r="Q38" s="265">
        <v>46204</v>
      </c>
      <c r="R38" s="261">
        <v>0</v>
      </c>
      <c r="S38" s="262">
        <f t="shared" si="3"/>
        <v>0</v>
      </c>
      <c r="T38" s="263">
        <f>S38*'Cash-flow'!$D$56/12</f>
        <v>0</v>
      </c>
    </row>
    <row r="39" spans="2:20" ht="14" x14ac:dyDescent="0.15">
      <c r="B39" s="265">
        <v>46235</v>
      </c>
      <c r="C39" s="261">
        <v>0</v>
      </c>
      <c r="D39" s="262">
        <f t="shared" si="0"/>
        <v>33600000</v>
      </c>
      <c r="E39" s="263">
        <f>D39*'Cash-flow'!$D$53/12</f>
        <v>308000</v>
      </c>
      <c r="G39" s="265">
        <v>46235</v>
      </c>
      <c r="H39" s="261" t="e">
        <v>#REF!</v>
      </c>
      <c r="I39" s="262" t="e">
        <f t="shared" si="1"/>
        <v>#REF!</v>
      </c>
      <c r="J39" s="263" t="e">
        <f>I39*'Cash-flow'!$D$54/12</f>
        <v>#REF!</v>
      </c>
      <c r="L39" s="265">
        <v>46235</v>
      </c>
      <c r="M39" s="261">
        <v>0</v>
      </c>
      <c r="N39" s="262">
        <f t="shared" si="2"/>
        <v>0</v>
      </c>
      <c r="O39" s="263">
        <f>N39*'Cash-flow'!$D$55/12</f>
        <v>0</v>
      </c>
      <c r="Q39" s="265">
        <v>46235</v>
      </c>
      <c r="R39" s="261">
        <v>0</v>
      </c>
      <c r="S39" s="262">
        <f t="shared" si="3"/>
        <v>0</v>
      </c>
      <c r="T39" s="263">
        <f>S39*'Cash-flow'!$D$56/12</f>
        <v>0</v>
      </c>
    </row>
    <row r="40" spans="2:20" ht="14" x14ac:dyDescent="0.15">
      <c r="B40" s="265">
        <v>46266</v>
      </c>
      <c r="C40" s="261">
        <v>0</v>
      </c>
      <c r="D40" s="262">
        <f t="shared" si="0"/>
        <v>33600000</v>
      </c>
      <c r="E40" s="263">
        <f>D40*'Cash-flow'!$D$53/12</f>
        <v>308000</v>
      </c>
      <c r="G40" s="265">
        <v>46266</v>
      </c>
      <c r="H40" s="261" t="e">
        <v>#REF!</v>
      </c>
      <c r="I40" s="262" t="e">
        <f t="shared" si="1"/>
        <v>#REF!</v>
      </c>
      <c r="J40" s="263" t="e">
        <f>I40*'Cash-flow'!$D$54/12</f>
        <v>#REF!</v>
      </c>
      <c r="L40" s="265">
        <v>46266</v>
      </c>
      <c r="M40" s="261">
        <v>0</v>
      </c>
      <c r="N40" s="262">
        <f t="shared" si="2"/>
        <v>0</v>
      </c>
      <c r="O40" s="263">
        <f>N40*'Cash-flow'!$D$55/12</f>
        <v>0</v>
      </c>
      <c r="Q40" s="265">
        <v>46266</v>
      </c>
      <c r="R40" s="261">
        <v>0</v>
      </c>
      <c r="S40" s="262">
        <f t="shared" si="3"/>
        <v>0</v>
      </c>
      <c r="T40" s="263">
        <f>S40*'Cash-flow'!$D$56/12</f>
        <v>0</v>
      </c>
    </row>
    <row r="41" spans="2:20" ht="14" x14ac:dyDescent="0.15">
      <c r="B41" s="265">
        <v>46296</v>
      </c>
      <c r="C41" s="261">
        <v>0</v>
      </c>
      <c r="D41" s="262">
        <f t="shared" si="0"/>
        <v>33600000</v>
      </c>
      <c r="E41" s="263">
        <f>D41*'Cash-flow'!$D$53/12</f>
        <v>308000</v>
      </c>
      <c r="G41" s="265">
        <v>46296</v>
      </c>
      <c r="H41" s="261" t="e">
        <v>#REF!</v>
      </c>
      <c r="I41" s="262" t="e">
        <f t="shared" si="1"/>
        <v>#REF!</v>
      </c>
      <c r="J41" s="263" t="e">
        <f>I41*'Cash-flow'!$D$54/12</f>
        <v>#REF!</v>
      </c>
      <c r="L41" s="265">
        <v>46296</v>
      </c>
      <c r="M41" s="261">
        <v>0</v>
      </c>
      <c r="N41" s="262">
        <f t="shared" si="2"/>
        <v>0</v>
      </c>
      <c r="O41" s="263">
        <f>N41*'Cash-flow'!$D$55/12</f>
        <v>0</v>
      </c>
      <c r="Q41" s="265">
        <v>46296</v>
      </c>
      <c r="R41" s="261">
        <v>0</v>
      </c>
      <c r="S41" s="262">
        <f t="shared" si="3"/>
        <v>0</v>
      </c>
      <c r="T41" s="263">
        <f>S41*'Cash-flow'!$D$56/12</f>
        <v>0</v>
      </c>
    </row>
    <row r="42" spans="2:20" ht="14" x14ac:dyDescent="0.15">
      <c r="B42" s="265">
        <v>46327</v>
      </c>
      <c r="C42" s="261">
        <v>0</v>
      </c>
      <c r="D42" s="262">
        <f t="shared" si="0"/>
        <v>33600000</v>
      </c>
      <c r="E42" s="263">
        <f>D42*'Cash-flow'!$D$53/12</f>
        <v>308000</v>
      </c>
      <c r="G42" s="265">
        <v>46327</v>
      </c>
      <c r="H42" s="261" t="e">
        <v>#REF!</v>
      </c>
      <c r="I42" s="262" t="e">
        <f t="shared" si="1"/>
        <v>#REF!</v>
      </c>
      <c r="J42" s="263" t="e">
        <f>I42*'Cash-flow'!$D$54/12</f>
        <v>#REF!</v>
      </c>
      <c r="L42" s="265">
        <v>46327</v>
      </c>
      <c r="M42" s="261">
        <v>0</v>
      </c>
      <c r="N42" s="262">
        <f t="shared" si="2"/>
        <v>0</v>
      </c>
      <c r="O42" s="263">
        <f>N42*'Cash-flow'!$D$55/12</f>
        <v>0</v>
      </c>
      <c r="Q42" s="265">
        <v>46327</v>
      </c>
      <c r="R42" s="261">
        <v>0</v>
      </c>
      <c r="S42" s="262">
        <f t="shared" si="3"/>
        <v>0</v>
      </c>
      <c r="T42" s="263">
        <f>S42*'Cash-flow'!$D$56/12</f>
        <v>0</v>
      </c>
    </row>
    <row r="43" spans="2:20" ht="14" x14ac:dyDescent="0.15">
      <c r="B43" s="265">
        <v>46357</v>
      </c>
      <c r="C43" s="261">
        <v>33600000</v>
      </c>
      <c r="D43" s="262">
        <f t="shared" si="0"/>
        <v>0</v>
      </c>
      <c r="E43" s="263">
        <f>D43*'Cash-flow'!$D$53/12</f>
        <v>0</v>
      </c>
      <c r="G43" s="265">
        <v>46357</v>
      </c>
      <c r="H43" s="261" t="e">
        <v>#REF!</v>
      </c>
      <c r="I43" s="262" t="e">
        <f t="shared" si="1"/>
        <v>#REF!</v>
      </c>
      <c r="J43" s="263" t="e">
        <f>I43*'Cash-flow'!$D$54/12</f>
        <v>#REF!</v>
      </c>
      <c r="L43" s="265">
        <v>46357</v>
      </c>
      <c r="M43" s="261">
        <v>0</v>
      </c>
      <c r="N43" s="262">
        <f t="shared" si="2"/>
        <v>0</v>
      </c>
      <c r="O43" s="263">
        <f>N43*'Cash-flow'!$D$55/12</f>
        <v>0</v>
      </c>
      <c r="Q43" s="265">
        <v>46357</v>
      </c>
      <c r="R43" s="261">
        <v>0</v>
      </c>
      <c r="S43" s="262">
        <f t="shared" si="3"/>
        <v>0</v>
      </c>
      <c r="T43" s="263">
        <f>S43*'Cash-flow'!$D$56/12</f>
        <v>0</v>
      </c>
    </row>
    <row r="44" spans="2:20" ht="14" x14ac:dyDescent="0.15">
      <c r="B44" s="260">
        <v>46388</v>
      </c>
      <c r="C44" s="261">
        <v>0</v>
      </c>
      <c r="D44" s="262">
        <f t="shared" si="0"/>
        <v>0</v>
      </c>
      <c r="E44" s="263">
        <f>D44*'Cash-flow'!$D$53/12</f>
        <v>0</v>
      </c>
      <c r="G44" s="260">
        <v>46388</v>
      </c>
      <c r="H44" s="261" t="e">
        <v>#REF!</v>
      </c>
      <c r="I44" s="262" t="e">
        <f t="shared" si="1"/>
        <v>#REF!</v>
      </c>
      <c r="J44" s="263" t="e">
        <f>I44*'Cash-flow'!$D$54/12</f>
        <v>#REF!</v>
      </c>
      <c r="L44" s="260">
        <v>46388</v>
      </c>
      <c r="M44" s="261">
        <v>0</v>
      </c>
      <c r="N44" s="262">
        <f t="shared" si="2"/>
        <v>0</v>
      </c>
      <c r="O44" s="263">
        <f>N44*'Cash-flow'!$D$55/12</f>
        <v>0</v>
      </c>
      <c r="Q44" s="260">
        <v>46388</v>
      </c>
      <c r="R44" s="261">
        <v>0</v>
      </c>
      <c r="S44" s="262">
        <f t="shared" si="3"/>
        <v>0</v>
      </c>
      <c r="T44" s="263">
        <f>S44*'Cash-flow'!$D$56/12</f>
        <v>0</v>
      </c>
    </row>
    <row r="45" spans="2:20" ht="14" x14ac:dyDescent="0.15">
      <c r="B45" s="265">
        <v>46419</v>
      </c>
      <c r="C45" s="261">
        <v>0</v>
      </c>
      <c r="D45" s="262">
        <f t="shared" si="0"/>
        <v>0</v>
      </c>
      <c r="E45" s="263">
        <f>D45*'Cash-flow'!$D$53/12</f>
        <v>0</v>
      </c>
      <c r="G45" s="265">
        <v>46419</v>
      </c>
      <c r="H45" s="261" t="e">
        <v>#REF!</v>
      </c>
      <c r="I45" s="262" t="e">
        <f t="shared" si="1"/>
        <v>#REF!</v>
      </c>
      <c r="J45" s="263" t="e">
        <f>I45*'Cash-flow'!$D$54/12</f>
        <v>#REF!</v>
      </c>
      <c r="L45" s="265">
        <v>46419</v>
      </c>
      <c r="M45" s="261">
        <v>0</v>
      </c>
      <c r="N45" s="262">
        <f t="shared" si="2"/>
        <v>0</v>
      </c>
      <c r="O45" s="263">
        <f>N45*'Cash-flow'!$D$55/12</f>
        <v>0</v>
      </c>
      <c r="Q45" s="265">
        <v>46419</v>
      </c>
      <c r="R45" s="261">
        <v>0</v>
      </c>
      <c r="S45" s="262">
        <f t="shared" si="3"/>
        <v>0</v>
      </c>
      <c r="T45" s="263">
        <f>S45*'Cash-flow'!$D$56/12</f>
        <v>0</v>
      </c>
    </row>
    <row r="46" spans="2:20" ht="14" x14ac:dyDescent="0.15">
      <c r="B46" s="265">
        <v>46447</v>
      </c>
      <c r="C46" s="261">
        <v>0</v>
      </c>
      <c r="D46" s="262">
        <f t="shared" si="0"/>
        <v>0</v>
      </c>
      <c r="E46" s="263">
        <f>D46*'Cash-flow'!$D$53/12</f>
        <v>0</v>
      </c>
      <c r="G46" s="265">
        <v>46447</v>
      </c>
      <c r="H46" s="261" t="e">
        <v>#REF!</v>
      </c>
      <c r="I46" s="262" t="e">
        <f t="shared" si="1"/>
        <v>#REF!</v>
      </c>
      <c r="J46" s="263" t="e">
        <f>I46*'Cash-flow'!$D$54/12</f>
        <v>#REF!</v>
      </c>
      <c r="L46" s="265">
        <v>46447</v>
      </c>
      <c r="M46" s="261">
        <v>0</v>
      </c>
      <c r="N46" s="262">
        <f t="shared" si="2"/>
        <v>0</v>
      </c>
      <c r="O46" s="263">
        <f>N46*'Cash-flow'!$D$55/12</f>
        <v>0</v>
      </c>
      <c r="Q46" s="265">
        <v>46447</v>
      </c>
      <c r="R46" s="261">
        <v>0</v>
      </c>
      <c r="S46" s="262">
        <f t="shared" si="3"/>
        <v>0</v>
      </c>
      <c r="T46" s="263">
        <f>S46*'Cash-flow'!$D$56/12</f>
        <v>0</v>
      </c>
    </row>
    <row r="47" spans="2:20" ht="14" x14ac:dyDescent="0.15">
      <c r="B47" s="265">
        <v>46478</v>
      </c>
      <c r="C47" s="261">
        <v>0</v>
      </c>
      <c r="D47" s="262">
        <f t="shared" si="0"/>
        <v>0</v>
      </c>
      <c r="E47" s="263">
        <f>D47*'Cash-flow'!$D$53/12</f>
        <v>0</v>
      </c>
      <c r="G47" s="265">
        <v>46478</v>
      </c>
      <c r="H47" s="261" t="e">
        <v>#REF!</v>
      </c>
      <c r="I47" s="262" t="e">
        <f t="shared" si="1"/>
        <v>#REF!</v>
      </c>
      <c r="J47" s="263" t="e">
        <f>I47*'Cash-flow'!$D$54/12</f>
        <v>#REF!</v>
      </c>
      <c r="L47" s="265">
        <v>46478</v>
      </c>
      <c r="M47" s="261">
        <v>0</v>
      </c>
      <c r="N47" s="262">
        <f t="shared" si="2"/>
        <v>0</v>
      </c>
      <c r="O47" s="263">
        <f>N47*'Cash-flow'!$D$55/12</f>
        <v>0</v>
      </c>
      <c r="Q47" s="265">
        <v>46478</v>
      </c>
      <c r="R47" s="261">
        <v>0</v>
      </c>
      <c r="S47" s="262">
        <f t="shared" si="3"/>
        <v>0</v>
      </c>
      <c r="T47" s="263">
        <f>S47*'Cash-flow'!$D$56/12</f>
        <v>0</v>
      </c>
    </row>
    <row r="48" spans="2:20" ht="14" x14ac:dyDescent="0.15">
      <c r="B48" s="265">
        <v>46508</v>
      </c>
      <c r="C48" s="261">
        <v>0</v>
      </c>
      <c r="D48" s="262">
        <f t="shared" si="0"/>
        <v>0</v>
      </c>
      <c r="E48" s="263">
        <f>D48*'Cash-flow'!$D$53/12</f>
        <v>0</v>
      </c>
      <c r="G48" s="265">
        <v>46508</v>
      </c>
      <c r="H48" s="261" t="e">
        <v>#REF!</v>
      </c>
      <c r="I48" s="262" t="e">
        <f t="shared" si="1"/>
        <v>#REF!</v>
      </c>
      <c r="J48" s="263" t="e">
        <f>I48*'Cash-flow'!$D$54/12</f>
        <v>#REF!</v>
      </c>
      <c r="L48" s="265">
        <v>46508</v>
      </c>
      <c r="M48" s="261">
        <v>0</v>
      </c>
      <c r="N48" s="262">
        <f t="shared" si="2"/>
        <v>0</v>
      </c>
      <c r="O48" s="263">
        <f>N48*'Cash-flow'!$D$55/12</f>
        <v>0</v>
      </c>
      <c r="Q48" s="265">
        <v>46508</v>
      </c>
      <c r="R48" s="261">
        <v>0</v>
      </c>
      <c r="S48" s="262">
        <f t="shared" si="3"/>
        <v>0</v>
      </c>
      <c r="T48" s="263">
        <f>S48*'Cash-flow'!$D$56/12</f>
        <v>0</v>
      </c>
    </row>
    <row r="49" spans="2:20" ht="14" x14ac:dyDescent="0.15">
      <c r="B49" s="266">
        <v>46539</v>
      </c>
      <c r="C49" s="261">
        <v>0</v>
      </c>
      <c r="D49" s="262">
        <f t="shared" si="0"/>
        <v>0</v>
      </c>
      <c r="E49" s="263">
        <f>D49*'Cash-flow'!$D$53/12</f>
        <v>0</v>
      </c>
      <c r="G49" s="266">
        <v>46539</v>
      </c>
      <c r="H49" s="261" t="e">
        <v>#REF!</v>
      </c>
      <c r="I49" s="262" t="e">
        <f t="shared" si="1"/>
        <v>#REF!</v>
      </c>
      <c r="J49" s="263" t="e">
        <f>I49*'Cash-flow'!$D$54/12</f>
        <v>#REF!</v>
      </c>
      <c r="L49" s="266">
        <v>46539</v>
      </c>
      <c r="M49" s="261">
        <v>0</v>
      </c>
      <c r="N49" s="262">
        <f t="shared" si="2"/>
        <v>0</v>
      </c>
      <c r="O49" s="263">
        <f>N49*'Cash-flow'!$D$55/12</f>
        <v>0</v>
      </c>
      <c r="Q49" s="266">
        <v>46539</v>
      </c>
      <c r="R49" s="261">
        <v>0</v>
      </c>
      <c r="S49" s="262">
        <f t="shared" si="3"/>
        <v>0</v>
      </c>
      <c r="T49" s="263">
        <f>S49*'Cash-flow'!$D$56/12</f>
        <v>0</v>
      </c>
    </row>
    <row r="50" spans="2:20" ht="14" x14ac:dyDescent="0.15">
      <c r="B50" s="265">
        <v>46569</v>
      </c>
      <c r="C50" s="261">
        <v>0</v>
      </c>
      <c r="D50" s="262">
        <f t="shared" si="0"/>
        <v>0</v>
      </c>
      <c r="E50" s="263">
        <f>D50*'Cash-flow'!$D$53/12</f>
        <v>0</v>
      </c>
      <c r="G50" s="265">
        <v>46569</v>
      </c>
      <c r="H50" s="261" t="e">
        <v>#REF!</v>
      </c>
      <c r="I50" s="262" t="e">
        <f t="shared" si="1"/>
        <v>#REF!</v>
      </c>
      <c r="J50" s="263" t="e">
        <f>I50*'Cash-flow'!$D$54/12</f>
        <v>#REF!</v>
      </c>
      <c r="L50" s="265">
        <v>46569</v>
      </c>
      <c r="M50" s="261">
        <v>0</v>
      </c>
      <c r="N50" s="262">
        <f t="shared" si="2"/>
        <v>0</v>
      </c>
      <c r="O50" s="263">
        <f>N50*'Cash-flow'!$D$55/12</f>
        <v>0</v>
      </c>
      <c r="Q50" s="265">
        <v>46569</v>
      </c>
      <c r="R50" s="261">
        <v>0</v>
      </c>
      <c r="S50" s="262">
        <f t="shared" si="3"/>
        <v>0</v>
      </c>
      <c r="T50" s="263">
        <f>S50*'Cash-flow'!$D$56/12</f>
        <v>0</v>
      </c>
    </row>
    <row r="51" spans="2:20" ht="14" x14ac:dyDescent="0.15">
      <c r="B51" s="265">
        <v>46600</v>
      </c>
      <c r="C51" s="261">
        <v>0</v>
      </c>
      <c r="D51" s="262">
        <f t="shared" si="0"/>
        <v>0</v>
      </c>
      <c r="E51" s="263">
        <f>D51*'Cash-flow'!$D$53/12</f>
        <v>0</v>
      </c>
      <c r="G51" s="265">
        <v>46600</v>
      </c>
      <c r="H51" s="261" t="e">
        <v>#REF!</v>
      </c>
      <c r="I51" s="262" t="e">
        <f t="shared" si="1"/>
        <v>#REF!</v>
      </c>
      <c r="J51" s="263" t="e">
        <f>I51*'Cash-flow'!$D$54/12</f>
        <v>#REF!</v>
      </c>
      <c r="L51" s="265">
        <v>46600</v>
      </c>
      <c r="M51" s="261">
        <v>0</v>
      </c>
      <c r="N51" s="262">
        <f t="shared" si="2"/>
        <v>0</v>
      </c>
      <c r="O51" s="263">
        <f>N51*'Cash-flow'!$D$55/12</f>
        <v>0</v>
      </c>
      <c r="Q51" s="265">
        <v>46600</v>
      </c>
      <c r="R51" s="261">
        <v>0</v>
      </c>
      <c r="S51" s="262">
        <f t="shared" si="3"/>
        <v>0</v>
      </c>
      <c r="T51" s="263">
        <f>S51*'Cash-flow'!$D$56/12</f>
        <v>0</v>
      </c>
    </row>
    <row r="52" spans="2:20" ht="14" x14ac:dyDescent="0.15">
      <c r="B52" s="265">
        <v>46631</v>
      </c>
      <c r="C52" s="261">
        <v>0</v>
      </c>
      <c r="D52" s="262">
        <f t="shared" si="0"/>
        <v>0</v>
      </c>
      <c r="E52" s="263">
        <f>D52*'Cash-flow'!$D$53/12</f>
        <v>0</v>
      </c>
      <c r="G52" s="265">
        <v>46631</v>
      </c>
      <c r="H52" s="261" t="e">
        <v>#REF!</v>
      </c>
      <c r="I52" s="262" t="e">
        <f t="shared" si="1"/>
        <v>#REF!</v>
      </c>
      <c r="J52" s="263" t="e">
        <f>I52*'Cash-flow'!$D$54/12</f>
        <v>#REF!</v>
      </c>
      <c r="L52" s="265">
        <v>46631</v>
      </c>
      <c r="M52" s="261">
        <v>0</v>
      </c>
      <c r="N52" s="262">
        <f t="shared" si="2"/>
        <v>0</v>
      </c>
      <c r="O52" s="263">
        <f>N52*'Cash-flow'!$D$55/12</f>
        <v>0</v>
      </c>
      <c r="Q52" s="265">
        <v>46631</v>
      </c>
      <c r="R52" s="261">
        <v>0</v>
      </c>
      <c r="S52" s="262">
        <f t="shared" si="3"/>
        <v>0</v>
      </c>
      <c r="T52" s="263">
        <f>S52*'Cash-flow'!$D$56/12</f>
        <v>0</v>
      </c>
    </row>
    <row r="53" spans="2:20" ht="14" x14ac:dyDescent="0.15">
      <c r="B53" s="265">
        <v>46661</v>
      </c>
      <c r="C53" s="261">
        <v>0</v>
      </c>
      <c r="D53" s="262">
        <f t="shared" si="0"/>
        <v>0</v>
      </c>
      <c r="E53" s="263">
        <f>D53*'Cash-flow'!$D$53/12</f>
        <v>0</v>
      </c>
      <c r="G53" s="265">
        <v>46661</v>
      </c>
      <c r="H53" s="261" t="e">
        <v>#REF!</v>
      </c>
      <c r="I53" s="262" t="e">
        <f t="shared" si="1"/>
        <v>#REF!</v>
      </c>
      <c r="J53" s="263" t="e">
        <f>I53*'Cash-flow'!$D$54/12</f>
        <v>#REF!</v>
      </c>
      <c r="L53" s="265">
        <v>46661</v>
      </c>
      <c r="M53" s="261">
        <v>0</v>
      </c>
      <c r="N53" s="262">
        <f t="shared" si="2"/>
        <v>0</v>
      </c>
      <c r="O53" s="263">
        <f>N53*'Cash-flow'!$D$55/12</f>
        <v>0</v>
      </c>
      <c r="Q53" s="265">
        <v>46661</v>
      </c>
      <c r="R53" s="261">
        <v>0</v>
      </c>
      <c r="S53" s="262">
        <f t="shared" si="3"/>
        <v>0</v>
      </c>
      <c r="T53" s="263">
        <f>S53*'Cash-flow'!$D$56/12</f>
        <v>0</v>
      </c>
    </row>
    <row r="54" spans="2:20" ht="14" x14ac:dyDescent="0.15">
      <c r="B54" s="265">
        <v>46692</v>
      </c>
      <c r="C54" s="261">
        <v>0</v>
      </c>
      <c r="D54" s="262">
        <f t="shared" si="0"/>
        <v>0</v>
      </c>
      <c r="E54" s="263">
        <f>D54*'Cash-flow'!$D$53/12</f>
        <v>0</v>
      </c>
      <c r="G54" s="265">
        <v>46692</v>
      </c>
      <c r="H54" s="261" t="e">
        <v>#REF!</v>
      </c>
      <c r="I54" s="262" t="e">
        <f t="shared" si="1"/>
        <v>#REF!</v>
      </c>
      <c r="J54" s="263" t="e">
        <f>I54*'Cash-flow'!$D$54/12</f>
        <v>#REF!</v>
      </c>
      <c r="L54" s="265">
        <v>46692</v>
      </c>
      <c r="M54" s="261">
        <v>0</v>
      </c>
      <c r="N54" s="262">
        <f t="shared" si="2"/>
        <v>0</v>
      </c>
      <c r="O54" s="263">
        <f>N54*'Cash-flow'!$D$55/12</f>
        <v>0</v>
      </c>
      <c r="Q54" s="265">
        <v>46692</v>
      </c>
      <c r="R54" s="261">
        <v>0</v>
      </c>
      <c r="S54" s="262">
        <f t="shared" si="3"/>
        <v>0</v>
      </c>
      <c r="T54" s="263">
        <f>S54*'Cash-flow'!$D$56/12</f>
        <v>0</v>
      </c>
    </row>
    <row r="55" spans="2:20" ht="14" x14ac:dyDescent="0.15">
      <c r="B55" s="265">
        <v>46722</v>
      </c>
      <c r="C55" s="261">
        <v>0</v>
      </c>
      <c r="D55" s="262">
        <f t="shared" si="0"/>
        <v>0</v>
      </c>
      <c r="E55" s="263">
        <f>D55*'Cash-flow'!$D$53/12</f>
        <v>0</v>
      </c>
      <c r="G55" s="265">
        <v>46722</v>
      </c>
      <c r="H55" s="261" t="e">
        <v>#REF!</v>
      </c>
      <c r="I55" s="262" t="e">
        <f t="shared" si="1"/>
        <v>#REF!</v>
      </c>
      <c r="J55" s="263" t="e">
        <f>I55*'Cash-flow'!$D$54/12</f>
        <v>#REF!</v>
      </c>
      <c r="L55" s="265">
        <v>46722</v>
      </c>
      <c r="M55" s="261">
        <v>0</v>
      </c>
      <c r="N55" s="262">
        <f t="shared" si="2"/>
        <v>0</v>
      </c>
      <c r="O55" s="263">
        <f>N55*'Cash-flow'!$D$55/12</f>
        <v>0</v>
      </c>
      <c r="Q55" s="265">
        <v>46722</v>
      </c>
      <c r="R55" s="261">
        <v>0</v>
      </c>
      <c r="S55" s="262">
        <f t="shared" si="3"/>
        <v>0</v>
      </c>
      <c r="T55" s="263">
        <f>S55*'Cash-flow'!$D$56/12</f>
        <v>0</v>
      </c>
    </row>
    <row r="56" spans="2:20" ht="14" x14ac:dyDescent="0.15">
      <c r="B56" s="260">
        <v>46753</v>
      </c>
      <c r="C56" s="261">
        <v>0</v>
      </c>
      <c r="D56" s="262">
        <f t="shared" si="0"/>
        <v>0</v>
      </c>
      <c r="E56" s="263">
        <f>D56*'Cash-flow'!$D$53/12</f>
        <v>0</v>
      </c>
      <c r="G56" s="260">
        <v>46753</v>
      </c>
      <c r="H56" s="261" t="e">
        <v>#REF!</v>
      </c>
      <c r="I56" s="262" t="e">
        <f t="shared" si="1"/>
        <v>#REF!</v>
      </c>
      <c r="J56" s="263" t="e">
        <f>I56*'Cash-flow'!$D$54/12</f>
        <v>#REF!</v>
      </c>
      <c r="L56" s="260">
        <v>46753</v>
      </c>
      <c r="M56" s="261">
        <v>0</v>
      </c>
      <c r="N56" s="262">
        <f t="shared" si="2"/>
        <v>0</v>
      </c>
      <c r="O56" s="263">
        <f>N56*'Cash-flow'!$D$55/12</f>
        <v>0</v>
      </c>
      <c r="Q56" s="260">
        <v>46753</v>
      </c>
      <c r="R56" s="261">
        <v>0</v>
      </c>
      <c r="S56" s="262">
        <f t="shared" si="3"/>
        <v>0</v>
      </c>
      <c r="T56" s="263">
        <f>S56*'Cash-flow'!$D$56/12</f>
        <v>0</v>
      </c>
    </row>
    <row r="57" spans="2:20" ht="14" x14ac:dyDescent="0.15">
      <c r="B57" s="265">
        <v>46784</v>
      </c>
      <c r="C57" s="261">
        <v>0</v>
      </c>
      <c r="D57" s="262">
        <f t="shared" si="0"/>
        <v>0</v>
      </c>
      <c r="E57" s="263">
        <f>D57*'Cash-flow'!$D$53/12</f>
        <v>0</v>
      </c>
      <c r="G57" s="265">
        <v>46784</v>
      </c>
      <c r="H57" s="261" t="e">
        <v>#REF!</v>
      </c>
      <c r="I57" s="262" t="e">
        <f t="shared" si="1"/>
        <v>#REF!</v>
      </c>
      <c r="J57" s="263" t="e">
        <f>I57*'Cash-flow'!$D$54/12</f>
        <v>#REF!</v>
      </c>
      <c r="L57" s="265">
        <v>46784</v>
      </c>
      <c r="M57" s="261">
        <v>0</v>
      </c>
      <c r="N57" s="262">
        <f t="shared" si="2"/>
        <v>0</v>
      </c>
      <c r="O57" s="263">
        <f>N57*'Cash-flow'!$D$55/12</f>
        <v>0</v>
      </c>
      <c r="Q57" s="265">
        <v>46784</v>
      </c>
      <c r="R57" s="261">
        <v>0</v>
      </c>
      <c r="S57" s="262">
        <f t="shared" si="3"/>
        <v>0</v>
      </c>
      <c r="T57" s="263">
        <f>S57*'Cash-flow'!$D$56/12</f>
        <v>0</v>
      </c>
    </row>
    <row r="58" spans="2:20" ht="14" x14ac:dyDescent="0.15">
      <c r="B58" s="265">
        <v>46813</v>
      </c>
      <c r="C58" s="261">
        <v>0</v>
      </c>
      <c r="D58" s="262">
        <f t="shared" si="0"/>
        <v>0</v>
      </c>
      <c r="E58" s="263">
        <f>D58*'Cash-flow'!$D$53/12</f>
        <v>0</v>
      </c>
      <c r="G58" s="265">
        <v>46813</v>
      </c>
      <c r="H58" s="261" t="e">
        <v>#REF!</v>
      </c>
      <c r="I58" s="262" t="e">
        <f t="shared" si="1"/>
        <v>#REF!</v>
      </c>
      <c r="J58" s="263" t="e">
        <f>I58*'Cash-flow'!$D$54/12</f>
        <v>#REF!</v>
      </c>
      <c r="L58" s="265">
        <v>46813</v>
      </c>
      <c r="M58" s="261">
        <v>0</v>
      </c>
      <c r="N58" s="262">
        <f t="shared" si="2"/>
        <v>0</v>
      </c>
      <c r="O58" s="263">
        <f>N58*'Cash-flow'!$D$55/12</f>
        <v>0</v>
      </c>
      <c r="Q58" s="265">
        <v>46813</v>
      </c>
      <c r="R58" s="261">
        <v>0</v>
      </c>
      <c r="S58" s="262">
        <f t="shared" si="3"/>
        <v>0</v>
      </c>
      <c r="T58" s="263">
        <f>S58*'Cash-flow'!$D$56/12</f>
        <v>0</v>
      </c>
    </row>
    <row r="59" spans="2:20" ht="14" x14ac:dyDescent="0.15">
      <c r="B59" s="265">
        <v>46844</v>
      </c>
      <c r="C59" s="261">
        <v>0</v>
      </c>
      <c r="D59" s="262">
        <f t="shared" si="0"/>
        <v>0</v>
      </c>
      <c r="E59" s="263">
        <f>D59*'Cash-flow'!$D$53/12</f>
        <v>0</v>
      </c>
      <c r="G59" s="265">
        <v>46844</v>
      </c>
      <c r="H59" s="261" t="e">
        <v>#REF!</v>
      </c>
      <c r="I59" s="262" t="e">
        <f t="shared" si="1"/>
        <v>#REF!</v>
      </c>
      <c r="J59" s="263" t="e">
        <f>I59*'Cash-flow'!$D$54/12</f>
        <v>#REF!</v>
      </c>
      <c r="L59" s="265">
        <v>46844</v>
      </c>
      <c r="M59" s="261">
        <v>0</v>
      </c>
      <c r="N59" s="262">
        <f t="shared" si="2"/>
        <v>0</v>
      </c>
      <c r="O59" s="263">
        <f>N59*'Cash-flow'!$D$55/12</f>
        <v>0</v>
      </c>
      <c r="Q59" s="265">
        <v>46844</v>
      </c>
      <c r="R59" s="261">
        <v>0</v>
      </c>
      <c r="S59" s="262">
        <f t="shared" si="3"/>
        <v>0</v>
      </c>
      <c r="T59" s="263">
        <f>S59*'Cash-flow'!$D$56/12</f>
        <v>0</v>
      </c>
    </row>
    <row r="60" spans="2:20" ht="14" x14ac:dyDescent="0.15">
      <c r="B60" s="265">
        <v>46874</v>
      </c>
      <c r="C60" s="261">
        <v>0</v>
      </c>
      <c r="D60" s="262">
        <f t="shared" si="0"/>
        <v>0</v>
      </c>
      <c r="E60" s="263">
        <f>D60*'Cash-flow'!$D$53/12</f>
        <v>0</v>
      </c>
      <c r="G60" s="265">
        <v>46874</v>
      </c>
      <c r="H60" s="261" t="e">
        <v>#REF!</v>
      </c>
      <c r="I60" s="262" t="e">
        <f t="shared" si="1"/>
        <v>#REF!</v>
      </c>
      <c r="J60" s="263" t="e">
        <f>I60*'Cash-flow'!$D$54/12</f>
        <v>#REF!</v>
      </c>
      <c r="L60" s="265">
        <v>46874</v>
      </c>
      <c r="M60" s="261">
        <v>0</v>
      </c>
      <c r="N60" s="262">
        <f t="shared" si="2"/>
        <v>0</v>
      </c>
      <c r="O60" s="263">
        <f>N60*'Cash-flow'!$D$55/12</f>
        <v>0</v>
      </c>
      <c r="Q60" s="265">
        <v>46874</v>
      </c>
      <c r="R60" s="261">
        <v>0</v>
      </c>
      <c r="S60" s="262">
        <f t="shared" si="3"/>
        <v>0</v>
      </c>
      <c r="T60" s="263">
        <f>S60*'Cash-flow'!$D$56/12</f>
        <v>0</v>
      </c>
    </row>
    <row r="61" spans="2:20" ht="14" x14ac:dyDescent="0.15">
      <c r="B61" s="266">
        <v>46905</v>
      </c>
      <c r="C61" s="261">
        <v>0</v>
      </c>
      <c r="D61" s="262">
        <f t="shared" si="0"/>
        <v>0</v>
      </c>
      <c r="E61" s="263">
        <f>D61*'Cash-flow'!$D$53/12</f>
        <v>0</v>
      </c>
      <c r="G61" s="266">
        <v>46905</v>
      </c>
      <c r="H61" s="261" t="e">
        <v>#REF!</v>
      </c>
      <c r="I61" s="262" t="e">
        <f t="shared" si="1"/>
        <v>#REF!</v>
      </c>
      <c r="J61" s="263" t="e">
        <f>I61*'Cash-flow'!$D$54/12</f>
        <v>#REF!</v>
      </c>
      <c r="L61" s="266">
        <v>46905</v>
      </c>
      <c r="M61" s="261">
        <v>0</v>
      </c>
      <c r="N61" s="262">
        <f t="shared" si="2"/>
        <v>0</v>
      </c>
      <c r="O61" s="263">
        <f>N61*'Cash-flow'!$D$55/12</f>
        <v>0</v>
      </c>
      <c r="Q61" s="266">
        <v>46905</v>
      </c>
      <c r="R61" s="261">
        <v>0</v>
      </c>
      <c r="S61" s="262">
        <f t="shared" si="3"/>
        <v>0</v>
      </c>
      <c r="T61" s="263">
        <f>S61*'Cash-flow'!$D$56/12</f>
        <v>0</v>
      </c>
    </row>
    <row r="62" spans="2:20" ht="14" x14ac:dyDescent="0.15">
      <c r="B62" s="265">
        <v>46935</v>
      </c>
      <c r="C62" s="261">
        <v>0</v>
      </c>
      <c r="D62" s="262">
        <f t="shared" si="0"/>
        <v>0</v>
      </c>
      <c r="E62" s="263">
        <f>D62*'Cash-flow'!$D$53/12</f>
        <v>0</v>
      </c>
      <c r="G62" s="265">
        <v>46935</v>
      </c>
      <c r="H62" s="261" t="e">
        <v>#REF!</v>
      </c>
      <c r="I62" s="262" t="e">
        <f t="shared" si="1"/>
        <v>#REF!</v>
      </c>
      <c r="J62" s="263" t="e">
        <f>I62*'Cash-flow'!$D$54/12</f>
        <v>#REF!</v>
      </c>
      <c r="L62" s="265">
        <v>46935</v>
      </c>
      <c r="M62" s="261">
        <v>0</v>
      </c>
      <c r="N62" s="262">
        <f t="shared" si="2"/>
        <v>0</v>
      </c>
      <c r="O62" s="263">
        <f>N62*'Cash-flow'!$D$55/12</f>
        <v>0</v>
      </c>
      <c r="Q62" s="265">
        <v>46935</v>
      </c>
      <c r="R62" s="261">
        <v>0</v>
      </c>
      <c r="S62" s="262">
        <f t="shared" si="3"/>
        <v>0</v>
      </c>
      <c r="T62" s="263">
        <f>S62*'Cash-flow'!$D$56/12</f>
        <v>0</v>
      </c>
    </row>
    <row r="63" spans="2:20" ht="14" x14ac:dyDescent="0.15">
      <c r="B63" s="265">
        <v>46966</v>
      </c>
      <c r="C63" s="261">
        <v>0</v>
      </c>
      <c r="D63" s="262">
        <f t="shared" si="0"/>
        <v>0</v>
      </c>
      <c r="E63" s="263">
        <f>D63*'Cash-flow'!$D$53/12</f>
        <v>0</v>
      </c>
      <c r="G63" s="265">
        <v>46966</v>
      </c>
      <c r="H63" s="261" t="e">
        <v>#REF!</v>
      </c>
      <c r="I63" s="262" t="e">
        <f t="shared" si="1"/>
        <v>#REF!</v>
      </c>
      <c r="J63" s="263" t="e">
        <f>I63*'Cash-flow'!$D$54/12</f>
        <v>#REF!</v>
      </c>
      <c r="L63" s="265">
        <v>46966</v>
      </c>
      <c r="M63" s="261">
        <v>0</v>
      </c>
      <c r="N63" s="262">
        <f t="shared" si="2"/>
        <v>0</v>
      </c>
      <c r="O63" s="263">
        <f>N63*'Cash-flow'!$D$55/12</f>
        <v>0</v>
      </c>
      <c r="Q63" s="265">
        <v>46966</v>
      </c>
      <c r="R63" s="261">
        <v>0</v>
      </c>
      <c r="S63" s="262">
        <f t="shared" si="3"/>
        <v>0</v>
      </c>
      <c r="T63" s="263">
        <f>S63*'Cash-flow'!$D$56/12</f>
        <v>0</v>
      </c>
    </row>
    <row r="64" spans="2:20" ht="14" x14ac:dyDescent="0.15">
      <c r="B64" s="265">
        <v>46997</v>
      </c>
      <c r="C64" s="261">
        <v>0</v>
      </c>
      <c r="D64" s="262">
        <f t="shared" si="0"/>
        <v>0</v>
      </c>
      <c r="E64" s="263">
        <f>D64*'Cash-flow'!$D$53/12</f>
        <v>0</v>
      </c>
      <c r="G64" s="265">
        <v>46997</v>
      </c>
      <c r="H64" s="261" t="e">
        <v>#REF!</v>
      </c>
      <c r="I64" s="262" t="e">
        <f t="shared" si="1"/>
        <v>#REF!</v>
      </c>
      <c r="J64" s="263" t="e">
        <f>I64*'Cash-flow'!$D$54/12</f>
        <v>#REF!</v>
      </c>
      <c r="L64" s="265">
        <v>46997</v>
      </c>
      <c r="M64" s="261">
        <v>0</v>
      </c>
      <c r="N64" s="262">
        <f t="shared" si="2"/>
        <v>0</v>
      </c>
      <c r="O64" s="263">
        <f>N64*'Cash-flow'!$D$55/12</f>
        <v>0</v>
      </c>
      <c r="Q64" s="265">
        <v>46997</v>
      </c>
      <c r="R64" s="261">
        <v>0</v>
      </c>
      <c r="S64" s="262">
        <f t="shared" si="3"/>
        <v>0</v>
      </c>
      <c r="T64" s="263">
        <f>S64*'Cash-flow'!$D$56/12</f>
        <v>0</v>
      </c>
    </row>
    <row r="65" spans="2:20" ht="14" x14ac:dyDescent="0.15">
      <c r="B65" s="265">
        <v>47027</v>
      </c>
      <c r="C65" s="261">
        <v>0</v>
      </c>
      <c r="D65" s="262">
        <f t="shared" si="0"/>
        <v>0</v>
      </c>
      <c r="E65" s="263">
        <f>D65*'Cash-flow'!$D$53/12</f>
        <v>0</v>
      </c>
      <c r="G65" s="265">
        <v>47027</v>
      </c>
      <c r="H65" s="261" t="e">
        <v>#REF!</v>
      </c>
      <c r="I65" s="262" t="e">
        <f t="shared" si="1"/>
        <v>#REF!</v>
      </c>
      <c r="J65" s="263" t="e">
        <f>I65*'Cash-flow'!$D$54/12</f>
        <v>#REF!</v>
      </c>
      <c r="L65" s="265">
        <v>47027</v>
      </c>
      <c r="M65" s="261">
        <v>0</v>
      </c>
      <c r="N65" s="262">
        <f t="shared" si="2"/>
        <v>0</v>
      </c>
      <c r="O65" s="263">
        <f>N65*'Cash-flow'!$D$55/12</f>
        <v>0</v>
      </c>
      <c r="Q65" s="265">
        <v>47027</v>
      </c>
      <c r="R65" s="261">
        <v>0</v>
      </c>
      <c r="S65" s="262">
        <f t="shared" si="3"/>
        <v>0</v>
      </c>
      <c r="T65" s="263">
        <f>S65*'Cash-flow'!$D$56/12</f>
        <v>0</v>
      </c>
    </row>
    <row r="66" spans="2:20" ht="14" x14ac:dyDescent="0.15">
      <c r="B66" s="265">
        <v>47058</v>
      </c>
      <c r="C66" s="261">
        <v>0</v>
      </c>
      <c r="D66" s="262">
        <f t="shared" si="0"/>
        <v>0</v>
      </c>
      <c r="E66" s="263">
        <f>D66*'Cash-flow'!$D$53/12</f>
        <v>0</v>
      </c>
      <c r="G66" s="265">
        <v>47058</v>
      </c>
      <c r="H66" s="261" t="e">
        <v>#REF!</v>
      </c>
      <c r="I66" s="262" t="e">
        <f t="shared" si="1"/>
        <v>#REF!</v>
      </c>
      <c r="J66" s="263" t="e">
        <f>I66*'Cash-flow'!$D$54/12</f>
        <v>#REF!</v>
      </c>
      <c r="L66" s="265">
        <v>47058</v>
      </c>
      <c r="M66" s="261">
        <v>0</v>
      </c>
      <c r="N66" s="262">
        <f t="shared" si="2"/>
        <v>0</v>
      </c>
      <c r="O66" s="263">
        <f>N66*'Cash-flow'!$D$55/12</f>
        <v>0</v>
      </c>
      <c r="Q66" s="265">
        <v>47058</v>
      </c>
      <c r="R66" s="261">
        <v>0</v>
      </c>
      <c r="S66" s="262">
        <f t="shared" si="3"/>
        <v>0</v>
      </c>
      <c r="T66" s="263">
        <f>S66*'Cash-flow'!$D$56/12</f>
        <v>0</v>
      </c>
    </row>
    <row r="67" spans="2:20" ht="14" x14ac:dyDescent="0.15">
      <c r="B67" s="265">
        <v>47088</v>
      </c>
      <c r="C67" s="261">
        <v>0</v>
      </c>
      <c r="D67" s="262">
        <f t="shared" si="0"/>
        <v>0</v>
      </c>
      <c r="E67" s="263">
        <f>D67*'Cash-flow'!$D$53/12</f>
        <v>0</v>
      </c>
      <c r="G67" s="265">
        <v>47088</v>
      </c>
      <c r="H67" s="261" t="e">
        <v>#REF!</v>
      </c>
      <c r="I67" s="262" t="e">
        <f t="shared" si="1"/>
        <v>#REF!</v>
      </c>
      <c r="J67" s="263" t="e">
        <f>I67*'Cash-flow'!$D$54/12</f>
        <v>#REF!</v>
      </c>
      <c r="L67" s="265">
        <v>47088</v>
      </c>
      <c r="M67" s="261">
        <v>0</v>
      </c>
      <c r="N67" s="262">
        <f t="shared" si="2"/>
        <v>0</v>
      </c>
      <c r="O67" s="263">
        <f>N67*'Cash-flow'!$D$55/12</f>
        <v>0</v>
      </c>
      <c r="Q67" s="265">
        <v>47088</v>
      </c>
      <c r="R67" s="261">
        <v>0</v>
      </c>
      <c r="S67" s="262">
        <f t="shared" si="3"/>
        <v>0</v>
      </c>
      <c r="T67" s="263">
        <f>S67*'Cash-flow'!$D$56/12</f>
        <v>0</v>
      </c>
    </row>
    <row r="68" spans="2:20" ht="14" x14ac:dyDescent="0.15">
      <c r="B68" s="260">
        <v>47119</v>
      </c>
      <c r="C68" s="261">
        <v>0</v>
      </c>
      <c r="D68" s="262">
        <f t="shared" si="0"/>
        <v>0</v>
      </c>
      <c r="E68" s="263">
        <f>D68*'Cash-flow'!$D$53/12</f>
        <v>0</v>
      </c>
      <c r="G68" s="260">
        <v>47119</v>
      </c>
      <c r="H68" s="261" t="e">
        <v>#REF!</v>
      </c>
      <c r="I68" s="262" t="e">
        <f t="shared" si="1"/>
        <v>#REF!</v>
      </c>
      <c r="J68" s="263" t="e">
        <f>I68*'Cash-flow'!$D$54/12</f>
        <v>#REF!</v>
      </c>
      <c r="L68" s="260">
        <v>47119</v>
      </c>
      <c r="M68" s="261">
        <v>0</v>
      </c>
      <c r="N68" s="262">
        <f t="shared" si="2"/>
        <v>0</v>
      </c>
      <c r="O68" s="263">
        <f>N68*'Cash-flow'!$D$55/12</f>
        <v>0</v>
      </c>
      <c r="Q68" s="260">
        <v>47119</v>
      </c>
      <c r="R68" s="261">
        <v>0</v>
      </c>
      <c r="S68" s="262">
        <f t="shared" si="3"/>
        <v>0</v>
      </c>
      <c r="T68" s="263">
        <f>S68*'Cash-flow'!$D$56/12</f>
        <v>0</v>
      </c>
    </row>
    <row r="69" spans="2:20" ht="14" x14ac:dyDescent="0.15">
      <c r="B69" s="265">
        <v>47150</v>
      </c>
      <c r="C69" s="261">
        <v>0</v>
      </c>
      <c r="D69" s="262">
        <f t="shared" si="0"/>
        <v>0</v>
      </c>
      <c r="E69" s="263">
        <f>D69*'Cash-flow'!$D$53/12</f>
        <v>0</v>
      </c>
      <c r="G69" s="265">
        <v>47150</v>
      </c>
      <c r="H69" s="261" t="e">
        <v>#REF!</v>
      </c>
      <c r="I69" s="262" t="e">
        <f t="shared" si="1"/>
        <v>#REF!</v>
      </c>
      <c r="J69" s="263" t="e">
        <f>I69*'Cash-flow'!$D$54/12</f>
        <v>#REF!</v>
      </c>
      <c r="L69" s="265">
        <v>47150</v>
      </c>
      <c r="M69" s="261">
        <v>0</v>
      </c>
      <c r="N69" s="262">
        <f t="shared" si="2"/>
        <v>0</v>
      </c>
      <c r="O69" s="263">
        <f>N69*'Cash-flow'!$D$55/12</f>
        <v>0</v>
      </c>
      <c r="Q69" s="265">
        <v>47150</v>
      </c>
      <c r="R69" s="261">
        <v>0</v>
      </c>
      <c r="S69" s="262">
        <f t="shared" si="3"/>
        <v>0</v>
      </c>
      <c r="T69" s="263">
        <f>S69*'Cash-flow'!$D$56/12</f>
        <v>0</v>
      </c>
    </row>
    <row r="70" spans="2:20" ht="14" x14ac:dyDescent="0.15">
      <c r="B70" s="265">
        <v>47178</v>
      </c>
      <c r="C70" s="261">
        <v>0</v>
      </c>
      <c r="D70" s="262">
        <f t="shared" si="0"/>
        <v>0</v>
      </c>
      <c r="E70" s="263">
        <f>D70*'Cash-flow'!$D$53/12</f>
        <v>0</v>
      </c>
      <c r="G70" s="265">
        <v>47178</v>
      </c>
      <c r="H70" s="261" t="e">
        <v>#REF!</v>
      </c>
      <c r="I70" s="262" t="e">
        <f t="shared" si="1"/>
        <v>#REF!</v>
      </c>
      <c r="J70" s="263" t="e">
        <f>I70*'Cash-flow'!$D$54/12</f>
        <v>#REF!</v>
      </c>
      <c r="L70" s="265">
        <v>47178</v>
      </c>
      <c r="M70" s="261">
        <v>0</v>
      </c>
      <c r="N70" s="262">
        <f t="shared" si="2"/>
        <v>0</v>
      </c>
      <c r="O70" s="263">
        <f>N70*'Cash-flow'!$D$55/12</f>
        <v>0</v>
      </c>
      <c r="Q70" s="265">
        <v>47178</v>
      </c>
      <c r="R70" s="261">
        <v>0</v>
      </c>
      <c r="S70" s="262">
        <f t="shared" si="3"/>
        <v>0</v>
      </c>
      <c r="T70" s="263">
        <f>S70*'Cash-flow'!$D$56/12</f>
        <v>0</v>
      </c>
    </row>
    <row r="71" spans="2:20" ht="14" x14ac:dyDescent="0.15">
      <c r="B71" s="265">
        <v>47209</v>
      </c>
      <c r="C71" s="261">
        <v>0</v>
      </c>
      <c r="D71" s="262">
        <f t="shared" si="0"/>
        <v>0</v>
      </c>
      <c r="E71" s="263">
        <f>D71*'Cash-flow'!$D$53/12</f>
        <v>0</v>
      </c>
      <c r="G71" s="265">
        <v>47209</v>
      </c>
      <c r="H71" s="261" t="e">
        <v>#REF!</v>
      </c>
      <c r="I71" s="262" t="e">
        <f t="shared" si="1"/>
        <v>#REF!</v>
      </c>
      <c r="J71" s="263" t="e">
        <f>I71*'Cash-flow'!$D$54/12</f>
        <v>#REF!</v>
      </c>
      <c r="L71" s="265">
        <v>47209</v>
      </c>
      <c r="M71" s="261">
        <v>0</v>
      </c>
      <c r="N71" s="262">
        <f t="shared" si="2"/>
        <v>0</v>
      </c>
      <c r="O71" s="263">
        <f>N71*'Cash-flow'!$D$55/12</f>
        <v>0</v>
      </c>
      <c r="Q71" s="265">
        <v>47209</v>
      </c>
      <c r="R71" s="261">
        <v>0</v>
      </c>
      <c r="S71" s="262">
        <f t="shared" si="3"/>
        <v>0</v>
      </c>
      <c r="T71" s="263">
        <f>S71*'Cash-flow'!$D$56/12</f>
        <v>0</v>
      </c>
    </row>
    <row r="72" spans="2:20" ht="14" x14ac:dyDescent="0.15">
      <c r="B72" s="265">
        <v>47239</v>
      </c>
      <c r="C72" s="261">
        <v>0</v>
      </c>
      <c r="D72" s="262">
        <f t="shared" si="0"/>
        <v>0</v>
      </c>
      <c r="E72" s="263">
        <f>D72*'Cash-flow'!$D$53/12</f>
        <v>0</v>
      </c>
      <c r="G72" s="265">
        <v>47239</v>
      </c>
      <c r="H72" s="261" t="e">
        <v>#REF!</v>
      </c>
      <c r="I72" s="262" t="e">
        <f t="shared" si="1"/>
        <v>#REF!</v>
      </c>
      <c r="J72" s="263" t="e">
        <f>I72*'Cash-flow'!$D$54/12</f>
        <v>#REF!</v>
      </c>
      <c r="L72" s="265">
        <v>47239</v>
      </c>
      <c r="M72" s="261">
        <v>0</v>
      </c>
      <c r="N72" s="262">
        <f t="shared" si="2"/>
        <v>0</v>
      </c>
      <c r="O72" s="263">
        <f>N72*'Cash-flow'!$D$55/12</f>
        <v>0</v>
      </c>
      <c r="Q72" s="265">
        <v>47239</v>
      </c>
      <c r="R72" s="261">
        <v>0</v>
      </c>
      <c r="S72" s="262">
        <f t="shared" si="3"/>
        <v>0</v>
      </c>
      <c r="T72" s="263">
        <f>S72*'Cash-flow'!$D$56/12</f>
        <v>0</v>
      </c>
    </row>
    <row r="73" spans="2:20" ht="14" x14ac:dyDescent="0.15">
      <c r="B73" s="266">
        <v>47270</v>
      </c>
      <c r="C73" s="261">
        <v>0</v>
      </c>
      <c r="D73" s="262">
        <f t="shared" si="0"/>
        <v>0</v>
      </c>
      <c r="E73" s="263">
        <f>D73*'Cash-flow'!$D$53/12</f>
        <v>0</v>
      </c>
      <c r="G73" s="266">
        <v>47270</v>
      </c>
      <c r="H73" s="261" t="e">
        <v>#REF!</v>
      </c>
      <c r="I73" s="262" t="e">
        <f t="shared" si="1"/>
        <v>#REF!</v>
      </c>
      <c r="J73" s="263" t="e">
        <f>I73*'Cash-flow'!$D$54/12</f>
        <v>#REF!</v>
      </c>
      <c r="L73" s="266">
        <v>47270</v>
      </c>
      <c r="M73" s="261">
        <v>0</v>
      </c>
      <c r="N73" s="262">
        <f t="shared" si="2"/>
        <v>0</v>
      </c>
      <c r="O73" s="263">
        <f>N73*'Cash-flow'!$D$55/12</f>
        <v>0</v>
      </c>
      <c r="Q73" s="266">
        <v>47270</v>
      </c>
      <c r="R73" s="261">
        <v>0</v>
      </c>
      <c r="S73" s="262">
        <f t="shared" si="3"/>
        <v>0</v>
      </c>
      <c r="T73" s="263">
        <f>S73*'Cash-flow'!$D$56/12</f>
        <v>0</v>
      </c>
    </row>
    <row r="74" spans="2:20" ht="14" x14ac:dyDescent="0.15">
      <c r="B74" s="265">
        <v>47300</v>
      </c>
      <c r="C74" s="261">
        <v>0</v>
      </c>
      <c r="D74" s="262">
        <f t="shared" si="0"/>
        <v>0</v>
      </c>
      <c r="E74" s="263">
        <f>D74*'Cash-flow'!$D$53/12</f>
        <v>0</v>
      </c>
      <c r="G74" s="265">
        <v>47300</v>
      </c>
      <c r="H74" s="261" t="e">
        <v>#REF!</v>
      </c>
      <c r="I74" s="262" t="e">
        <f t="shared" si="1"/>
        <v>#REF!</v>
      </c>
      <c r="J74" s="263" t="e">
        <f>I74*'Cash-flow'!$D$54/12</f>
        <v>#REF!</v>
      </c>
      <c r="L74" s="265">
        <v>47300</v>
      </c>
      <c r="M74" s="261">
        <v>0</v>
      </c>
      <c r="N74" s="262">
        <f t="shared" si="2"/>
        <v>0</v>
      </c>
      <c r="O74" s="263">
        <f>N74*'Cash-flow'!$D$55/12</f>
        <v>0</v>
      </c>
      <c r="Q74" s="265">
        <v>47300</v>
      </c>
      <c r="R74" s="261">
        <v>0</v>
      </c>
      <c r="S74" s="262">
        <f t="shared" si="3"/>
        <v>0</v>
      </c>
      <c r="T74" s="263">
        <f>S74*'Cash-flow'!$D$56/12</f>
        <v>0</v>
      </c>
    </row>
    <row r="75" spans="2:20" ht="14" x14ac:dyDescent="0.15">
      <c r="B75" s="265">
        <v>47331</v>
      </c>
      <c r="C75" s="261">
        <v>0</v>
      </c>
      <c r="D75" s="262">
        <f t="shared" si="0"/>
        <v>0</v>
      </c>
      <c r="E75" s="263">
        <f>D75*'Cash-flow'!$D$53/12</f>
        <v>0</v>
      </c>
      <c r="G75" s="265">
        <v>47331</v>
      </c>
      <c r="H75" s="261" t="e">
        <v>#REF!</v>
      </c>
      <c r="I75" s="262" t="e">
        <f t="shared" si="1"/>
        <v>#REF!</v>
      </c>
      <c r="J75" s="263" t="e">
        <f>I75*'Cash-flow'!$D$54/12</f>
        <v>#REF!</v>
      </c>
      <c r="L75" s="265">
        <v>47331</v>
      </c>
      <c r="M75" s="261">
        <v>0</v>
      </c>
      <c r="N75" s="262">
        <f t="shared" si="2"/>
        <v>0</v>
      </c>
      <c r="O75" s="263">
        <f>N75*'Cash-flow'!$D$55/12</f>
        <v>0</v>
      </c>
      <c r="Q75" s="265">
        <v>47331</v>
      </c>
      <c r="R75" s="261">
        <v>0</v>
      </c>
      <c r="S75" s="262">
        <f t="shared" si="3"/>
        <v>0</v>
      </c>
      <c r="T75" s="263">
        <f>S75*'Cash-flow'!$D$56/12</f>
        <v>0</v>
      </c>
    </row>
    <row r="76" spans="2:20" ht="14" x14ac:dyDescent="0.15">
      <c r="B76" s="265">
        <v>47362</v>
      </c>
      <c r="C76" s="261">
        <v>0</v>
      </c>
      <c r="D76" s="262">
        <f t="shared" si="0"/>
        <v>0</v>
      </c>
      <c r="E76" s="263">
        <f>D76*'Cash-flow'!$D$53/12</f>
        <v>0</v>
      </c>
      <c r="G76" s="265">
        <v>47362</v>
      </c>
      <c r="H76" s="261" t="e">
        <v>#REF!</v>
      </c>
      <c r="I76" s="262" t="e">
        <f t="shared" si="1"/>
        <v>#REF!</v>
      </c>
      <c r="J76" s="263" t="e">
        <f>I76*'Cash-flow'!$D$54/12</f>
        <v>#REF!</v>
      </c>
      <c r="L76" s="265">
        <v>47362</v>
      </c>
      <c r="M76" s="261">
        <v>0</v>
      </c>
      <c r="N76" s="262">
        <f t="shared" si="2"/>
        <v>0</v>
      </c>
      <c r="O76" s="263">
        <f>N76*'Cash-flow'!$D$55/12</f>
        <v>0</v>
      </c>
      <c r="Q76" s="265">
        <v>47362</v>
      </c>
      <c r="R76" s="261">
        <v>0</v>
      </c>
      <c r="S76" s="262">
        <f t="shared" si="3"/>
        <v>0</v>
      </c>
      <c r="T76" s="263">
        <f>S76*'Cash-flow'!$D$56/12</f>
        <v>0</v>
      </c>
    </row>
    <row r="77" spans="2:20" ht="14" x14ac:dyDescent="0.15">
      <c r="B77" s="265">
        <v>47392</v>
      </c>
      <c r="C77" s="261">
        <v>0</v>
      </c>
      <c r="D77" s="262">
        <f t="shared" si="0"/>
        <v>0</v>
      </c>
      <c r="E77" s="263">
        <f>D77*'Cash-flow'!$D$53/12</f>
        <v>0</v>
      </c>
      <c r="G77" s="265">
        <v>47392</v>
      </c>
      <c r="H77" s="261" t="e">
        <v>#REF!</v>
      </c>
      <c r="I77" s="262" t="e">
        <f t="shared" si="1"/>
        <v>#REF!</v>
      </c>
      <c r="J77" s="263" t="e">
        <f>I77*'Cash-flow'!$D$54/12</f>
        <v>#REF!</v>
      </c>
      <c r="L77" s="265">
        <v>47392</v>
      </c>
      <c r="M77" s="261">
        <v>0</v>
      </c>
      <c r="N77" s="262">
        <f t="shared" si="2"/>
        <v>0</v>
      </c>
      <c r="O77" s="263">
        <f>N77*'Cash-flow'!$D$55/12</f>
        <v>0</v>
      </c>
      <c r="Q77" s="265">
        <v>47392</v>
      </c>
      <c r="R77" s="261">
        <v>0</v>
      </c>
      <c r="S77" s="262">
        <f t="shared" si="3"/>
        <v>0</v>
      </c>
      <c r="T77" s="263">
        <f>S77*'Cash-flow'!$D$56/12</f>
        <v>0</v>
      </c>
    </row>
    <row r="78" spans="2:20" ht="14" x14ac:dyDescent="0.15">
      <c r="B78" s="265">
        <v>47423</v>
      </c>
      <c r="C78" s="261">
        <v>0</v>
      </c>
      <c r="D78" s="262">
        <f t="shared" si="0"/>
        <v>0</v>
      </c>
      <c r="E78" s="263">
        <f>D78*'Cash-flow'!$D$53/12</f>
        <v>0</v>
      </c>
      <c r="G78" s="265">
        <v>47423</v>
      </c>
      <c r="H78" s="261" t="e">
        <v>#REF!</v>
      </c>
      <c r="I78" s="262" t="e">
        <f t="shared" si="1"/>
        <v>#REF!</v>
      </c>
      <c r="J78" s="263" t="e">
        <f>I78*'Cash-flow'!$D$54/12</f>
        <v>#REF!</v>
      </c>
      <c r="L78" s="265">
        <v>47423</v>
      </c>
      <c r="M78" s="261">
        <v>0</v>
      </c>
      <c r="N78" s="262">
        <f t="shared" si="2"/>
        <v>0</v>
      </c>
      <c r="O78" s="263">
        <f>N78*'Cash-flow'!$D$55/12</f>
        <v>0</v>
      </c>
      <c r="Q78" s="265">
        <v>47423</v>
      </c>
      <c r="R78" s="261">
        <v>0</v>
      </c>
      <c r="S78" s="262">
        <f t="shared" si="3"/>
        <v>0</v>
      </c>
      <c r="T78" s="263">
        <f>S78*'Cash-flow'!$D$56/12</f>
        <v>0</v>
      </c>
    </row>
    <row r="79" spans="2:20" ht="14" x14ac:dyDescent="0.15">
      <c r="B79" s="265">
        <v>47453</v>
      </c>
      <c r="C79" s="261">
        <v>0</v>
      </c>
      <c r="D79" s="262">
        <f>D78</f>
        <v>0</v>
      </c>
      <c r="E79" s="263">
        <f>D79*'Cash-flow'!$D$53/12</f>
        <v>0</v>
      </c>
      <c r="G79" s="265">
        <v>47453</v>
      </c>
      <c r="H79" s="261" t="e">
        <v>#REF!</v>
      </c>
      <c r="I79" s="262" t="e">
        <f>I78</f>
        <v>#REF!</v>
      </c>
      <c r="J79" s="263" t="e">
        <f>I79*'Cash-flow'!$D$54/12</f>
        <v>#REF!</v>
      </c>
      <c r="L79" s="265">
        <v>47453</v>
      </c>
      <c r="M79" s="261">
        <v>0</v>
      </c>
      <c r="N79" s="262">
        <f>N78</f>
        <v>0</v>
      </c>
      <c r="O79" s="263">
        <f>N79*'Cash-flow'!$D$55/12</f>
        <v>0</v>
      </c>
      <c r="Q79" s="265">
        <v>47453</v>
      </c>
      <c r="R79" s="261">
        <v>0</v>
      </c>
      <c r="S79" s="262">
        <f>S78</f>
        <v>0</v>
      </c>
      <c r="T79" s="263">
        <f>S79*'Cash-flow'!$D$56/12</f>
        <v>0</v>
      </c>
    </row>
  </sheetData>
  <mergeCells count="4">
    <mergeCell ref="B2:E3"/>
    <mergeCell ref="G2:J3"/>
    <mergeCell ref="L2:O3"/>
    <mergeCell ref="Q2:T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B1:BZ35"/>
  <sheetViews>
    <sheetView workbookViewId="0"/>
  </sheetViews>
  <sheetFormatPr baseColWidth="10" defaultColWidth="12.6640625" defaultRowHeight="15" customHeight="1" outlineLevelCol="1" x14ac:dyDescent="0.15"/>
  <cols>
    <col min="1" max="1" width="2.1640625" customWidth="1"/>
    <col min="2" max="2" width="6.6640625" customWidth="1"/>
    <col min="3" max="3" width="36.5" customWidth="1"/>
    <col min="4" max="4" width="9.6640625" customWidth="1"/>
    <col min="5" max="16" width="5.6640625" customWidth="1"/>
    <col min="17" max="17" width="5.6640625" customWidth="1" collapsed="1"/>
    <col min="18" max="28" width="5.6640625" hidden="1" customWidth="1" outlineLevel="1"/>
    <col min="29" max="29" width="5.6640625" customWidth="1" collapsed="1"/>
    <col min="30" max="40" width="5.6640625" hidden="1" customWidth="1" outlineLevel="1"/>
    <col min="41" max="41" width="5.6640625" customWidth="1" collapsed="1"/>
    <col min="42" max="52" width="5.6640625" hidden="1" customWidth="1" outlineLevel="1"/>
    <col min="53" max="53" width="5.6640625" customWidth="1" collapsed="1"/>
    <col min="54" max="64" width="5.6640625" hidden="1" customWidth="1" outlineLevel="1"/>
    <col min="65" max="65" width="5.6640625" customWidth="1" collapsed="1"/>
    <col min="66" max="75" width="5.6640625" hidden="1" customWidth="1" outlineLevel="1"/>
    <col min="76" max="76" width="10.6640625" hidden="1" customWidth="1" outlineLevel="1"/>
    <col min="77" max="77" width="8.5" customWidth="1"/>
    <col min="78" max="78" width="13.1640625" customWidth="1"/>
    <col min="79" max="80" width="5.6640625" customWidth="1"/>
  </cols>
  <sheetData>
    <row r="1" spans="2:78" x14ac:dyDescent="0.2">
      <c r="E1" s="540">
        <v>2024</v>
      </c>
      <c r="F1" s="465"/>
      <c r="G1" s="465"/>
      <c r="H1" s="465"/>
      <c r="I1" s="465"/>
      <c r="J1" s="465"/>
      <c r="K1" s="465"/>
      <c r="L1" s="465"/>
      <c r="M1" s="465"/>
      <c r="N1" s="465"/>
      <c r="O1" s="465"/>
      <c r="P1" s="466"/>
      <c r="Q1" s="540">
        <f>E1+1</f>
        <v>2025</v>
      </c>
      <c r="R1" s="465"/>
      <c r="S1" s="465"/>
      <c r="T1" s="465"/>
      <c r="U1" s="465"/>
      <c r="V1" s="465"/>
      <c r="W1" s="465"/>
      <c r="X1" s="465"/>
      <c r="Y1" s="465"/>
      <c r="Z1" s="465"/>
      <c r="AA1" s="465"/>
      <c r="AB1" s="466"/>
      <c r="AC1" s="540">
        <f>Q1+1</f>
        <v>2026</v>
      </c>
      <c r="AD1" s="465"/>
      <c r="AE1" s="465"/>
      <c r="AF1" s="465"/>
      <c r="AG1" s="465"/>
      <c r="AH1" s="465"/>
      <c r="AI1" s="465"/>
      <c r="AJ1" s="465"/>
      <c r="AK1" s="465"/>
      <c r="AL1" s="465"/>
      <c r="AM1" s="465"/>
      <c r="AN1" s="466"/>
      <c r="AO1" s="540">
        <f>AC1+1</f>
        <v>2027</v>
      </c>
      <c r="AP1" s="465"/>
      <c r="AQ1" s="465"/>
      <c r="AR1" s="465"/>
      <c r="AS1" s="465"/>
      <c r="AT1" s="465"/>
      <c r="AU1" s="465"/>
      <c r="AV1" s="465"/>
      <c r="AW1" s="465"/>
      <c r="AX1" s="465"/>
      <c r="AY1" s="465"/>
      <c r="AZ1" s="466"/>
      <c r="BA1" s="540">
        <f>AO1+1</f>
        <v>2028</v>
      </c>
      <c r="BB1" s="465"/>
      <c r="BC1" s="465"/>
      <c r="BD1" s="465"/>
      <c r="BE1" s="465"/>
      <c r="BF1" s="465"/>
      <c r="BG1" s="465"/>
      <c r="BH1" s="465"/>
      <c r="BI1" s="465"/>
      <c r="BJ1" s="465"/>
      <c r="BK1" s="465"/>
      <c r="BL1" s="466"/>
      <c r="BM1" s="540">
        <f>BA1+1</f>
        <v>2029</v>
      </c>
      <c r="BN1" s="465"/>
      <c r="BO1" s="465"/>
      <c r="BP1" s="465"/>
      <c r="BQ1" s="465"/>
      <c r="BR1" s="465"/>
      <c r="BS1" s="465"/>
      <c r="BT1" s="465"/>
      <c r="BU1" s="465"/>
      <c r="BV1" s="465"/>
      <c r="BW1" s="465"/>
      <c r="BX1" s="466"/>
    </row>
    <row r="2" spans="2:78" x14ac:dyDescent="0.2">
      <c r="E2" s="267">
        <v>45292</v>
      </c>
      <c r="F2" s="267">
        <v>45323</v>
      </c>
      <c r="G2" s="267">
        <v>45352</v>
      </c>
      <c r="H2" s="267">
        <v>45383</v>
      </c>
      <c r="I2" s="267">
        <v>45413</v>
      </c>
      <c r="J2" s="267">
        <v>45444</v>
      </c>
      <c r="K2" s="267">
        <v>45474</v>
      </c>
      <c r="L2" s="267">
        <v>45505</v>
      </c>
      <c r="M2" s="267">
        <v>45536</v>
      </c>
      <c r="N2" s="267">
        <v>45566</v>
      </c>
      <c r="O2" s="267">
        <v>45597</v>
      </c>
      <c r="P2" s="267">
        <v>45627</v>
      </c>
      <c r="Q2" s="267">
        <v>45292</v>
      </c>
      <c r="R2" s="267">
        <v>45323</v>
      </c>
      <c r="S2" s="267">
        <v>45352</v>
      </c>
      <c r="T2" s="267">
        <v>45383</v>
      </c>
      <c r="U2" s="267">
        <v>45413</v>
      </c>
      <c r="V2" s="267">
        <v>45444</v>
      </c>
      <c r="W2" s="267">
        <v>45474</v>
      </c>
      <c r="X2" s="267">
        <v>45505</v>
      </c>
      <c r="Y2" s="267">
        <v>45536</v>
      </c>
      <c r="Z2" s="267">
        <v>45566</v>
      </c>
      <c r="AA2" s="267">
        <v>45597</v>
      </c>
      <c r="AB2" s="267">
        <v>45627</v>
      </c>
      <c r="AC2" s="267">
        <v>45292</v>
      </c>
      <c r="AD2" s="267">
        <v>45323</v>
      </c>
      <c r="AE2" s="267">
        <v>45352</v>
      </c>
      <c r="AF2" s="267">
        <v>45383</v>
      </c>
      <c r="AG2" s="267">
        <v>45413</v>
      </c>
      <c r="AH2" s="267">
        <v>45444</v>
      </c>
      <c r="AI2" s="267">
        <v>45474</v>
      </c>
      <c r="AJ2" s="267">
        <v>45505</v>
      </c>
      <c r="AK2" s="267">
        <v>45536</v>
      </c>
      <c r="AL2" s="267">
        <v>45566</v>
      </c>
      <c r="AM2" s="267">
        <v>45597</v>
      </c>
      <c r="AN2" s="267">
        <v>45627</v>
      </c>
      <c r="AO2" s="267">
        <v>45292</v>
      </c>
      <c r="AP2" s="267">
        <v>45323</v>
      </c>
      <c r="AQ2" s="267">
        <v>45352</v>
      </c>
      <c r="AR2" s="267">
        <v>45383</v>
      </c>
      <c r="AS2" s="267">
        <v>45413</v>
      </c>
      <c r="AT2" s="267">
        <v>45444</v>
      </c>
      <c r="AU2" s="267">
        <v>45474</v>
      </c>
      <c r="AV2" s="267">
        <v>45505</v>
      </c>
      <c r="AW2" s="267">
        <v>45536</v>
      </c>
      <c r="AX2" s="267">
        <v>45566</v>
      </c>
      <c r="AY2" s="267">
        <v>45597</v>
      </c>
      <c r="AZ2" s="267">
        <v>45627</v>
      </c>
      <c r="BA2" s="267">
        <v>45292</v>
      </c>
      <c r="BB2" s="267">
        <v>45323</v>
      </c>
      <c r="BC2" s="267">
        <v>45352</v>
      </c>
      <c r="BD2" s="267">
        <v>45383</v>
      </c>
      <c r="BE2" s="267">
        <v>45413</v>
      </c>
      <c r="BF2" s="267">
        <v>45444</v>
      </c>
      <c r="BG2" s="267">
        <v>45474</v>
      </c>
      <c r="BH2" s="267">
        <v>45505</v>
      </c>
      <c r="BI2" s="267">
        <v>45536</v>
      </c>
      <c r="BJ2" s="267">
        <v>45566</v>
      </c>
      <c r="BK2" s="267">
        <v>45597</v>
      </c>
      <c r="BL2" s="267">
        <v>45627</v>
      </c>
      <c r="BM2" s="267">
        <v>45292</v>
      </c>
      <c r="BN2" s="267">
        <v>45323</v>
      </c>
      <c r="BO2" s="267">
        <v>45352</v>
      </c>
      <c r="BP2" s="267">
        <v>45383</v>
      </c>
      <c r="BQ2" s="267">
        <v>45413</v>
      </c>
      <c r="BR2" s="267">
        <v>45444</v>
      </c>
      <c r="BS2" s="267">
        <v>45474</v>
      </c>
      <c r="BT2" s="267">
        <v>45505</v>
      </c>
      <c r="BU2" s="267">
        <v>45536</v>
      </c>
      <c r="BV2" s="267">
        <v>45566</v>
      </c>
      <c r="BW2" s="267">
        <v>45597</v>
      </c>
      <c r="BX2" s="267">
        <v>45627</v>
      </c>
    </row>
    <row r="3" spans="2:78" x14ac:dyDescent="0.2">
      <c r="B3" s="530" t="s">
        <v>206</v>
      </c>
      <c r="C3" s="268" t="str">
        <f>'Cash-flow'!C5</f>
        <v>LHM</v>
      </c>
      <c r="D3" s="269" t="s">
        <v>208</v>
      </c>
      <c r="E3" s="270">
        <f>'Cash-flow'!E5</f>
        <v>0</v>
      </c>
      <c r="F3" s="270">
        <f>'Cash-flow'!F5</f>
        <v>0</v>
      </c>
      <c r="G3" s="270">
        <f>'Cash-flow'!G5</f>
        <v>0</v>
      </c>
      <c r="H3" s="270">
        <f>'Cash-flow'!H5</f>
        <v>0</v>
      </c>
      <c r="I3" s="270">
        <f>'Cash-flow'!I5</f>
        <v>0</v>
      </c>
      <c r="J3" s="270">
        <f>'Cash-flow'!J5</f>
        <v>0</v>
      </c>
      <c r="K3" s="270">
        <f>'Cash-flow'!K5</f>
        <v>0</v>
      </c>
      <c r="L3" s="270">
        <f>'Cash-flow'!L5</f>
        <v>0</v>
      </c>
      <c r="M3" s="270">
        <f>'Cash-flow'!M5</f>
        <v>0</v>
      </c>
      <c r="N3" s="270">
        <f>'Cash-flow'!N5</f>
        <v>0</v>
      </c>
      <c r="O3" s="270">
        <f>'Cash-flow'!O5</f>
        <v>0</v>
      </c>
      <c r="P3" s="270">
        <f>'Cash-flow'!P5</f>
        <v>0</v>
      </c>
      <c r="Q3" s="270">
        <f>'Cash-flow'!Q5</f>
        <v>5000000</v>
      </c>
      <c r="R3" s="270">
        <f>'Cash-flow'!R5</f>
        <v>0</v>
      </c>
      <c r="S3" s="270">
        <f>'Cash-flow'!S5</f>
        <v>100000</v>
      </c>
      <c r="T3" s="270">
        <f>'Cash-flow'!T5</f>
        <v>200000</v>
      </c>
      <c r="U3" s="270">
        <f>'Cash-flow'!U5</f>
        <v>5000000</v>
      </c>
      <c r="V3" s="270">
        <f>'Cash-flow'!V5</f>
        <v>1000000</v>
      </c>
      <c r="W3" s="270">
        <f>'Cash-flow'!W5</f>
        <v>2500000</v>
      </c>
      <c r="X3" s="270">
        <f>'Cash-flow'!X5</f>
        <v>600000</v>
      </c>
      <c r="Y3" s="270">
        <f>'Cash-flow'!Y5</f>
        <v>700000</v>
      </c>
      <c r="Z3" s="270">
        <f>'Cash-flow'!Z5</f>
        <v>1500000</v>
      </c>
      <c r="AA3" s="270">
        <f>'Cash-flow'!AA5</f>
        <v>0</v>
      </c>
      <c r="AB3" s="270">
        <f>'Cash-flow'!AB5</f>
        <v>17000000</v>
      </c>
      <c r="AC3" s="270">
        <f>'Cash-flow'!AC5</f>
        <v>0</v>
      </c>
      <c r="AD3" s="270">
        <f>'Cash-flow'!AD5</f>
        <v>0</v>
      </c>
      <c r="AE3" s="270">
        <f>'Cash-flow'!AE5</f>
        <v>0</v>
      </c>
      <c r="AF3" s="270">
        <f>'Cash-flow'!AF5</f>
        <v>0</v>
      </c>
      <c r="AG3" s="270">
        <f>'Cash-flow'!AG5</f>
        <v>0</v>
      </c>
      <c r="AH3" s="270">
        <f>'Cash-flow'!AH5</f>
        <v>0</v>
      </c>
      <c r="AI3" s="270">
        <f>'Cash-flow'!AI5</f>
        <v>0</v>
      </c>
      <c r="AJ3" s="270">
        <f>'Cash-flow'!AJ5</f>
        <v>0</v>
      </c>
      <c r="AK3" s="270">
        <f>'Cash-flow'!AK5</f>
        <v>0</v>
      </c>
      <c r="AL3" s="270">
        <f>'Cash-flow'!AL5</f>
        <v>0</v>
      </c>
      <c r="AM3" s="270">
        <f>'Cash-flow'!AM5</f>
        <v>0</v>
      </c>
      <c r="AN3" s="270">
        <f>'Cash-flow'!AN5</f>
        <v>0</v>
      </c>
      <c r="AO3" s="270">
        <f>'Cash-flow'!AO5</f>
        <v>0</v>
      </c>
      <c r="AP3" s="270">
        <f>'Cash-flow'!AP5</f>
        <v>0</v>
      </c>
      <c r="AQ3" s="270">
        <f>'Cash-flow'!AQ5</f>
        <v>0</v>
      </c>
      <c r="AR3" s="270">
        <f>'Cash-flow'!AR5</f>
        <v>0</v>
      </c>
      <c r="AS3" s="270">
        <f>'Cash-flow'!AS5</f>
        <v>0</v>
      </c>
      <c r="AT3" s="270">
        <f>'Cash-flow'!AT5</f>
        <v>0</v>
      </c>
      <c r="AU3" s="270">
        <f>'Cash-flow'!AU5</f>
        <v>0</v>
      </c>
      <c r="AV3" s="270">
        <f>'Cash-flow'!AV5</f>
        <v>0</v>
      </c>
      <c r="AW3" s="270">
        <f>'Cash-flow'!AW5</f>
        <v>0</v>
      </c>
      <c r="AX3" s="270">
        <f>'Cash-flow'!AX5</f>
        <v>0</v>
      </c>
      <c r="AY3" s="270">
        <f>'Cash-flow'!AY5</f>
        <v>0</v>
      </c>
      <c r="AZ3" s="270">
        <f>'Cash-flow'!AZ5</f>
        <v>0</v>
      </c>
      <c r="BA3" s="270">
        <f>'Cash-flow'!BA5</f>
        <v>0</v>
      </c>
      <c r="BB3" s="270">
        <f>'Cash-flow'!BB5</f>
        <v>0</v>
      </c>
      <c r="BC3" s="270">
        <f>'Cash-flow'!BC5</f>
        <v>0</v>
      </c>
      <c r="BD3" s="270">
        <f>'Cash-flow'!BD5</f>
        <v>0</v>
      </c>
      <c r="BE3" s="270">
        <f>'Cash-flow'!BE5</f>
        <v>0</v>
      </c>
      <c r="BF3" s="270">
        <f>'Cash-flow'!BF5</f>
        <v>0</v>
      </c>
      <c r="BG3" s="270">
        <f>'Cash-flow'!BG5</f>
        <v>0</v>
      </c>
      <c r="BH3" s="270">
        <f>'Cash-flow'!BH5</f>
        <v>0</v>
      </c>
      <c r="BI3" s="270">
        <f>'Cash-flow'!BI5</f>
        <v>0</v>
      </c>
      <c r="BJ3" s="270">
        <f>'Cash-flow'!BJ5</f>
        <v>0</v>
      </c>
      <c r="BK3" s="270">
        <f>'Cash-flow'!BK5</f>
        <v>0</v>
      </c>
      <c r="BL3" s="270">
        <f>'Cash-flow'!BL5</f>
        <v>0</v>
      </c>
      <c r="BM3" s="270">
        <f>'Cash-flow'!BM5</f>
        <v>0</v>
      </c>
      <c r="BN3" s="270">
        <f>'Cash-flow'!BN5</f>
        <v>0</v>
      </c>
      <c r="BO3" s="270">
        <f>'Cash-flow'!BO5</f>
        <v>0</v>
      </c>
      <c r="BP3" s="270">
        <f>'Cash-flow'!BP5</f>
        <v>0</v>
      </c>
      <c r="BQ3" s="270">
        <f>'Cash-flow'!BQ5</f>
        <v>0</v>
      </c>
      <c r="BR3" s="270">
        <f>'Cash-flow'!BR5</f>
        <v>0</v>
      </c>
      <c r="BS3" s="270">
        <f>'Cash-flow'!BS5</f>
        <v>0</v>
      </c>
      <c r="BT3" s="270">
        <f>'Cash-flow'!BT5</f>
        <v>0</v>
      </c>
      <c r="BU3" s="270">
        <f>'Cash-flow'!BU5</f>
        <v>0</v>
      </c>
      <c r="BV3" s="270">
        <f>'Cash-flow'!BV5</f>
        <v>0</v>
      </c>
      <c r="BW3" s="270">
        <f>'Cash-flow'!BW5</f>
        <v>0</v>
      </c>
      <c r="BX3" s="270">
        <f>'Cash-flow'!BX5</f>
        <v>0</v>
      </c>
      <c r="BY3" s="271">
        <f>SUM(E3:BX3)</f>
        <v>33600000</v>
      </c>
      <c r="BZ3" s="541">
        <f>BY3+BY6</f>
        <v>33600000</v>
      </c>
    </row>
    <row r="4" spans="2:78" x14ac:dyDescent="0.2">
      <c r="B4" s="531"/>
      <c r="C4" s="178" t="str">
        <f>'Cash-flow'!C6</f>
        <v>IBSH</v>
      </c>
      <c r="D4" s="175" t="s">
        <v>208</v>
      </c>
      <c r="E4" s="272">
        <f>'Cash-flow'!E6</f>
        <v>0</v>
      </c>
      <c r="F4" s="272">
        <f>'Cash-flow'!F6</f>
        <v>0</v>
      </c>
      <c r="G4" s="272">
        <f>'Cash-flow'!G6</f>
        <v>0</v>
      </c>
      <c r="H4" s="272">
        <f>'Cash-flow'!H6</f>
        <v>0</v>
      </c>
      <c r="I4" s="272">
        <f>'Cash-flow'!I6</f>
        <v>0</v>
      </c>
      <c r="J4" s="272">
        <f>'Cash-flow'!J6</f>
        <v>0</v>
      </c>
      <c r="K4" s="272">
        <f>'Cash-flow'!K6</f>
        <v>0</v>
      </c>
      <c r="L4" s="272">
        <f>'Cash-flow'!L6</f>
        <v>0</v>
      </c>
      <c r="M4" s="272">
        <f>'Cash-flow'!M6</f>
        <v>0</v>
      </c>
      <c r="N4" s="272">
        <f>'Cash-flow'!N6</f>
        <v>0</v>
      </c>
      <c r="O4" s="272">
        <f>'Cash-flow'!O6</f>
        <v>0</v>
      </c>
      <c r="P4" s="272">
        <f>'Cash-flow'!P6</f>
        <v>0</v>
      </c>
      <c r="Q4" s="272">
        <f>'Cash-flow'!Q6</f>
        <v>1000000</v>
      </c>
      <c r="R4" s="272">
        <f>'Cash-flow'!R6</f>
        <v>0</v>
      </c>
      <c r="S4" s="272">
        <f>'Cash-flow'!S6</f>
        <v>0</v>
      </c>
      <c r="T4" s="272">
        <f>'Cash-flow'!T6</f>
        <v>0</v>
      </c>
      <c r="U4" s="272">
        <f>'Cash-flow'!U6</f>
        <v>0</v>
      </c>
      <c r="V4" s="272">
        <f>'Cash-flow'!V6</f>
        <v>0</v>
      </c>
      <c r="W4" s="272">
        <f>'Cash-flow'!W6</f>
        <v>0</v>
      </c>
      <c r="X4" s="272">
        <f>'Cash-flow'!X6</f>
        <v>0</v>
      </c>
      <c r="Y4" s="272">
        <f>'Cash-flow'!Y6</f>
        <v>0</v>
      </c>
      <c r="Z4" s="272">
        <f>'Cash-flow'!Z6</f>
        <v>0</v>
      </c>
      <c r="AA4" s="272">
        <f>'Cash-flow'!AA6</f>
        <v>0</v>
      </c>
      <c r="AB4" s="272">
        <f>'Cash-flow'!AB6</f>
        <v>0</v>
      </c>
      <c r="AC4" s="272">
        <f>'Cash-flow'!AC6</f>
        <v>0</v>
      </c>
      <c r="AD4" s="272">
        <f>'Cash-flow'!AD6</f>
        <v>0</v>
      </c>
      <c r="AE4" s="272">
        <f>'Cash-flow'!AE6</f>
        <v>0</v>
      </c>
      <c r="AF4" s="272">
        <f>'Cash-flow'!AF6</f>
        <v>0</v>
      </c>
      <c r="AG4" s="272">
        <f>'Cash-flow'!AG6</f>
        <v>0</v>
      </c>
      <c r="AH4" s="272">
        <f>'Cash-flow'!AH6</f>
        <v>0</v>
      </c>
      <c r="AI4" s="272">
        <f>'Cash-flow'!AI6</f>
        <v>0</v>
      </c>
      <c r="AJ4" s="272">
        <f>'Cash-flow'!AJ6</f>
        <v>0</v>
      </c>
      <c r="AK4" s="272">
        <f>'Cash-flow'!AK6</f>
        <v>0</v>
      </c>
      <c r="AL4" s="272">
        <f>'Cash-flow'!AL6</f>
        <v>0</v>
      </c>
      <c r="AM4" s="272">
        <f>'Cash-flow'!AM6</f>
        <v>0</v>
      </c>
      <c r="AN4" s="272">
        <f>'Cash-flow'!AN6</f>
        <v>0</v>
      </c>
      <c r="AO4" s="272">
        <f>'Cash-flow'!AO6</f>
        <v>0</v>
      </c>
      <c r="AP4" s="272">
        <f>'Cash-flow'!AP6</f>
        <v>0</v>
      </c>
      <c r="AQ4" s="272">
        <f>'Cash-flow'!AQ6</f>
        <v>0</v>
      </c>
      <c r="AR4" s="272">
        <f>'Cash-flow'!AR6</f>
        <v>0</v>
      </c>
      <c r="AS4" s="272">
        <f>'Cash-flow'!AS6</f>
        <v>0</v>
      </c>
      <c r="AT4" s="272">
        <f>'Cash-flow'!AT6</f>
        <v>0</v>
      </c>
      <c r="AU4" s="272">
        <f>'Cash-flow'!AU6</f>
        <v>0</v>
      </c>
      <c r="AV4" s="272">
        <f>'Cash-flow'!AV6</f>
        <v>0</v>
      </c>
      <c r="AW4" s="272">
        <f>'Cash-flow'!AW6</f>
        <v>0</v>
      </c>
      <c r="AX4" s="272">
        <f>'Cash-flow'!AX6</f>
        <v>0</v>
      </c>
      <c r="AY4" s="272">
        <f>'Cash-flow'!AY6</f>
        <v>0</v>
      </c>
      <c r="AZ4" s="272">
        <f>'Cash-flow'!AZ6</f>
        <v>0</v>
      </c>
      <c r="BA4" s="272">
        <f>'Cash-flow'!BA6</f>
        <v>0</v>
      </c>
      <c r="BB4" s="272">
        <f>'Cash-flow'!BB6</f>
        <v>0</v>
      </c>
      <c r="BC4" s="272">
        <f>'Cash-flow'!BC6</f>
        <v>0</v>
      </c>
      <c r="BD4" s="272">
        <f>'Cash-flow'!BD6</f>
        <v>0</v>
      </c>
      <c r="BE4" s="272">
        <f>'Cash-flow'!BE6</f>
        <v>0</v>
      </c>
      <c r="BF4" s="272">
        <f>'Cash-flow'!BF6</f>
        <v>0</v>
      </c>
      <c r="BG4" s="272">
        <f>'Cash-flow'!BG6</f>
        <v>0</v>
      </c>
      <c r="BH4" s="272">
        <f>'Cash-flow'!BH6</f>
        <v>0</v>
      </c>
      <c r="BI4" s="272">
        <f>'Cash-flow'!BI6</f>
        <v>0</v>
      </c>
      <c r="BJ4" s="272">
        <f>'Cash-flow'!BJ6</f>
        <v>0</v>
      </c>
      <c r="BK4" s="272">
        <f>'Cash-flow'!BK6</f>
        <v>0</v>
      </c>
      <c r="BL4" s="272">
        <f>'Cash-flow'!BL6</f>
        <v>0</v>
      </c>
      <c r="BM4" s="272">
        <f>'Cash-flow'!BM6</f>
        <v>0</v>
      </c>
      <c r="BN4" s="272">
        <f>'Cash-flow'!BN6</f>
        <v>0</v>
      </c>
      <c r="BO4" s="272">
        <f>'Cash-flow'!BO6</f>
        <v>0</v>
      </c>
      <c r="BP4" s="272">
        <f>'Cash-flow'!BP6</f>
        <v>0</v>
      </c>
      <c r="BQ4" s="272">
        <f>'Cash-flow'!BQ6</f>
        <v>0</v>
      </c>
      <c r="BR4" s="272">
        <f>'Cash-flow'!BR6</f>
        <v>0</v>
      </c>
      <c r="BS4" s="272">
        <f>'Cash-flow'!BS6</f>
        <v>0</v>
      </c>
      <c r="BT4" s="272">
        <f>'Cash-flow'!BT6</f>
        <v>0</v>
      </c>
      <c r="BU4" s="272">
        <f>'Cash-flow'!BU6</f>
        <v>0</v>
      </c>
      <c r="BV4" s="272">
        <f>'Cash-flow'!BV6</f>
        <v>0</v>
      </c>
      <c r="BW4" s="272">
        <f>'Cash-flow'!BW6</f>
        <v>0</v>
      </c>
      <c r="BX4" s="272">
        <f>'Cash-flow'!BX6</f>
        <v>0</v>
      </c>
      <c r="BY4" s="273">
        <f t="shared" ref="BY4:BY5" si="0">SUM(AC4:BX4)</f>
        <v>0</v>
      </c>
      <c r="BZ4" s="538"/>
    </row>
    <row r="5" spans="2:78" x14ac:dyDescent="0.2">
      <c r="B5" s="531"/>
      <c r="C5" s="178" t="str">
        <f>'Cash-flow'!C7</f>
        <v>LDparks HUB</v>
      </c>
      <c r="D5" s="175" t="s">
        <v>208</v>
      </c>
      <c r="E5" s="272">
        <f>'Cash-flow'!E7</f>
        <v>0</v>
      </c>
      <c r="F5" s="272">
        <f>'Cash-flow'!F7</f>
        <v>0</v>
      </c>
      <c r="G5" s="272">
        <f>'Cash-flow'!G7</f>
        <v>0</v>
      </c>
      <c r="H5" s="272">
        <f>'Cash-flow'!H7</f>
        <v>0</v>
      </c>
      <c r="I5" s="272">
        <f>'Cash-flow'!I7</f>
        <v>0</v>
      </c>
      <c r="J5" s="272">
        <f>'Cash-flow'!J7</f>
        <v>0</v>
      </c>
      <c r="K5" s="272">
        <f>'Cash-flow'!K7</f>
        <v>0</v>
      </c>
      <c r="L5" s="272">
        <f>'Cash-flow'!L7</f>
        <v>0</v>
      </c>
      <c r="M5" s="272">
        <f>'Cash-flow'!M7</f>
        <v>0</v>
      </c>
      <c r="N5" s="272">
        <f>'Cash-flow'!N7</f>
        <v>0</v>
      </c>
      <c r="O5" s="272">
        <f>'Cash-flow'!O7</f>
        <v>0</v>
      </c>
      <c r="P5" s="272">
        <f>'Cash-flow'!P7</f>
        <v>0</v>
      </c>
      <c r="Q5" s="272">
        <f>'Cash-flow'!Q7</f>
        <v>1600000</v>
      </c>
      <c r="R5" s="272">
        <f>'Cash-flow'!R7</f>
        <v>0</v>
      </c>
      <c r="S5" s="272">
        <f>'Cash-flow'!S7</f>
        <v>0</v>
      </c>
      <c r="T5" s="272">
        <f>'Cash-flow'!T7</f>
        <v>0</v>
      </c>
      <c r="U5" s="272">
        <f>'Cash-flow'!U7</f>
        <v>0</v>
      </c>
      <c r="V5" s="272">
        <f>'Cash-flow'!V7</f>
        <v>0</v>
      </c>
      <c r="W5" s="272">
        <f>'Cash-flow'!W7</f>
        <v>0</v>
      </c>
      <c r="X5" s="272">
        <f>'Cash-flow'!X7</f>
        <v>0</v>
      </c>
      <c r="Y5" s="272">
        <f>'Cash-flow'!Y7</f>
        <v>0</v>
      </c>
      <c r="Z5" s="272">
        <f>'Cash-flow'!Z7</f>
        <v>0</v>
      </c>
      <c r="AA5" s="272">
        <f>'Cash-flow'!AA7</f>
        <v>0</v>
      </c>
      <c r="AB5" s="272">
        <f>'Cash-flow'!AB7</f>
        <v>0</v>
      </c>
      <c r="AC5" s="272">
        <f>'Cash-flow'!AC7</f>
        <v>0</v>
      </c>
      <c r="AD5" s="272">
        <f>'Cash-flow'!AD7</f>
        <v>0</v>
      </c>
      <c r="AE5" s="272">
        <f>'Cash-flow'!AE7</f>
        <v>0</v>
      </c>
      <c r="AF5" s="272">
        <f>'Cash-flow'!AF7</f>
        <v>0</v>
      </c>
      <c r="AG5" s="272">
        <f>'Cash-flow'!AG7</f>
        <v>0</v>
      </c>
      <c r="AH5" s="272">
        <f>'Cash-flow'!AH7</f>
        <v>0</v>
      </c>
      <c r="AI5" s="272">
        <f>'Cash-flow'!AI7</f>
        <v>0</v>
      </c>
      <c r="AJ5" s="272">
        <f>'Cash-flow'!AJ7</f>
        <v>0</v>
      </c>
      <c r="AK5" s="272">
        <f>'Cash-flow'!AK7</f>
        <v>0</v>
      </c>
      <c r="AL5" s="272">
        <f>'Cash-flow'!AL7</f>
        <v>0</v>
      </c>
      <c r="AM5" s="272">
        <f>'Cash-flow'!AM7</f>
        <v>0</v>
      </c>
      <c r="AN5" s="272">
        <f>'Cash-flow'!AN7</f>
        <v>0</v>
      </c>
      <c r="AO5" s="272">
        <f>'Cash-flow'!AO7</f>
        <v>0</v>
      </c>
      <c r="AP5" s="272">
        <f>'Cash-flow'!AP7</f>
        <v>0</v>
      </c>
      <c r="AQ5" s="272">
        <f>'Cash-flow'!AQ7</f>
        <v>0</v>
      </c>
      <c r="AR5" s="272">
        <f>'Cash-flow'!AR7</f>
        <v>0</v>
      </c>
      <c r="AS5" s="272">
        <f>'Cash-flow'!AS7</f>
        <v>0</v>
      </c>
      <c r="AT5" s="272">
        <f>'Cash-flow'!AT7</f>
        <v>0</v>
      </c>
      <c r="AU5" s="272">
        <f>'Cash-flow'!AU7</f>
        <v>0</v>
      </c>
      <c r="AV5" s="272">
        <f>'Cash-flow'!AV7</f>
        <v>0</v>
      </c>
      <c r="AW5" s="272">
        <f>'Cash-flow'!AW7</f>
        <v>0</v>
      </c>
      <c r="AX5" s="272">
        <f>'Cash-flow'!AX7</f>
        <v>0</v>
      </c>
      <c r="AY5" s="272">
        <f>'Cash-flow'!AY7</f>
        <v>0</v>
      </c>
      <c r="AZ5" s="272">
        <f>'Cash-flow'!AZ7</f>
        <v>0</v>
      </c>
      <c r="BA5" s="272">
        <f>'Cash-flow'!BA7</f>
        <v>0</v>
      </c>
      <c r="BB5" s="272">
        <f>'Cash-flow'!BB7</f>
        <v>0</v>
      </c>
      <c r="BC5" s="272">
        <f>'Cash-flow'!BC7</f>
        <v>0</v>
      </c>
      <c r="BD5" s="272">
        <f>'Cash-flow'!BD7</f>
        <v>0</v>
      </c>
      <c r="BE5" s="272">
        <f>'Cash-flow'!BE7</f>
        <v>0</v>
      </c>
      <c r="BF5" s="272">
        <f>'Cash-flow'!BF7</f>
        <v>0</v>
      </c>
      <c r="BG5" s="272">
        <f>'Cash-flow'!BG7</f>
        <v>0</v>
      </c>
      <c r="BH5" s="272">
        <f>'Cash-flow'!BH7</f>
        <v>0</v>
      </c>
      <c r="BI5" s="272">
        <f>'Cash-flow'!BI7</f>
        <v>0</v>
      </c>
      <c r="BJ5" s="272">
        <f>'Cash-flow'!BJ7</f>
        <v>0</v>
      </c>
      <c r="BK5" s="272">
        <f>'Cash-flow'!BK7</f>
        <v>0</v>
      </c>
      <c r="BL5" s="272">
        <f>'Cash-flow'!BL7</f>
        <v>0</v>
      </c>
      <c r="BM5" s="272">
        <f>'Cash-flow'!BM7</f>
        <v>0</v>
      </c>
      <c r="BN5" s="272">
        <f>'Cash-flow'!BN7</f>
        <v>0</v>
      </c>
      <c r="BO5" s="272">
        <f>'Cash-flow'!BO7</f>
        <v>0</v>
      </c>
      <c r="BP5" s="272">
        <f>'Cash-flow'!BP7</f>
        <v>0</v>
      </c>
      <c r="BQ5" s="272">
        <f>'Cash-flow'!BQ7</f>
        <v>0</v>
      </c>
      <c r="BR5" s="272">
        <f>'Cash-flow'!BR7</f>
        <v>0</v>
      </c>
      <c r="BS5" s="272">
        <f>'Cash-flow'!BS7</f>
        <v>0</v>
      </c>
      <c r="BT5" s="272">
        <f>'Cash-flow'!BT7</f>
        <v>0</v>
      </c>
      <c r="BU5" s="272">
        <f>'Cash-flow'!BU7</f>
        <v>0</v>
      </c>
      <c r="BV5" s="272">
        <f>'Cash-flow'!BV7</f>
        <v>0</v>
      </c>
      <c r="BW5" s="272">
        <f>'Cash-flow'!BW7</f>
        <v>0</v>
      </c>
      <c r="BX5" s="272">
        <f>'Cash-flow'!BX7</f>
        <v>0</v>
      </c>
      <c r="BY5" s="273">
        <f t="shared" si="0"/>
        <v>0</v>
      </c>
      <c r="BZ5" s="538"/>
    </row>
    <row r="6" spans="2:78" x14ac:dyDescent="0.2">
      <c r="B6" s="532"/>
      <c r="C6" s="181">
        <f>'Cash-flow'!C8</f>
        <v>0</v>
      </c>
      <c r="D6" s="181" t="s">
        <v>208</v>
      </c>
      <c r="E6" s="182">
        <f>'Cash-flow'!E8</f>
        <v>0</v>
      </c>
      <c r="F6" s="182">
        <f>'Cash-flow'!F8</f>
        <v>0</v>
      </c>
      <c r="G6" s="182">
        <f>'Cash-flow'!G8</f>
        <v>0</v>
      </c>
      <c r="H6" s="182">
        <f>'Cash-flow'!H8</f>
        <v>0</v>
      </c>
      <c r="I6" s="182">
        <f>'Cash-flow'!I8</f>
        <v>0</v>
      </c>
      <c r="J6" s="182">
        <f>'Cash-flow'!J8</f>
        <v>0</v>
      </c>
      <c r="K6" s="182">
        <f>'Cash-flow'!K8</f>
        <v>0</v>
      </c>
      <c r="L6" s="182">
        <f>'Cash-flow'!L8</f>
        <v>0</v>
      </c>
      <c r="M6" s="182">
        <f>'Cash-flow'!M8</f>
        <v>0</v>
      </c>
      <c r="N6" s="182">
        <f>'Cash-flow'!N8</f>
        <v>0</v>
      </c>
      <c r="O6" s="182">
        <f>'Cash-flow'!O8</f>
        <v>0</v>
      </c>
      <c r="P6" s="182">
        <f>'Cash-flow'!P8</f>
        <v>0</v>
      </c>
      <c r="Q6" s="182">
        <f>'Cash-flow'!Q8</f>
        <v>0</v>
      </c>
      <c r="R6" s="182">
        <f>'Cash-flow'!R8</f>
        <v>0</v>
      </c>
      <c r="S6" s="182">
        <f>'Cash-flow'!S8</f>
        <v>0</v>
      </c>
      <c r="T6" s="182">
        <f>'Cash-flow'!T8</f>
        <v>0</v>
      </c>
      <c r="U6" s="182">
        <f>'Cash-flow'!U8</f>
        <v>0</v>
      </c>
      <c r="V6" s="182">
        <f>'Cash-flow'!V8</f>
        <v>0</v>
      </c>
      <c r="W6" s="182">
        <f>'Cash-flow'!W8</f>
        <v>0</v>
      </c>
      <c r="X6" s="182">
        <f>'Cash-flow'!X8</f>
        <v>0</v>
      </c>
      <c r="Y6" s="182">
        <f>'Cash-flow'!Y8</f>
        <v>0</v>
      </c>
      <c r="Z6" s="182">
        <f>'Cash-flow'!Z8</f>
        <v>0</v>
      </c>
      <c r="AA6" s="182">
        <f>'Cash-flow'!AA8</f>
        <v>0</v>
      </c>
      <c r="AB6" s="182">
        <f>'Cash-flow'!AB8</f>
        <v>0</v>
      </c>
      <c r="AC6" s="182">
        <f>'Cash-flow'!AC8</f>
        <v>0</v>
      </c>
      <c r="AD6" s="182">
        <f>'Cash-flow'!AD8</f>
        <v>0</v>
      </c>
      <c r="AE6" s="182">
        <f>'Cash-flow'!AE8</f>
        <v>0</v>
      </c>
      <c r="AF6" s="182">
        <f>'Cash-flow'!AF8</f>
        <v>0</v>
      </c>
      <c r="AG6" s="182">
        <f>'Cash-flow'!AG8</f>
        <v>0</v>
      </c>
      <c r="AH6" s="182">
        <f>'Cash-flow'!AH8</f>
        <v>0</v>
      </c>
      <c r="AI6" s="182">
        <f>'Cash-flow'!AI8</f>
        <v>0</v>
      </c>
      <c r="AJ6" s="182">
        <f>'Cash-flow'!AJ8</f>
        <v>0</v>
      </c>
      <c r="AK6" s="182">
        <f>'Cash-flow'!AK8</f>
        <v>0</v>
      </c>
      <c r="AL6" s="182">
        <f>'Cash-flow'!AL8</f>
        <v>0</v>
      </c>
      <c r="AM6" s="182">
        <f>'Cash-flow'!AM8</f>
        <v>0</v>
      </c>
      <c r="AN6" s="182">
        <f>'Cash-flow'!AN8</f>
        <v>0</v>
      </c>
      <c r="AO6" s="182">
        <f>'Cash-flow'!AO8</f>
        <v>0</v>
      </c>
      <c r="AP6" s="182">
        <f>'Cash-flow'!AP8</f>
        <v>0</v>
      </c>
      <c r="AQ6" s="182">
        <f>'Cash-flow'!AQ8</f>
        <v>0</v>
      </c>
      <c r="AR6" s="182">
        <f>'Cash-flow'!AR8</f>
        <v>0</v>
      </c>
      <c r="AS6" s="182">
        <f>'Cash-flow'!AS8</f>
        <v>0</v>
      </c>
      <c r="AT6" s="182">
        <f>'Cash-flow'!AT8</f>
        <v>0</v>
      </c>
      <c r="AU6" s="182">
        <f>'Cash-flow'!AU8</f>
        <v>0</v>
      </c>
      <c r="AV6" s="182">
        <f>'Cash-flow'!AV8</f>
        <v>0</v>
      </c>
      <c r="AW6" s="182">
        <f>'Cash-flow'!AW8</f>
        <v>0</v>
      </c>
      <c r="AX6" s="182">
        <f>'Cash-flow'!AX8</f>
        <v>0</v>
      </c>
      <c r="AY6" s="182">
        <f>'Cash-flow'!AY8</f>
        <v>0</v>
      </c>
      <c r="AZ6" s="182">
        <f>'Cash-flow'!AZ8</f>
        <v>0</v>
      </c>
      <c r="BA6" s="182">
        <f>'Cash-flow'!BA8</f>
        <v>0</v>
      </c>
      <c r="BB6" s="182">
        <f>'Cash-flow'!BB8</f>
        <v>0</v>
      </c>
      <c r="BC6" s="182">
        <f>'Cash-flow'!BC8</f>
        <v>0</v>
      </c>
      <c r="BD6" s="182">
        <f>'Cash-flow'!BD8</f>
        <v>0</v>
      </c>
      <c r="BE6" s="182">
        <f>'Cash-flow'!BE8</f>
        <v>0</v>
      </c>
      <c r="BF6" s="182">
        <f>'Cash-flow'!BF8</f>
        <v>0</v>
      </c>
      <c r="BG6" s="182">
        <f>'Cash-flow'!BG8</f>
        <v>0</v>
      </c>
      <c r="BH6" s="182">
        <f>'Cash-flow'!BH8</f>
        <v>0</v>
      </c>
      <c r="BI6" s="182">
        <f>'Cash-flow'!BI8</f>
        <v>0</v>
      </c>
      <c r="BJ6" s="182">
        <f>'Cash-flow'!BJ8</f>
        <v>0</v>
      </c>
      <c r="BK6" s="182">
        <f>'Cash-flow'!BK8</f>
        <v>0</v>
      </c>
      <c r="BL6" s="182">
        <f>'Cash-flow'!BL8</f>
        <v>0</v>
      </c>
      <c r="BM6" s="182">
        <f>'Cash-flow'!BM8</f>
        <v>0</v>
      </c>
      <c r="BN6" s="182">
        <f>'Cash-flow'!BN8</f>
        <v>0</v>
      </c>
      <c r="BO6" s="182">
        <f>'Cash-flow'!BO8</f>
        <v>0</v>
      </c>
      <c r="BP6" s="182">
        <f>'Cash-flow'!BP8</f>
        <v>0</v>
      </c>
      <c r="BQ6" s="182">
        <f>'Cash-flow'!BQ8</f>
        <v>0</v>
      </c>
      <c r="BR6" s="182">
        <f>'Cash-flow'!BR8</f>
        <v>0</v>
      </c>
      <c r="BS6" s="182">
        <f>'Cash-flow'!BS8</f>
        <v>0</v>
      </c>
      <c r="BT6" s="182">
        <f>'Cash-flow'!BT8</f>
        <v>0</v>
      </c>
      <c r="BU6" s="182">
        <f>'Cash-flow'!BU8</f>
        <v>0</v>
      </c>
      <c r="BV6" s="182">
        <f>'Cash-flow'!BV8</f>
        <v>0</v>
      </c>
      <c r="BW6" s="182">
        <f>'Cash-flow'!BW8</f>
        <v>0</v>
      </c>
      <c r="BX6" s="182">
        <f>'Cash-flow'!BX8</f>
        <v>0</v>
      </c>
      <c r="BY6" s="274">
        <f>SUM(E6:BX6)</f>
        <v>0</v>
      </c>
      <c r="BZ6" s="542"/>
    </row>
    <row r="7" spans="2:78" ht="18" customHeight="1" x14ac:dyDescent="0.2">
      <c r="B7" s="533" t="s">
        <v>211</v>
      </c>
      <c r="C7" s="178" t="s">
        <v>319</v>
      </c>
      <c r="D7" s="175" t="s">
        <v>208</v>
      </c>
      <c r="E7" s="275"/>
      <c r="F7" s="275"/>
      <c r="G7" s="275"/>
      <c r="H7" s="275"/>
      <c r="I7" s="275"/>
      <c r="J7" s="275"/>
      <c r="K7" s="176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  <c r="AA7" s="176"/>
      <c r="AB7" s="176"/>
      <c r="AC7" s="176"/>
      <c r="AD7" s="176"/>
      <c r="AE7" s="176"/>
      <c r="AF7" s="176"/>
      <c r="AG7" s="176"/>
      <c r="AH7" s="176"/>
      <c r="AI7" s="176"/>
      <c r="AJ7" s="176"/>
      <c r="AK7" s="176"/>
      <c r="AL7" s="176"/>
      <c r="AM7" s="176"/>
      <c r="AN7" s="176"/>
      <c r="AO7" s="176"/>
      <c r="AP7" s="176"/>
      <c r="AQ7" s="176"/>
      <c r="AR7" s="176"/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6"/>
      <c r="BH7" s="176"/>
      <c r="BI7" s="176"/>
      <c r="BJ7" s="176"/>
      <c r="BK7" s="176"/>
      <c r="BL7" s="176"/>
      <c r="BM7" s="176"/>
      <c r="BN7" s="176"/>
      <c r="BO7" s="176"/>
      <c r="BP7" s="176"/>
      <c r="BQ7" s="176"/>
      <c r="BR7" s="176"/>
      <c r="BS7" s="176"/>
      <c r="BT7" s="176"/>
      <c r="BU7" s="176"/>
      <c r="BV7" s="176"/>
      <c r="BW7" s="176"/>
      <c r="BX7" s="176"/>
      <c r="BY7" s="273">
        <f t="shared" ref="BY7:BY10" si="1">SUM(AC7:BX7)</f>
        <v>0</v>
      </c>
      <c r="BZ7" s="276">
        <f t="shared" ref="BZ7:BZ10" si="2">BY7+BY8</f>
        <v>0</v>
      </c>
    </row>
    <row r="8" spans="2:78" ht="18" customHeight="1" x14ac:dyDescent="0.2">
      <c r="B8" s="531"/>
      <c r="C8" s="178" t="s">
        <v>320</v>
      </c>
      <c r="D8" s="175" t="s">
        <v>208</v>
      </c>
      <c r="E8" s="275"/>
      <c r="F8" s="275"/>
      <c r="G8" s="275"/>
      <c r="H8" s="275"/>
      <c r="I8" s="275"/>
      <c r="J8" s="275"/>
      <c r="K8" s="275"/>
      <c r="L8" s="275"/>
      <c r="M8" s="275"/>
      <c r="N8" s="275"/>
      <c r="O8" s="275"/>
      <c r="P8" s="275"/>
      <c r="Q8" s="275"/>
      <c r="R8" s="275"/>
      <c r="S8" s="275"/>
      <c r="T8" s="275"/>
      <c r="U8" s="275"/>
      <c r="V8" s="275"/>
      <c r="W8" s="275"/>
      <c r="X8" s="275"/>
      <c r="Y8" s="275"/>
      <c r="Z8" s="275"/>
      <c r="AA8" s="275"/>
      <c r="AB8" s="275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6"/>
      <c r="BN8" s="176"/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273">
        <f t="shared" si="1"/>
        <v>0</v>
      </c>
      <c r="BZ8" s="276">
        <f t="shared" si="2"/>
        <v>0</v>
      </c>
    </row>
    <row r="9" spans="2:78" ht="18" customHeight="1" x14ac:dyDescent="0.2">
      <c r="B9" s="531"/>
      <c r="C9" s="178" t="s">
        <v>321</v>
      </c>
      <c r="D9" s="175" t="s">
        <v>208</v>
      </c>
      <c r="E9" s="275"/>
      <c r="F9" s="275"/>
      <c r="G9" s="275"/>
      <c r="H9" s="275"/>
      <c r="I9" s="275"/>
      <c r="J9" s="275"/>
      <c r="K9" s="275"/>
      <c r="L9" s="275"/>
      <c r="M9" s="275"/>
      <c r="N9" s="275"/>
      <c r="O9" s="275"/>
      <c r="P9" s="275"/>
      <c r="Q9" s="275"/>
      <c r="R9" s="275"/>
      <c r="S9" s="275"/>
      <c r="T9" s="275"/>
      <c r="U9" s="275"/>
      <c r="V9" s="275"/>
      <c r="W9" s="275"/>
      <c r="X9" s="275"/>
      <c r="Y9" s="275"/>
      <c r="Z9" s="275"/>
      <c r="AA9" s="275"/>
      <c r="AB9" s="275"/>
      <c r="AC9" s="176"/>
      <c r="AD9" s="176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6"/>
      <c r="BM9" s="176"/>
      <c r="BN9" s="176"/>
      <c r="BO9" s="176"/>
      <c r="BP9" s="176"/>
      <c r="BQ9" s="176"/>
      <c r="BR9" s="176"/>
      <c r="BS9" s="176"/>
      <c r="BT9" s="176"/>
      <c r="BU9" s="176"/>
      <c r="BV9" s="176"/>
      <c r="BW9" s="176"/>
      <c r="BX9" s="176"/>
      <c r="BY9" s="273">
        <f t="shared" si="1"/>
        <v>0</v>
      </c>
      <c r="BZ9" s="276">
        <f t="shared" si="2"/>
        <v>0</v>
      </c>
    </row>
    <row r="10" spans="2:78" ht="18" customHeight="1" x14ac:dyDescent="0.2">
      <c r="B10" s="534"/>
      <c r="C10" s="277" t="s">
        <v>322</v>
      </c>
      <c r="D10" s="278" t="s">
        <v>208</v>
      </c>
      <c r="E10" s="279"/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  <c r="U10" s="279"/>
      <c r="V10" s="279"/>
      <c r="W10" s="279"/>
      <c r="X10" s="279"/>
      <c r="Y10" s="279"/>
      <c r="Z10" s="279"/>
      <c r="AA10" s="279"/>
      <c r="AB10" s="279"/>
      <c r="AC10" s="280"/>
      <c r="AD10" s="280"/>
      <c r="AE10" s="280"/>
      <c r="AF10" s="280"/>
      <c r="AG10" s="280"/>
      <c r="AH10" s="280"/>
      <c r="AI10" s="280"/>
      <c r="AJ10" s="280"/>
      <c r="AK10" s="280"/>
      <c r="AL10" s="280"/>
      <c r="AM10" s="280"/>
      <c r="AN10" s="280"/>
      <c r="AO10" s="280"/>
      <c r="AP10" s="280"/>
      <c r="AQ10" s="280"/>
      <c r="AR10" s="280"/>
      <c r="AS10" s="280"/>
      <c r="AT10" s="280"/>
      <c r="AU10" s="280"/>
      <c r="AV10" s="280"/>
      <c r="AW10" s="280"/>
      <c r="AX10" s="280"/>
      <c r="AY10" s="280"/>
      <c r="AZ10" s="280"/>
      <c r="BA10" s="280"/>
      <c r="BB10" s="280"/>
      <c r="BC10" s="280"/>
      <c r="BD10" s="280"/>
      <c r="BE10" s="280"/>
      <c r="BF10" s="280"/>
      <c r="BG10" s="280"/>
      <c r="BH10" s="280"/>
      <c r="BI10" s="280"/>
      <c r="BJ10" s="280"/>
      <c r="BK10" s="280"/>
      <c r="BL10" s="280"/>
      <c r="BM10" s="280"/>
      <c r="BN10" s="280"/>
      <c r="BO10" s="280"/>
      <c r="BP10" s="280"/>
      <c r="BQ10" s="280"/>
      <c r="BR10" s="280"/>
      <c r="BS10" s="280"/>
      <c r="BT10" s="280"/>
      <c r="BU10" s="280"/>
      <c r="BV10" s="280"/>
      <c r="BW10" s="280"/>
      <c r="BX10" s="280"/>
      <c r="BY10" s="281">
        <f t="shared" si="1"/>
        <v>0</v>
      </c>
      <c r="BZ10" s="282">
        <f t="shared" si="2"/>
        <v>0</v>
      </c>
    </row>
    <row r="13" spans="2:78" x14ac:dyDescent="0.2">
      <c r="B13" s="424"/>
      <c r="C13" s="283" t="s">
        <v>253</v>
      </c>
      <c r="D13" s="284">
        <v>0.105</v>
      </c>
      <c r="E13" s="425">
        <f>'Cash-flow'!E53</f>
        <v>0</v>
      </c>
      <c r="F13" s="425">
        <f>'Cash-flow'!F53</f>
        <v>0</v>
      </c>
      <c r="G13" s="425">
        <f>'Cash-flow'!G53</f>
        <v>0</v>
      </c>
      <c r="H13" s="425">
        <f>'Cash-flow'!H53</f>
        <v>0</v>
      </c>
      <c r="I13" s="425">
        <f>'Cash-flow'!I53</f>
        <v>0</v>
      </c>
      <c r="J13" s="425">
        <f>'Cash-flow'!J53</f>
        <v>0</v>
      </c>
      <c r="K13" s="425">
        <f>'Cash-flow'!K53</f>
        <v>0</v>
      </c>
      <c r="L13" s="425">
        <f>'Cash-flow'!L53</f>
        <v>0</v>
      </c>
      <c r="M13" s="425">
        <f>'Cash-flow'!M53</f>
        <v>0</v>
      </c>
      <c r="N13" s="425">
        <f>'Cash-flow'!N53</f>
        <v>0</v>
      </c>
      <c r="O13" s="425">
        <f>'Cash-flow'!O53</f>
        <v>0</v>
      </c>
      <c r="P13" s="425">
        <f>'Cash-flow'!P53</f>
        <v>0</v>
      </c>
      <c r="Q13" s="425">
        <f>'Cash-flow'!Q53</f>
        <v>0</v>
      </c>
      <c r="R13" s="425">
        <f>'Cash-flow'!R53</f>
        <v>0</v>
      </c>
      <c r="S13" s="425">
        <f>'Cash-flow'!S53</f>
        <v>0</v>
      </c>
      <c r="T13" s="425">
        <f>'Cash-flow'!T53</f>
        <v>0</v>
      </c>
      <c r="U13" s="425">
        <f>'Cash-flow'!U53</f>
        <v>0</v>
      </c>
      <c r="V13" s="425">
        <f>'Cash-flow'!V53</f>
        <v>0</v>
      </c>
      <c r="W13" s="425">
        <f>'Cash-flow'!W53</f>
        <v>0</v>
      </c>
      <c r="X13" s="425">
        <f>'Cash-flow'!X53</f>
        <v>0</v>
      </c>
      <c r="Y13" s="425">
        <f>'Cash-flow'!Y53</f>
        <v>0</v>
      </c>
      <c r="Z13" s="425">
        <f>'Cash-flow'!Z53</f>
        <v>0</v>
      </c>
      <c r="AA13" s="425">
        <f>'Cash-flow'!AA53</f>
        <v>0</v>
      </c>
      <c r="AB13" s="425">
        <f>'Cash-flow'!AB53</f>
        <v>0</v>
      </c>
      <c r="AC13" s="425">
        <f>'Cash-flow'!AC53</f>
        <v>0</v>
      </c>
      <c r="AD13" s="425">
        <f>'Cash-flow'!AD53</f>
        <v>0</v>
      </c>
      <c r="AE13" s="425">
        <f>'Cash-flow'!AE53</f>
        <v>0</v>
      </c>
      <c r="AF13" s="425">
        <f>'Cash-flow'!AF53</f>
        <v>0</v>
      </c>
      <c r="AG13" s="425">
        <f>'Cash-flow'!AG53</f>
        <v>0</v>
      </c>
      <c r="AH13" s="425">
        <f>'Cash-flow'!AH53</f>
        <v>0</v>
      </c>
      <c r="AI13" s="425">
        <f>'Cash-flow'!AI53</f>
        <v>0</v>
      </c>
      <c r="AJ13" s="425">
        <f>'Cash-flow'!AJ53</f>
        <v>0</v>
      </c>
      <c r="AK13" s="425">
        <f>'Cash-flow'!AK53</f>
        <v>0</v>
      </c>
      <c r="AL13" s="425">
        <f>'Cash-flow'!AL53</f>
        <v>0</v>
      </c>
      <c r="AM13" s="425">
        <f>'Cash-flow'!AM53</f>
        <v>0</v>
      </c>
      <c r="AN13" s="425">
        <f>'Cash-flow'!AN53</f>
        <v>-5090250</v>
      </c>
      <c r="AO13" s="425">
        <f>'Cash-flow'!AO53</f>
        <v>0</v>
      </c>
      <c r="AP13" s="425">
        <f>'Cash-flow'!AP53</f>
        <v>0</v>
      </c>
      <c r="AQ13" s="425">
        <f>'Cash-flow'!AQ53</f>
        <v>0</v>
      </c>
      <c r="AR13" s="425">
        <f>'Cash-flow'!AR53</f>
        <v>0</v>
      </c>
      <c r="AS13" s="425">
        <f>'Cash-flow'!AS53</f>
        <v>0</v>
      </c>
      <c r="AT13" s="425">
        <f>'Cash-flow'!AT53</f>
        <v>0</v>
      </c>
      <c r="AU13" s="425">
        <f>'Cash-flow'!AU53</f>
        <v>0</v>
      </c>
      <c r="AV13" s="425">
        <f>'Cash-flow'!AV53</f>
        <v>0</v>
      </c>
      <c r="AW13" s="425">
        <f>'Cash-flow'!AW53</f>
        <v>0</v>
      </c>
      <c r="AX13" s="425">
        <f>'Cash-flow'!AX53</f>
        <v>0</v>
      </c>
      <c r="AY13" s="425">
        <f>'Cash-flow'!AY53</f>
        <v>0</v>
      </c>
      <c r="AZ13" s="425">
        <f>'Cash-flow'!AZ53</f>
        <v>0</v>
      </c>
      <c r="BA13" s="425">
        <f>'Cash-flow'!BA53</f>
        <v>0</v>
      </c>
      <c r="BB13" s="425">
        <f>'Cash-flow'!BB53</f>
        <v>0</v>
      </c>
      <c r="BC13" s="425">
        <f>'Cash-flow'!BC53</f>
        <v>0</v>
      </c>
      <c r="BD13" s="425">
        <f>'Cash-flow'!BD53</f>
        <v>0</v>
      </c>
      <c r="BE13" s="425">
        <f>'Cash-flow'!BE53</f>
        <v>0</v>
      </c>
      <c r="BF13" s="425">
        <f>'Cash-flow'!BF53</f>
        <v>0</v>
      </c>
      <c r="BG13" s="425">
        <f>'Cash-flow'!BG53</f>
        <v>0</v>
      </c>
      <c r="BH13" s="425">
        <f>'Cash-flow'!BH53</f>
        <v>0</v>
      </c>
      <c r="BI13" s="425">
        <f>'Cash-flow'!BI53</f>
        <v>0</v>
      </c>
      <c r="BJ13" s="425">
        <f>'Cash-flow'!BJ53</f>
        <v>0</v>
      </c>
      <c r="BK13" s="425">
        <f>'Cash-flow'!BK53</f>
        <v>0</v>
      </c>
      <c r="BL13" s="425">
        <f>'Cash-flow'!BL53</f>
        <v>0</v>
      </c>
      <c r="BM13" s="425">
        <f>'Cash-flow'!BM53</f>
        <v>0</v>
      </c>
      <c r="BN13" s="425">
        <f>'Cash-flow'!BN53</f>
        <v>0</v>
      </c>
      <c r="BO13" s="425">
        <f>'Cash-flow'!BO53</f>
        <v>0</v>
      </c>
      <c r="BP13" s="425">
        <f>'Cash-flow'!BP53</f>
        <v>0</v>
      </c>
      <c r="BQ13" s="425">
        <f>'Cash-flow'!BQ53</f>
        <v>0</v>
      </c>
      <c r="BR13" s="425">
        <f>'Cash-flow'!BR53</f>
        <v>0</v>
      </c>
      <c r="BS13" s="425">
        <f>'Cash-flow'!BS53</f>
        <v>0</v>
      </c>
      <c r="BT13" s="425">
        <f>'Cash-flow'!BT53</f>
        <v>0</v>
      </c>
      <c r="BU13" s="425">
        <f>'Cash-flow'!BU53</f>
        <v>0</v>
      </c>
      <c r="BV13" s="425">
        <f>'Cash-flow'!BV53</f>
        <v>0</v>
      </c>
      <c r="BW13" s="425">
        <f>'Cash-flow'!BW53</f>
        <v>0</v>
      </c>
      <c r="BX13" s="426">
        <f>'Cash-flow'!BX53</f>
        <v>0</v>
      </c>
      <c r="BY13" s="285">
        <f>SUM(E13:BX13)</f>
        <v>-5090250</v>
      </c>
      <c r="BZ13" s="537">
        <f>SUM(BY13:BY20)</f>
        <v>-5090250</v>
      </c>
    </row>
    <row r="14" spans="2:78" x14ac:dyDescent="0.2">
      <c r="B14" s="427"/>
      <c r="C14" s="207" t="s">
        <v>323</v>
      </c>
      <c r="D14" s="208">
        <v>0.105</v>
      </c>
      <c r="E14" s="428"/>
      <c r="F14" s="428"/>
      <c r="G14" s="428"/>
      <c r="H14" s="428"/>
      <c r="I14" s="428"/>
      <c r="J14" s="428"/>
      <c r="K14" s="428"/>
      <c r="L14" s="428"/>
      <c r="M14" s="428"/>
      <c r="N14" s="428"/>
      <c r="O14" s="428"/>
      <c r="P14" s="428"/>
      <c r="Q14" s="428"/>
      <c r="R14" s="428"/>
      <c r="S14" s="428"/>
      <c r="T14" s="428"/>
      <c r="U14" s="428"/>
      <c r="V14" s="428"/>
      <c r="W14" s="428"/>
      <c r="X14" s="428"/>
      <c r="Y14" s="428"/>
      <c r="Z14" s="428"/>
      <c r="AA14" s="428"/>
      <c r="AB14" s="428"/>
      <c r="AC14" s="429"/>
      <c r="AD14" s="429"/>
      <c r="AE14" s="429"/>
      <c r="AF14" s="429"/>
      <c r="AG14" s="429"/>
      <c r="AH14" s="429"/>
      <c r="AI14" s="429"/>
      <c r="AJ14" s="429"/>
      <c r="AK14" s="429"/>
      <c r="AL14" s="429"/>
      <c r="AM14" s="429"/>
      <c r="AN14" s="429"/>
      <c r="AO14" s="429"/>
      <c r="AP14" s="429"/>
      <c r="AQ14" s="429"/>
      <c r="AR14" s="429"/>
      <c r="AS14" s="429"/>
      <c r="AT14" s="429"/>
      <c r="AU14" s="429"/>
      <c r="AV14" s="429"/>
      <c r="AW14" s="429"/>
      <c r="AX14" s="429"/>
      <c r="AY14" s="429"/>
      <c r="AZ14" s="429"/>
      <c r="BA14" s="429"/>
      <c r="BB14" s="429"/>
      <c r="BC14" s="429"/>
      <c r="BD14" s="429"/>
      <c r="BE14" s="429"/>
      <c r="BF14" s="429"/>
      <c r="BG14" s="429"/>
      <c r="BH14" s="429"/>
      <c r="BI14" s="429"/>
      <c r="BJ14" s="429"/>
      <c r="BK14" s="429"/>
      <c r="BL14" s="429"/>
      <c r="BM14" s="429"/>
      <c r="BN14" s="429"/>
      <c r="BO14" s="429"/>
      <c r="BP14" s="429"/>
      <c r="BQ14" s="429"/>
      <c r="BR14" s="429"/>
      <c r="BS14" s="429"/>
      <c r="BT14" s="429"/>
      <c r="BU14" s="429"/>
      <c r="BV14" s="429"/>
      <c r="BW14" s="429"/>
      <c r="BX14" s="429"/>
      <c r="BY14" s="286"/>
      <c r="BZ14" s="538"/>
    </row>
    <row r="15" spans="2:78" x14ac:dyDescent="0.2">
      <c r="B15" s="427"/>
      <c r="C15" s="207" t="s">
        <v>324</v>
      </c>
      <c r="D15" s="208">
        <v>0.105</v>
      </c>
      <c r="E15" s="428"/>
      <c r="F15" s="428"/>
      <c r="G15" s="428"/>
      <c r="H15" s="428"/>
      <c r="I15" s="428"/>
      <c r="J15" s="428"/>
      <c r="K15" s="428"/>
      <c r="L15" s="428"/>
      <c r="M15" s="428"/>
      <c r="N15" s="428"/>
      <c r="O15" s="428"/>
      <c r="P15" s="428"/>
      <c r="Q15" s="428"/>
      <c r="R15" s="428"/>
      <c r="S15" s="428"/>
      <c r="T15" s="428"/>
      <c r="U15" s="428"/>
      <c r="V15" s="428"/>
      <c r="W15" s="428"/>
      <c r="X15" s="428"/>
      <c r="Y15" s="428"/>
      <c r="Z15" s="428"/>
      <c r="AA15" s="428"/>
      <c r="AB15" s="428"/>
      <c r="AC15" s="429"/>
      <c r="AD15" s="429"/>
      <c r="AE15" s="429"/>
      <c r="AF15" s="429"/>
      <c r="AG15" s="429"/>
      <c r="AH15" s="429"/>
      <c r="AI15" s="429"/>
      <c r="AJ15" s="429"/>
      <c r="AK15" s="429"/>
      <c r="AL15" s="429"/>
      <c r="AM15" s="429"/>
      <c r="AN15" s="429"/>
      <c r="AO15" s="429"/>
      <c r="AP15" s="429"/>
      <c r="AQ15" s="429"/>
      <c r="AR15" s="429"/>
      <c r="AS15" s="429"/>
      <c r="AT15" s="429"/>
      <c r="AU15" s="429"/>
      <c r="AV15" s="429"/>
      <c r="AW15" s="429"/>
      <c r="AX15" s="429"/>
      <c r="AY15" s="429"/>
      <c r="AZ15" s="429"/>
      <c r="BA15" s="429"/>
      <c r="BB15" s="429"/>
      <c r="BC15" s="429"/>
      <c r="BD15" s="429"/>
      <c r="BE15" s="429"/>
      <c r="BF15" s="429"/>
      <c r="BG15" s="429"/>
      <c r="BH15" s="429"/>
      <c r="BI15" s="429"/>
      <c r="BJ15" s="429"/>
      <c r="BK15" s="429"/>
      <c r="BL15" s="429"/>
      <c r="BM15" s="429"/>
      <c r="BN15" s="429"/>
      <c r="BO15" s="429"/>
      <c r="BP15" s="429"/>
      <c r="BQ15" s="429"/>
      <c r="BR15" s="429"/>
      <c r="BS15" s="429"/>
      <c r="BT15" s="429"/>
      <c r="BU15" s="429"/>
      <c r="BV15" s="429"/>
      <c r="BW15" s="429"/>
      <c r="BX15" s="429"/>
      <c r="BY15" s="286"/>
      <c r="BZ15" s="538"/>
    </row>
    <row r="16" spans="2:78" x14ac:dyDescent="0.2">
      <c r="B16" s="427"/>
      <c r="C16" s="207" t="s">
        <v>256</v>
      </c>
      <c r="D16" s="208">
        <v>0.105</v>
      </c>
      <c r="E16" s="428"/>
      <c r="F16" s="428"/>
      <c r="G16" s="428"/>
      <c r="H16" s="428"/>
      <c r="I16" s="428"/>
      <c r="J16" s="428"/>
      <c r="K16" s="428"/>
      <c r="L16" s="428"/>
      <c r="M16" s="428"/>
      <c r="N16" s="428"/>
      <c r="O16" s="428"/>
      <c r="P16" s="428"/>
      <c r="Q16" s="428"/>
      <c r="R16" s="428"/>
      <c r="S16" s="428"/>
      <c r="T16" s="428"/>
      <c r="U16" s="428"/>
      <c r="V16" s="428"/>
      <c r="W16" s="428"/>
      <c r="X16" s="428"/>
      <c r="Y16" s="428"/>
      <c r="Z16" s="428"/>
      <c r="AA16" s="428"/>
      <c r="AB16" s="428"/>
      <c r="AC16" s="430"/>
      <c r="AD16" s="430"/>
      <c r="AE16" s="430"/>
      <c r="AF16" s="430"/>
      <c r="AG16" s="430"/>
      <c r="AH16" s="430"/>
      <c r="AI16" s="430"/>
      <c r="AJ16" s="430"/>
      <c r="AK16" s="430"/>
      <c r="AL16" s="430"/>
      <c r="AM16" s="430"/>
      <c r="AN16" s="430"/>
      <c r="AO16" s="430"/>
      <c r="AP16" s="430"/>
      <c r="AQ16" s="430"/>
      <c r="AR16" s="430"/>
      <c r="AS16" s="430"/>
      <c r="AT16" s="430"/>
      <c r="AU16" s="430"/>
      <c r="AV16" s="430"/>
      <c r="AW16" s="430"/>
      <c r="AX16" s="430"/>
      <c r="AY16" s="430"/>
      <c r="AZ16" s="430"/>
      <c r="BA16" s="430"/>
      <c r="BB16" s="430"/>
      <c r="BC16" s="430"/>
      <c r="BD16" s="430"/>
      <c r="BE16" s="430"/>
      <c r="BF16" s="430"/>
      <c r="BG16" s="430"/>
      <c r="BH16" s="430"/>
      <c r="BI16" s="430"/>
      <c r="BJ16" s="430"/>
      <c r="BK16" s="430"/>
      <c r="BL16" s="430"/>
      <c r="BM16" s="430"/>
      <c r="BN16" s="430"/>
      <c r="BO16" s="430"/>
      <c r="BP16" s="430"/>
      <c r="BQ16" s="430"/>
      <c r="BR16" s="430"/>
      <c r="BS16" s="430"/>
      <c r="BT16" s="430"/>
      <c r="BU16" s="430"/>
      <c r="BV16" s="430"/>
      <c r="BW16" s="430"/>
      <c r="BX16" s="430"/>
      <c r="BY16" s="286">
        <f t="shared" ref="BY16:BY20" si="3">SUM(AC16:BX16)</f>
        <v>0</v>
      </c>
      <c r="BZ16" s="538"/>
    </row>
    <row r="17" spans="3:78" x14ac:dyDescent="0.2">
      <c r="C17" s="207" t="s">
        <v>325</v>
      </c>
      <c r="D17" s="208">
        <v>0.12</v>
      </c>
      <c r="E17" s="428"/>
      <c r="F17" s="428"/>
      <c r="G17" s="428"/>
      <c r="H17" s="428"/>
      <c r="I17" s="428"/>
      <c r="J17" s="428"/>
      <c r="K17" s="428"/>
      <c r="L17" s="428"/>
      <c r="M17" s="428"/>
      <c r="N17" s="428"/>
      <c r="O17" s="428"/>
      <c r="P17" s="428"/>
      <c r="Q17" s="428"/>
      <c r="R17" s="428"/>
      <c r="S17" s="428"/>
      <c r="T17" s="428"/>
      <c r="U17" s="428"/>
      <c r="V17" s="428"/>
      <c r="W17" s="428"/>
      <c r="X17" s="428"/>
      <c r="Y17" s="428"/>
      <c r="Z17" s="428"/>
      <c r="AA17" s="428"/>
      <c r="AB17" s="428"/>
      <c r="AC17" s="430"/>
      <c r="AD17" s="430"/>
      <c r="AE17" s="430"/>
      <c r="AF17" s="430"/>
      <c r="AG17" s="430"/>
      <c r="AH17" s="430"/>
      <c r="AI17" s="430"/>
      <c r="AJ17" s="430"/>
      <c r="AK17" s="430"/>
      <c r="AL17" s="430"/>
      <c r="AM17" s="430"/>
      <c r="AN17" s="430"/>
      <c r="AO17" s="430"/>
      <c r="AP17" s="430"/>
      <c r="AQ17" s="430"/>
      <c r="AR17" s="430"/>
      <c r="AS17" s="430"/>
      <c r="AT17" s="430"/>
      <c r="AU17" s="430"/>
      <c r="AV17" s="430"/>
      <c r="AW17" s="430"/>
      <c r="AX17" s="430"/>
      <c r="AY17" s="430"/>
      <c r="AZ17" s="430"/>
      <c r="BA17" s="430"/>
      <c r="BB17" s="430"/>
      <c r="BC17" s="430"/>
      <c r="BD17" s="430"/>
      <c r="BE17" s="430"/>
      <c r="BF17" s="430"/>
      <c r="BG17" s="430"/>
      <c r="BH17" s="430"/>
      <c r="BI17" s="430"/>
      <c r="BJ17" s="430"/>
      <c r="BK17" s="430"/>
      <c r="BL17" s="430"/>
      <c r="BM17" s="430"/>
      <c r="BN17" s="430"/>
      <c r="BO17" s="430"/>
      <c r="BP17" s="430"/>
      <c r="BQ17" s="430"/>
      <c r="BR17" s="430"/>
      <c r="BS17" s="430"/>
      <c r="BT17" s="430"/>
      <c r="BU17" s="430"/>
      <c r="BV17" s="430"/>
      <c r="BW17" s="430"/>
      <c r="BX17" s="430"/>
      <c r="BY17" s="286">
        <f t="shared" si="3"/>
        <v>0</v>
      </c>
      <c r="BZ17" s="538"/>
    </row>
    <row r="18" spans="3:78" x14ac:dyDescent="0.2">
      <c r="C18" s="207" t="s">
        <v>326</v>
      </c>
      <c r="D18" s="208">
        <v>0.12</v>
      </c>
      <c r="E18" s="428"/>
      <c r="F18" s="428"/>
      <c r="G18" s="428"/>
      <c r="H18" s="428"/>
      <c r="I18" s="428"/>
      <c r="J18" s="428"/>
      <c r="K18" s="428"/>
      <c r="L18" s="428"/>
      <c r="M18" s="428"/>
      <c r="N18" s="428"/>
      <c r="O18" s="428"/>
      <c r="P18" s="428"/>
      <c r="Q18" s="428"/>
      <c r="R18" s="428"/>
      <c r="S18" s="428"/>
      <c r="T18" s="428"/>
      <c r="U18" s="428"/>
      <c r="V18" s="428"/>
      <c r="W18" s="428"/>
      <c r="X18" s="428"/>
      <c r="Y18" s="428"/>
      <c r="Z18" s="428"/>
      <c r="AA18" s="428"/>
      <c r="AB18" s="428"/>
      <c r="AC18" s="430"/>
      <c r="AD18" s="430"/>
      <c r="AE18" s="430"/>
      <c r="AF18" s="430"/>
      <c r="AG18" s="430"/>
      <c r="AH18" s="430"/>
      <c r="AI18" s="430"/>
      <c r="AJ18" s="430"/>
      <c r="AK18" s="430"/>
      <c r="AL18" s="430"/>
      <c r="AM18" s="430"/>
      <c r="AN18" s="430"/>
      <c r="AO18" s="430"/>
      <c r="AP18" s="430"/>
      <c r="AQ18" s="430"/>
      <c r="AR18" s="430"/>
      <c r="AS18" s="430"/>
      <c r="AT18" s="430"/>
      <c r="AU18" s="430"/>
      <c r="AV18" s="430"/>
      <c r="AW18" s="430"/>
      <c r="AX18" s="430"/>
      <c r="AY18" s="430"/>
      <c r="AZ18" s="430"/>
      <c r="BA18" s="430"/>
      <c r="BB18" s="430"/>
      <c r="BC18" s="430"/>
      <c r="BD18" s="430"/>
      <c r="BE18" s="430"/>
      <c r="BF18" s="430"/>
      <c r="BG18" s="430"/>
      <c r="BH18" s="430"/>
      <c r="BI18" s="430"/>
      <c r="BJ18" s="430"/>
      <c r="BK18" s="430"/>
      <c r="BL18" s="430"/>
      <c r="BM18" s="430"/>
      <c r="BN18" s="430"/>
      <c r="BO18" s="430"/>
      <c r="BP18" s="430"/>
      <c r="BQ18" s="430"/>
      <c r="BR18" s="430"/>
      <c r="BS18" s="430"/>
      <c r="BT18" s="430"/>
      <c r="BU18" s="430"/>
      <c r="BV18" s="430"/>
      <c r="BW18" s="430"/>
      <c r="BX18" s="430"/>
      <c r="BY18" s="286">
        <f t="shared" si="3"/>
        <v>0</v>
      </c>
      <c r="BZ18" s="538"/>
    </row>
    <row r="19" spans="3:78" x14ac:dyDescent="0.2">
      <c r="C19" s="207" t="s">
        <v>327</v>
      </c>
      <c r="D19" s="208">
        <v>0.12</v>
      </c>
      <c r="E19" s="428"/>
      <c r="F19" s="428"/>
      <c r="G19" s="428"/>
      <c r="H19" s="428"/>
      <c r="I19" s="428"/>
      <c r="J19" s="428"/>
      <c r="K19" s="428"/>
      <c r="L19" s="428"/>
      <c r="M19" s="428"/>
      <c r="N19" s="428"/>
      <c r="O19" s="428"/>
      <c r="P19" s="428"/>
      <c r="Q19" s="428"/>
      <c r="R19" s="428"/>
      <c r="S19" s="428"/>
      <c r="T19" s="428"/>
      <c r="U19" s="428"/>
      <c r="V19" s="428"/>
      <c r="W19" s="428"/>
      <c r="X19" s="428"/>
      <c r="Y19" s="428"/>
      <c r="Z19" s="428"/>
      <c r="AA19" s="428"/>
      <c r="AB19" s="428"/>
      <c r="AC19" s="430"/>
      <c r="AD19" s="430"/>
      <c r="AE19" s="430"/>
      <c r="AF19" s="430"/>
      <c r="AG19" s="430"/>
      <c r="AH19" s="430"/>
      <c r="AI19" s="430"/>
      <c r="AJ19" s="430"/>
      <c r="AK19" s="430"/>
      <c r="AL19" s="430"/>
      <c r="AM19" s="430"/>
      <c r="AN19" s="430"/>
      <c r="AO19" s="430"/>
      <c r="AP19" s="430"/>
      <c r="AQ19" s="430"/>
      <c r="AR19" s="430"/>
      <c r="AS19" s="430"/>
      <c r="AT19" s="430"/>
      <c r="AU19" s="430"/>
      <c r="AV19" s="430"/>
      <c r="AW19" s="430"/>
      <c r="AX19" s="430"/>
      <c r="AY19" s="430"/>
      <c r="AZ19" s="430"/>
      <c r="BA19" s="430"/>
      <c r="BB19" s="430"/>
      <c r="BC19" s="430"/>
      <c r="BD19" s="430"/>
      <c r="BE19" s="430"/>
      <c r="BF19" s="430"/>
      <c r="BG19" s="430"/>
      <c r="BH19" s="430"/>
      <c r="BI19" s="430"/>
      <c r="BJ19" s="430"/>
      <c r="BK19" s="430"/>
      <c r="BL19" s="430"/>
      <c r="BM19" s="430"/>
      <c r="BN19" s="430"/>
      <c r="BO19" s="430"/>
      <c r="BP19" s="430"/>
      <c r="BQ19" s="430"/>
      <c r="BR19" s="430"/>
      <c r="BS19" s="430"/>
      <c r="BT19" s="430"/>
      <c r="BU19" s="430"/>
      <c r="BV19" s="430"/>
      <c r="BW19" s="430"/>
      <c r="BX19" s="430"/>
      <c r="BY19" s="286">
        <f t="shared" si="3"/>
        <v>0</v>
      </c>
      <c r="BZ19" s="538"/>
    </row>
    <row r="20" spans="3:78" x14ac:dyDescent="0.2">
      <c r="C20" s="287" t="s">
        <v>328</v>
      </c>
      <c r="D20" s="288">
        <v>0.12</v>
      </c>
      <c r="E20" s="431"/>
      <c r="F20" s="431"/>
      <c r="G20" s="431"/>
      <c r="H20" s="431"/>
      <c r="I20" s="431"/>
      <c r="J20" s="431"/>
      <c r="K20" s="431"/>
      <c r="L20" s="431"/>
      <c r="M20" s="431"/>
      <c r="N20" s="431"/>
      <c r="O20" s="431"/>
      <c r="P20" s="431"/>
      <c r="Q20" s="431"/>
      <c r="R20" s="431"/>
      <c r="S20" s="431"/>
      <c r="T20" s="431"/>
      <c r="U20" s="431"/>
      <c r="V20" s="431"/>
      <c r="W20" s="431"/>
      <c r="X20" s="431"/>
      <c r="Y20" s="431"/>
      <c r="Z20" s="431"/>
      <c r="AA20" s="431"/>
      <c r="AB20" s="431"/>
      <c r="AC20" s="432"/>
      <c r="AD20" s="432"/>
      <c r="AE20" s="432"/>
      <c r="AF20" s="432"/>
      <c r="AG20" s="432"/>
      <c r="AH20" s="432"/>
      <c r="AI20" s="432"/>
      <c r="AJ20" s="432"/>
      <c r="AK20" s="432"/>
      <c r="AL20" s="432"/>
      <c r="AM20" s="432"/>
      <c r="AN20" s="432"/>
      <c r="AO20" s="432"/>
      <c r="AP20" s="432"/>
      <c r="AQ20" s="432"/>
      <c r="AR20" s="432"/>
      <c r="AS20" s="432"/>
      <c r="AT20" s="432"/>
      <c r="AU20" s="432"/>
      <c r="AV20" s="432"/>
      <c r="AW20" s="432"/>
      <c r="AX20" s="432"/>
      <c r="AY20" s="432"/>
      <c r="AZ20" s="432"/>
      <c r="BA20" s="432"/>
      <c r="BB20" s="432"/>
      <c r="BC20" s="432"/>
      <c r="BD20" s="432"/>
      <c r="BE20" s="432"/>
      <c r="BF20" s="432"/>
      <c r="BG20" s="432"/>
      <c r="BH20" s="432"/>
      <c r="BI20" s="432"/>
      <c r="BJ20" s="432"/>
      <c r="BK20" s="432"/>
      <c r="BL20" s="432"/>
      <c r="BM20" s="432"/>
      <c r="BN20" s="432"/>
      <c r="BO20" s="432"/>
      <c r="BP20" s="432"/>
      <c r="BQ20" s="432"/>
      <c r="BR20" s="432"/>
      <c r="BS20" s="432"/>
      <c r="BT20" s="432"/>
      <c r="BU20" s="432"/>
      <c r="BV20" s="432"/>
      <c r="BW20" s="432"/>
      <c r="BX20" s="432"/>
      <c r="BY20" s="289">
        <f t="shared" si="3"/>
        <v>0</v>
      </c>
      <c r="BZ20" s="539"/>
    </row>
    <row r="23" spans="3:78" x14ac:dyDescent="0.2">
      <c r="C23" s="283" t="s">
        <v>285</v>
      </c>
      <c r="D23" s="290" t="s">
        <v>218</v>
      </c>
      <c r="E23" s="291">
        <f>'Cash-flow'!E88</f>
        <v>0</v>
      </c>
      <c r="F23" s="291">
        <f>'Cash-flow'!F88</f>
        <v>0</v>
      </c>
      <c r="G23" s="291">
        <f>'Cash-flow'!G88</f>
        <v>0</v>
      </c>
      <c r="H23" s="291">
        <f>'Cash-flow'!H88</f>
        <v>0</v>
      </c>
      <c r="I23" s="291">
        <f>'Cash-flow'!I88</f>
        <v>0</v>
      </c>
      <c r="J23" s="291">
        <f>'Cash-flow'!J88</f>
        <v>0</v>
      </c>
      <c r="K23" s="291">
        <f>'Cash-flow'!K88</f>
        <v>0</v>
      </c>
      <c r="L23" s="291">
        <f>'Cash-flow'!L88</f>
        <v>0</v>
      </c>
      <c r="M23" s="291">
        <f>'Cash-flow'!M88</f>
        <v>0</v>
      </c>
      <c r="N23" s="291">
        <f>'Cash-flow'!N88</f>
        <v>0</v>
      </c>
      <c r="O23" s="291">
        <f>'Cash-flow'!O88</f>
        <v>0</v>
      </c>
      <c r="P23" s="291">
        <f>'Cash-flow'!P88</f>
        <v>0</v>
      </c>
      <c r="Q23" s="291">
        <f>'Cash-flow'!Q88</f>
        <v>0</v>
      </c>
      <c r="R23" s="291">
        <f>'Cash-flow'!R88</f>
        <v>0</v>
      </c>
      <c r="S23" s="291">
        <f>'Cash-flow'!S88</f>
        <v>0</v>
      </c>
      <c r="T23" s="291">
        <f>'Cash-flow'!T88</f>
        <v>0</v>
      </c>
      <c r="U23" s="291">
        <f>'Cash-flow'!U88</f>
        <v>0</v>
      </c>
      <c r="V23" s="291">
        <f>'Cash-flow'!V88</f>
        <v>0</v>
      </c>
      <c r="W23" s="291">
        <f>'Cash-flow'!W88</f>
        <v>0</v>
      </c>
      <c r="X23" s="291">
        <f>'Cash-flow'!X88</f>
        <v>0</v>
      </c>
      <c r="Y23" s="291">
        <f>'Cash-flow'!Y88</f>
        <v>0</v>
      </c>
      <c r="Z23" s="291">
        <f>'Cash-flow'!Z88</f>
        <v>0</v>
      </c>
      <c r="AA23" s="291">
        <f>'Cash-flow'!AA88</f>
        <v>0</v>
      </c>
      <c r="AB23" s="291">
        <f>'Cash-flow'!AB88</f>
        <v>0</v>
      </c>
      <c r="AC23" s="291">
        <f>'Cash-flow'!AC88</f>
        <v>0</v>
      </c>
      <c r="AD23" s="291">
        <f>'Cash-flow'!AD88</f>
        <v>0</v>
      </c>
      <c r="AE23" s="291">
        <f>'Cash-flow'!AE88</f>
        <v>0</v>
      </c>
      <c r="AF23" s="291">
        <f>'Cash-flow'!AF88</f>
        <v>0</v>
      </c>
      <c r="AG23" s="291">
        <f>'Cash-flow'!AG88</f>
        <v>0</v>
      </c>
      <c r="AH23" s="291">
        <f>'Cash-flow'!AH88</f>
        <v>0</v>
      </c>
      <c r="AI23" s="291">
        <f>'Cash-flow'!AI88</f>
        <v>0</v>
      </c>
      <c r="AJ23" s="291">
        <f>'Cash-flow'!AJ88</f>
        <v>0</v>
      </c>
      <c r="AK23" s="291">
        <f>'Cash-flow'!AK88</f>
        <v>0</v>
      </c>
      <c r="AL23" s="291">
        <f>'Cash-flow'!AL88</f>
        <v>0</v>
      </c>
      <c r="AM23" s="291">
        <f>'Cash-flow'!AM88</f>
        <v>0</v>
      </c>
      <c r="AN23" s="291">
        <f>'Cash-flow'!AN88</f>
        <v>-33600000</v>
      </c>
      <c r="AO23" s="291">
        <f>'Cash-flow'!AO88</f>
        <v>0</v>
      </c>
      <c r="AP23" s="291">
        <f>'Cash-flow'!AP88</f>
        <v>0</v>
      </c>
      <c r="AQ23" s="291">
        <f>'Cash-flow'!AQ88</f>
        <v>0</v>
      </c>
      <c r="AR23" s="291">
        <f>'Cash-flow'!AR88</f>
        <v>0</v>
      </c>
      <c r="AS23" s="291">
        <f>'Cash-flow'!AS88</f>
        <v>0</v>
      </c>
      <c r="AT23" s="291">
        <f>'Cash-flow'!AT88</f>
        <v>0</v>
      </c>
      <c r="AU23" s="291">
        <f>'Cash-flow'!AU88</f>
        <v>0</v>
      </c>
      <c r="AV23" s="291">
        <f>'Cash-flow'!AV88</f>
        <v>0</v>
      </c>
      <c r="AW23" s="291">
        <f>'Cash-flow'!AW88</f>
        <v>0</v>
      </c>
      <c r="AX23" s="291">
        <f>'Cash-flow'!AX88</f>
        <v>0</v>
      </c>
      <c r="AY23" s="291">
        <f>'Cash-flow'!AY88</f>
        <v>0</v>
      </c>
      <c r="AZ23" s="291">
        <f>'Cash-flow'!AZ88</f>
        <v>0</v>
      </c>
      <c r="BA23" s="291">
        <f>'Cash-flow'!BA88</f>
        <v>0</v>
      </c>
      <c r="BB23" s="291">
        <f>'Cash-flow'!BB88</f>
        <v>0</v>
      </c>
      <c r="BC23" s="291">
        <f>'Cash-flow'!BC88</f>
        <v>0</v>
      </c>
      <c r="BD23" s="291">
        <f>'Cash-flow'!BD88</f>
        <v>0</v>
      </c>
      <c r="BE23" s="291">
        <f>'Cash-flow'!BE88</f>
        <v>0</v>
      </c>
      <c r="BF23" s="291">
        <f>'Cash-flow'!BF88</f>
        <v>0</v>
      </c>
      <c r="BG23" s="291">
        <f>'Cash-flow'!BG88</f>
        <v>0</v>
      </c>
      <c r="BH23" s="291">
        <f>'Cash-flow'!BH88</f>
        <v>0</v>
      </c>
      <c r="BI23" s="291">
        <f>'Cash-flow'!BI88</f>
        <v>0</v>
      </c>
      <c r="BJ23" s="291">
        <f>'Cash-flow'!BJ88</f>
        <v>0</v>
      </c>
      <c r="BK23" s="291">
        <f>'Cash-flow'!BK88</f>
        <v>0</v>
      </c>
      <c r="BL23" s="291">
        <f>'Cash-flow'!BL88</f>
        <v>0</v>
      </c>
      <c r="BM23" s="291">
        <f>'Cash-flow'!BM88</f>
        <v>0</v>
      </c>
      <c r="BN23" s="291">
        <f>'Cash-flow'!BN88</f>
        <v>0</v>
      </c>
      <c r="BO23" s="291">
        <f>'Cash-flow'!BO88</f>
        <v>0</v>
      </c>
      <c r="BP23" s="291">
        <f>'Cash-flow'!BP88</f>
        <v>0</v>
      </c>
      <c r="BQ23" s="291">
        <f>'Cash-flow'!BQ88</f>
        <v>0</v>
      </c>
      <c r="BR23" s="291">
        <f>'Cash-flow'!BR88</f>
        <v>0</v>
      </c>
      <c r="BS23" s="291">
        <f>'Cash-flow'!BS88</f>
        <v>0</v>
      </c>
      <c r="BT23" s="291">
        <f>'Cash-flow'!BT88</f>
        <v>0</v>
      </c>
      <c r="BU23" s="291">
        <f>'Cash-flow'!BU88</f>
        <v>0</v>
      </c>
      <c r="BV23" s="291">
        <f>'Cash-flow'!BV88</f>
        <v>0</v>
      </c>
      <c r="BW23" s="291">
        <f>'Cash-flow'!BW88</f>
        <v>0</v>
      </c>
      <c r="BX23" s="291">
        <f>'Cash-flow'!BX88</f>
        <v>0</v>
      </c>
      <c r="BY23" s="292">
        <f t="shared" ref="BY23:BY30" si="4">SUM(E23:BX23)</f>
        <v>-33600000</v>
      </c>
      <c r="BZ23" s="537">
        <f>SUM(BY23:BY33)</f>
        <v>-37700000</v>
      </c>
    </row>
    <row r="24" spans="3:78" x14ac:dyDescent="0.2">
      <c r="C24" s="207" t="s">
        <v>329</v>
      </c>
      <c r="D24" s="194" t="s">
        <v>218</v>
      </c>
      <c r="E24" s="433">
        <f>'Cash-flow'!E89</f>
        <v>0</v>
      </c>
      <c r="F24" s="433">
        <f>'Cash-flow'!F89</f>
        <v>0</v>
      </c>
      <c r="G24" s="433">
        <f>'Cash-flow'!G89</f>
        <v>0</v>
      </c>
      <c r="H24" s="433">
        <f>'Cash-flow'!H89</f>
        <v>0</v>
      </c>
      <c r="I24" s="433">
        <f>'Cash-flow'!I89</f>
        <v>0</v>
      </c>
      <c r="J24" s="433">
        <f>'Cash-flow'!J89</f>
        <v>0</v>
      </c>
      <c r="K24" s="433">
        <f>'Cash-flow'!K89</f>
        <v>0</v>
      </c>
      <c r="L24" s="433">
        <f>'Cash-flow'!L89</f>
        <v>0</v>
      </c>
      <c r="M24" s="433">
        <f>'Cash-flow'!M89</f>
        <v>0</v>
      </c>
      <c r="N24" s="433">
        <f>'Cash-flow'!N89</f>
        <v>0</v>
      </c>
      <c r="O24" s="433">
        <f>'Cash-flow'!O89</f>
        <v>0</v>
      </c>
      <c r="P24" s="433">
        <f>'Cash-flow'!P89</f>
        <v>0</v>
      </c>
      <c r="Q24" s="433">
        <f>'Cash-flow'!Q89</f>
        <v>-2500000</v>
      </c>
      <c r="R24" s="433">
        <f>'Cash-flow'!R89</f>
        <v>0</v>
      </c>
      <c r="S24" s="433">
        <f>'Cash-flow'!S89</f>
        <v>0</v>
      </c>
      <c r="T24" s="433">
        <f>'Cash-flow'!T89</f>
        <v>0</v>
      </c>
      <c r="U24" s="433">
        <f>'Cash-flow'!U89</f>
        <v>0</v>
      </c>
      <c r="V24" s="433">
        <f>'Cash-flow'!V89</f>
        <v>0</v>
      </c>
      <c r="W24" s="433">
        <f>'Cash-flow'!W89</f>
        <v>0</v>
      </c>
      <c r="X24" s="433">
        <f>'Cash-flow'!X89</f>
        <v>0</v>
      </c>
      <c r="Y24" s="433">
        <f>'Cash-flow'!Y89</f>
        <v>0</v>
      </c>
      <c r="Z24" s="433">
        <f>'Cash-flow'!Z89</f>
        <v>0</v>
      </c>
      <c r="AA24" s="433">
        <f>'Cash-flow'!AA89</f>
        <v>0</v>
      </c>
      <c r="AB24" s="433">
        <f>'Cash-flow'!AB89</f>
        <v>0</v>
      </c>
      <c r="AC24" s="433">
        <f>'Cash-flow'!AC89</f>
        <v>0</v>
      </c>
      <c r="AD24" s="433">
        <f>'Cash-flow'!AD89</f>
        <v>0</v>
      </c>
      <c r="AE24" s="433">
        <f>'Cash-flow'!AE89</f>
        <v>0</v>
      </c>
      <c r="AF24" s="433">
        <f>'Cash-flow'!AF89</f>
        <v>0</v>
      </c>
      <c r="AG24" s="433">
        <f>'Cash-flow'!AG89</f>
        <v>0</v>
      </c>
      <c r="AH24" s="433">
        <f>'Cash-flow'!AH89</f>
        <v>0</v>
      </c>
      <c r="AI24" s="433">
        <f>'Cash-flow'!AI89</f>
        <v>0</v>
      </c>
      <c r="AJ24" s="433">
        <f>'Cash-flow'!AJ89</f>
        <v>0</v>
      </c>
      <c r="AK24" s="433">
        <f>'Cash-flow'!AK89</f>
        <v>0</v>
      </c>
      <c r="AL24" s="433">
        <f>'Cash-flow'!AL89</f>
        <v>0</v>
      </c>
      <c r="AM24" s="433">
        <f>'Cash-flow'!AM89</f>
        <v>0</v>
      </c>
      <c r="AN24" s="433">
        <f>'Cash-flow'!AN89</f>
        <v>0</v>
      </c>
      <c r="AO24" s="433">
        <f>'Cash-flow'!AO89</f>
        <v>0</v>
      </c>
      <c r="AP24" s="433">
        <f>'Cash-flow'!AP89</f>
        <v>0</v>
      </c>
      <c r="AQ24" s="433">
        <f>'Cash-flow'!AQ89</f>
        <v>0</v>
      </c>
      <c r="AR24" s="433">
        <f>'Cash-flow'!AR89</f>
        <v>0</v>
      </c>
      <c r="AS24" s="433">
        <f>'Cash-flow'!AS89</f>
        <v>0</v>
      </c>
      <c r="AT24" s="433">
        <f>'Cash-flow'!AT89</f>
        <v>0</v>
      </c>
      <c r="AU24" s="433">
        <f>'Cash-flow'!AU89</f>
        <v>0</v>
      </c>
      <c r="AV24" s="433">
        <f>'Cash-flow'!AV89</f>
        <v>0</v>
      </c>
      <c r="AW24" s="433">
        <f>'Cash-flow'!AW89</f>
        <v>0</v>
      </c>
      <c r="AX24" s="433">
        <f>'Cash-flow'!AX89</f>
        <v>0</v>
      </c>
      <c r="AY24" s="433">
        <f>'Cash-flow'!AY89</f>
        <v>0</v>
      </c>
      <c r="AZ24" s="433">
        <f>'Cash-flow'!AZ89</f>
        <v>0</v>
      </c>
      <c r="BA24" s="433">
        <f>'Cash-flow'!BA89</f>
        <v>0</v>
      </c>
      <c r="BB24" s="433">
        <f>'Cash-flow'!BB89</f>
        <v>0</v>
      </c>
      <c r="BC24" s="433">
        <f>'Cash-flow'!BC89</f>
        <v>0</v>
      </c>
      <c r="BD24" s="433">
        <f>'Cash-flow'!BD89</f>
        <v>0</v>
      </c>
      <c r="BE24" s="433">
        <f>'Cash-flow'!BE89</f>
        <v>0</v>
      </c>
      <c r="BF24" s="433">
        <f>'Cash-flow'!BF89</f>
        <v>0</v>
      </c>
      <c r="BG24" s="433">
        <f>'Cash-flow'!BG89</f>
        <v>0</v>
      </c>
      <c r="BH24" s="433">
        <f>'Cash-flow'!BH89</f>
        <v>0</v>
      </c>
      <c r="BI24" s="433">
        <f>'Cash-flow'!BI89</f>
        <v>0</v>
      </c>
      <c r="BJ24" s="433">
        <f>'Cash-flow'!BJ89</f>
        <v>0</v>
      </c>
      <c r="BK24" s="433">
        <f>'Cash-flow'!BK89</f>
        <v>0</v>
      </c>
      <c r="BL24" s="433">
        <f>'Cash-flow'!BL89</f>
        <v>0</v>
      </c>
      <c r="BM24" s="433">
        <f>'Cash-flow'!BM89</f>
        <v>0</v>
      </c>
      <c r="BN24" s="433">
        <f>'Cash-flow'!BN89</f>
        <v>0</v>
      </c>
      <c r="BO24" s="433">
        <f>'Cash-flow'!BO89</f>
        <v>0</v>
      </c>
      <c r="BP24" s="433">
        <f>'Cash-flow'!BP89</f>
        <v>0</v>
      </c>
      <c r="BQ24" s="433">
        <f>'Cash-flow'!BQ89</f>
        <v>0</v>
      </c>
      <c r="BR24" s="433">
        <f>'Cash-flow'!BR89</f>
        <v>0</v>
      </c>
      <c r="BS24" s="433">
        <f>'Cash-flow'!BS89</f>
        <v>0</v>
      </c>
      <c r="BT24" s="433">
        <f>'Cash-flow'!BT89</f>
        <v>0</v>
      </c>
      <c r="BU24" s="433">
        <f>'Cash-flow'!BU89</f>
        <v>0</v>
      </c>
      <c r="BV24" s="433">
        <f>'Cash-flow'!BV89</f>
        <v>0</v>
      </c>
      <c r="BW24" s="433">
        <f>'Cash-flow'!BW89</f>
        <v>0</v>
      </c>
      <c r="BX24" s="433">
        <f>'Cash-flow'!BX89</f>
        <v>0</v>
      </c>
      <c r="BY24" s="293">
        <f t="shared" si="4"/>
        <v>-2500000</v>
      </c>
      <c r="BZ24" s="538"/>
    </row>
    <row r="25" spans="3:78" x14ac:dyDescent="0.2">
      <c r="C25" s="207" t="s">
        <v>330</v>
      </c>
      <c r="D25" s="194" t="s">
        <v>218</v>
      </c>
      <c r="E25" s="433">
        <f>'Cash-flow'!E90</f>
        <v>0</v>
      </c>
      <c r="F25" s="433">
        <f>'Cash-flow'!F90</f>
        <v>0</v>
      </c>
      <c r="G25" s="433">
        <f>'Cash-flow'!G90</f>
        <v>0</v>
      </c>
      <c r="H25" s="433">
        <f>'Cash-flow'!H90</f>
        <v>0</v>
      </c>
      <c r="I25" s="433">
        <f>'Cash-flow'!I90</f>
        <v>0</v>
      </c>
      <c r="J25" s="433">
        <f>'Cash-flow'!J90</f>
        <v>0</v>
      </c>
      <c r="K25" s="433">
        <f>'Cash-flow'!K90</f>
        <v>0</v>
      </c>
      <c r="L25" s="433">
        <f>'Cash-flow'!L90</f>
        <v>0</v>
      </c>
      <c r="M25" s="433">
        <f>'Cash-flow'!M90</f>
        <v>0</v>
      </c>
      <c r="N25" s="433">
        <f>'Cash-flow'!N90</f>
        <v>0</v>
      </c>
      <c r="O25" s="433">
        <f>'Cash-flow'!O90</f>
        <v>0</v>
      </c>
      <c r="P25" s="433">
        <f>'Cash-flow'!P90</f>
        <v>0</v>
      </c>
      <c r="Q25" s="433">
        <f>'Cash-flow'!Q90</f>
        <v>-1600000</v>
      </c>
      <c r="R25" s="433">
        <f>'Cash-flow'!R90</f>
        <v>0</v>
      </c>
      <c r="S25" s="433">
        <f>'Cash-flow'!S90</f>
        <v>0</v>
      </c>
      <c r="T25" s="433">
        <f>'Cash-flow'!T90</f>
        <v>0</v>
      </c>
      <c r="U25" s="433">
        <f>'Cash-flow'!U90</f>
        <v>0</v>
      </c>
      <c r="V25" s="433">
        <f>'Cash-flow'!V90</f>
        <v>0</v>
      </c>
      <c r="W25" s="433">
        <f>'Cash-flow'!W90</f>
        <v>0</v>
      </c>
      <c r="X25" s="433">
        <f>'Cash-flow'!X90</f>
        <v>0</v>
      </c>
      <c r="Y25" s="433">
        <f>'Cash-flow'!Y90</f>
        <v>0</v>
      </c>
      <c r="Z25" s="433">
        <f>'Cash-flow'!Z90</f>
        <v>0</v>
      </c>
      <c r="AA25" s="433">
        <f>'Cash-flow'!AA90</f>
        <v>0</v>
      </c>
      <c r="AB25" s="433">
        <f>'Cash-flow'!AB90</f>
        <v>0</v>
      </c>
      <c r="AC25" s="433">
        <f>'Cash-flow'!AC90</f>
        <v>0</v>
      </c>
      <c r="AD25" s="433">
        <f>'Cash-flow'!AD90</f>
        <v>0</v>
      </c>
      <c r="AE25" s="433">
        <f>'Cash-flow'!AE90</f>
        <v>0</v>
      </c>
      <c r="AF25" s="433">
        <f>'Cash-flow'!AF90</f>
        <v>0</v>
      </c>
      <c r="AG25" s="433">
        <f>'Cash-flow'!AG90</f>
        <v>0</v>
      </c>
      <c r="AH25" s="433">
        <f>'Cash-flow'!AH90</f>
        <v>0</v>
      </c>
      <c r="AI25" s="433">
        <f>'Cash-flow'!AI90</f>
        <v>0</v>
      </c>
      <c r="AJ25" s="433">
        <f>'Cash-flow'!AJ90</f>
        <v>0</v>
      </c>
      <c r="AK25" s="433">
        <f>'Cash-flow'!AK90</f>
        <v>0</v>
      </c>
      <c r="AL25" s="433">
        <f>'Cash-flow'!AL90</f>
        <v>0</v>
      </c>
      <c r="AM25" s="433">
        <f>'Cash-flow'!AM90</f>
        <v>0</v>
      </c>
      <c r="AN25" s="433">
        <f>'Cash-flow'!AN90</f>
        <v>0</v>
      </c>
      <c r="AO25" s="433">
        <f>'Cash-flow'!AO90</f>
        <v>0</v>
      </c>
      <c r="AP25" s="433">
        <f>'Cash-flow'!AP90</f>
        <v>0</v>
      </c>
      <c r="AQ25" s="433">
        <f>'Cash-flow'!AQ90</f>
        <v>0</v>
      </c>
      <c r="AR25" s="433">
        <f>'Cash-flow'!AR90</f>
        <v>0</v>
      </c>
      <c r="AS25" s="433">
        <f>'Cash-flow'!AS90</f>
        <v>0</v>
      </c>
      <c r="AT25" s="433">
        <f>'Cash-flow'!AT90</f>
        <v>0</v>
      </c>
      <c r="AU25" s="433">
        <f>'Cash-flow'!AU90</f>
        <v>0</v>
      </c>
      <c r="AV25" s="433">
        <f>'Cash-flow'!AV90</f>
        <v>0</v>
      </c>
      <c r="AW25" s="433">
        <f>'Cash-flow'!AW90</f>
        <v>0</v>
      </c>
      <c r="AX25" s="433">
        <f>'Cash-flow'!AX90</f>
        <v>0</v>
      </c>
      <c r="AY25" s="433">
        <f>'Cash-flow'!AY90</f>
        <v>0</v>
      </c>
      <c r="AZ25" s="433">
        <f>'Cash-flow'!AZ90</f>
        <v>0</v>
      </c>
      <c r="BA25" s="433">
        <f>'Cash-flow'!BA90</f>
        <v>0</v>
      </c>
      <c r="BB25" s="433">
        <f>'Cash-flow'!BB90</f>
        <v>0</v>
      </c>
      <c r="BC25" s="433">
        <f>'Cash-flow'!BC90</f>
        <v>0</v>
      </c>
      <c r="BD25" s="433">
        <f>'Cash-flow'!BD90</f>
        <v>0</v>
      </c>
      <c r="BE25" s="433">
        <f>'Cash-flow'!BE90</f>
        <v>0</v>
      </c>
      <c r="BF25" s="433">
        <f>'Cash-flow'!BF90</f>
        <v>0</v>
      </c>
      <c r="BG25" s="433">
        <f>'Cash-flow'!BG90</f>
        <v>0</v>
      </c>
      <c r="BH25" s="433">
        <f>'Cash-flow'!BH90</f>
        <v>0</v>
      </c>
      <c r="BI25" s="433">
        <f>'Cash-flow'!BI90</f>
        <v>0</v>
      </c>
      <c r="BJ25" s="433">
        <f>'Cash-flow'!BJ90</f>
        <v>0</v>
      </c>
      <c r="BK25" s="433">
        <f>'Cash-flow'!BK90</f>
        <v>0</v>
      </c>
      <c r="BL25" s="433">
        <f>'Cash-flow'!BL90</f>
        <v>0</v>
      </c>
      <c r="BM25" s="433">
        <f>'Cash-flow'!BM90</f>
        <v>0</v>
      </c>
      <c r="BN25" s="433">
        <f>'Cash-flow'!BN90</f>
        <v>0</v>
      </c>
      <c r="BO25" s="433">
        <f>'Cash-flow'!BO90</f>
        <v>0</v>
      </c>
      <c r="BP25" s="433">
        <f>'Cash-flow'!BP90</f>
        <v>0</v>
      </c>
      <c r="BQ25" s="433">
        <f>'Cash-flow'!BQ90</f>
        <v>0</v>
      </c>
      <c r="BR25" s="433">
        <f>'Cash-flow'!BR90</f>
        <v>0</v>
      </c>
      <c r="BS25" s="433">
        <f>'Cash-flow'!BS90</f>
        <v>0</v>
      </c>
      <c r="BT25" s="433">
        <f>'Cash-flow'!BT90</f>
        <v>0</v>
      </c>
      <c r="BU25" s="433">
        <f>'Cash-flow'!BU90</f>
        <v>0</v>
      </c>
      <c r="BV25" s="433">
        <f>'Cash-flow'!BV90</f>
        <v>0</v>
      </c>
      <c r="BW25" s="433">
        <f>'Cash-flow'!BW90</f>
        <v>0</v>
      </c>
      <c r="BX25" s="433">
        <f>'Cash-flow'!BX90</f>
        <v>0</v>
      </c>
      <c r="BY25" s="293">
        <f t="shared" si="4"/>
        <v>-1600000</v>
      </c>
      <c r="BZ25" s="538"/>
    </row>
    <row r="26" spans="3:78" x14ac:dyDescent="0.2">
      <c r="C26" s="207" t="s">
        <v>288</v>
      </c>
      <c r="D26" s="194" t="s">
        <v>218</v>
      </c>
      <c r="E26" s="433">
        <f>'Cash-flow'!E91</f>
        <v>0</v>
      </c>
      <c r="F26" s="433">
        <f>'Cash-flow'!F91</f>
        <v>0</v>
      </c>
      <c r="G26" s="433">
        <f>'Cash-flow'!G91</f>
        <v>0</v>
      </c>
      <c r="H26" s="433">
        <f>'Cash-flow'!H91</f>
        <v>0</v>
      </c>
      <c r="I26" s="433">
        <f>'Cash-flow'!I91</f>
        <v>0</v>
      </c>
      <c r="J26" s="433">
        <f>'Cash-flow'!J91</f>
        <v>0</v>
      </c>
      <c r="K26" s="433">
        <f>'Cash-flow'!K91</f>
        <v>0</v>
      </c>
      <c r="L26" s="433">
        <f>'Cash-flow'!L91</f>
        <v>0</v>
      </c>
      <c r="M26" s="433">
        <f>'Cash-flow'!M91</f>
        <v>0</v>
      </c>
      <c r="N26" s="433">
        <f>'Cash-flow'!N91</f>
        <v>0</v>
      </c>
      <c r="O26" s="433">
        <f>'Cash-flow'!O91</f>
        <v>0</v>
      </c>
      <c r="P26" s="433">
        <f>'Cash-flow'!P91</f>
        <v>0</v>
      </c>
      <c r="Q26" s="433">
        <f>'Cash-flow'!Q91</f>
        <v>0</v>
      </c>
      <c r="R26" s="433">
        <f>'Cash-flow'!R91</f>
        <v>0</v>
      </c>
      <c r="S26" s="433">
        <f>'Cash-flow'!S91</f>
        <v>0</v>
      </c>
      <c r="T26" s="433">
        <f>'Cash-flow'!T91</f>
        <v>0</v>
      </c>
      <c r="U26" s="433">
        <f>'Cash-flow'!U91</f>
        <v>0</v>
      </c>
      <c r="V26" s="433">
        <f>'Cash-flow'!V91</f>
        <v>0</v>
      </c>
      <c r="W26" s="433">
        <f>'Cash-flow'!W91</f>
        <v>0</v>
      </c>
      <c r="X26" s="433">
        <f>'Cash-flow'!X91</f>
        <v>0</v>
      </c>
      <c r="Y26" s="433">
        <f>'Cash-flow'!Y91</f>
        <v>0</v>
      </c>
      <c r="Z26" s="433">
        <f>'Cash-flow'!Z91</f>
        <v>0</v>
      </c>
      <c r="AA26" s="433">
        <f>'Cash-flow'!AA91</f>
        <v>0</v>
      </c>
      <c r="AB26" s="433">
        <f>'Cash-flow'!AB91</f>
        <v>0</v>
      </c>
      <c r="AC26" s="433">
        <f>'Cash-flow'!AC91</f>
        <v>0</v>
      </c>
      <c r="AD26" s="433">
        <f>'Cash-flow'!AD91</f>
        <v>0</v>
      </c>
      <c r="AE26" s="433">
        <f>'Cash-flow'!AE91</f>
        <v>0</v>
      </c>
      <c r="AF26" s="433">
        <f>'Cash-flow'!AF91</f>
        <v>0</v>
      </c>
      <c r="AG26" s="433">
        <f>'Cash-flow'!AG91</f>
        <v>0</v>
      </c>
      <c r="AH26" s="433">
        <f>'Cash-flow'!AH91</f>
        <v>0</v>
      </c>
      <c r="AI26" s="433">
        <f>'Cash-flow'!AI91</f>
        <v>0</v>
      </c>
      <c r="AJ26" s="433">
        <f>'Cash-flow'!AJ91</f>
        <v>0</v>
      </c>
      <c r="AK26" s="433">
        <f>'Cash-flow'!AK91</f>
        <v>0</v>
      </c>
      <c r="AL26" s="433">
        <f>'Cash-flow'!AL91</f>
        <v>0</v>
      </c>
      <c r="AM26" s="433">
        <f>'Cash-flow'!AM91</f>
        <v>0</v>
      </c>
      <c r="AN26" s="433">
        <f>'Cash-flow'!AN91</f>
        <v>0</v>
      </c>
      <c r="AO26" s="433">
        <f>'Cash-flow'!AO91</f>
        <v>0</v>
      </c>
      <c r="AP26" s="433">
        <f>'Cash-flow'!AP91</f>
        <v>0</v>
      </c>
      <c r="AQ26" s="433">
        <f>'Cash-flow'!AQ91</f>
        <v>0</v>
      </c>
      <c r="AR26" s="433">
        <f>'Cash-flow'!AR91</f>
        <v>0</v>
      </c>
      <c r="AS26" s="433">
        <f>'Cash-flow'!AS91</f>
        <v>0</v>
      </c>
      <c r="AT26" s="433">
        <f>'Cash-flow'!AT91</f>
        <v>0</v>
      </c>
      <c r="AU26" s="433">
        <f>'Cash-flow'!AU91</f>
        <v>0</v>
      </c>
      <c r="AV26" s="433">
        <f>'Cash-flow'!AV91</f>
        <v>0</v>
      </c>
      <c r="AW26" s="433">
        <f>'Cash-flow'!AW91</f>
        <v>0</v>
      </c>
      <c r="AX26" s="433">
        <f>'Cash-flow'!AX91</f>
        <v>0</v>
      </c>
      <c r="AY26" s="433">
        <f>'Cash-flow'!AY91</f>
        <v>0</v>
      </c>
      <c r="AZ26" s="433">
        <f>'Cash-flow'!AZ91</f>
        <v>0</v>
      </c>
      <c r="BA26" s="433">
        <f>'Cash-flow'!BA91</f>
        <v>0</v>
      </c>
      <c r="BB26" s="433">
        <f>'Cash-flow'!BB91</f>
        <v>0</v>
      </c>
      <c r="BC26" s="433">
        <f>'Cash-flow'!BC91</f>
        <v>0</v>
      </c>
      <c r="BD26" s="433">
        <f>'Cash-flow'!BD91</f>
        <v>0</v>
      </c>
      <c r="BE26" s="433">
        <f>'Cash-flow'!BE91</f>
        <v>0</v>
      </c>
      <c r="BF26" s="433">
        <f>'Cash-flow'!BF91</f>
        <v>0</v>
      </c>
      <c r="BG26" s="433">
        <f>'Cash-flow'!BG91</f>
        <v>0</v>
      </c>
      <c r="BH26" s="433">
        <f>'Cash-flow'!BH91</f>
        <v>0</v>
      </c>
      <c r="BI26" s="433">
        <f>'Cash-flow'!BI91</f>
        <v>0</v>
      </c>
      <c r="BJ26" s="433">
        <f>'Cash-flow'!BJ91</f>
        <v>0</v>
      </c>
      <c r="BK26" s="433">
        <f>'Cash-flow'!BK91</f>
        <v>0</v>
      </c>
      <c r="BL26" s="433">
        <f>'Cash-flow'!BL91</f>
        <v>0</v>
      </c>
      <c r="BM26" s="433">
        <f>'Cash-flow'!BM91</f>
        <v>0</v>
      </c>
      <c r="BN26" s="433">
        <f>'Cash-flow'!BN91</f>
        <v>0</v>
      </c>
      <c r="BO26" s="433">
        <f>'Cash-flow'!BO91</f>
        <v>0</v>
      </c>
      <c r="BP26" s="433">
        <f>'Cash-flow'!BP91</f>
        <v>0</v>
      </c>
      <c r="BQ26" s="433">
        <f>'Cash-flow'!BQ91</f>
        <v>0</v>
      </c>
      <c r="BR26" s="433">
        <f>'Cash-flow'!BR91</f>
        <v>0</v>
      </c>
      <c r="BS26" s="433">
        <f>'Cash-flow'!BS91</f>
        <v>0</v>
      </c>
      <c r="BT26" s="433">
        <f>'Cash-flow'!BT91</f>
        <v>0</v>
      </c>
      <c r="BU26" s="433">
        <f>'Cash-flow'!BU91</f>
        <v>0</v>
      </c>
      <c r="BV26" s="433">
        <f>'Cash-flow'!BV91</f>
        <v>0</v>
      </c>
      <c r="BW26" s="433">
        <f>'Cash-flow'!BW91</f>
        <v>0</v>
      </c>
      <c r="BX26" s="433">
        <f>'Cash-flow'!BX91</f>
        <v>0</v>
      </c>
      <c r="BY26" s="293">
        <f t="shared" si="4"/>
        <v>0</v>
      </c>
      <c r="BZ26" s="538"/>
    </row>
    <row r="27" spans="3:78" x14ac:dyDescent="0.2">
      <c r="C27" s="207" t="s">
        <v>331</v>
      </c>
      <c r="D27" s="194" t="s">
        <v>218</v>
      </c>
      <c r="E27" s="429"/>
      <c r="F27" s="429"/>
      <c r="G27" s="429"/>
      <c r="H27" s="429"/>
      <c r="I27" s="429"/>
      <c r="J27" s="429"/>
      <c r="K27" s="429"/>
      <c r="L27" s="429"/>
      <c r="M27" s="429"/>
      <c r="N27" s="429"/>
      <c r="O27" s="429"/>
      <c r="P27" s="429"/>
      <c r="Q27" s="429"/>
      <c r="R27" s="429"/>
      <c r="S27" s="429"/>
      <c r="T27" s="429"/>
      <c r="U27" s="429"/>
      <c r="V27" s="429"/>
      <c r="W27" s="429"/>
      <c r="X27" s="429"/>
      <c r="Y27" s="429"/>
      <c r="Z27" s="429"/>
      <c r="AA27" s="429"/>
      <c r="AB27" s="429"/>
      <c r="AC27" s="430"/>
      <c r="AD27" s="430"/>
      <c r="AE27" s="430"/>
      <c r="AF27" s="430"/>
      <c r="AG27" s="430"/>
      <c r="AH27" s="430"/>
      <c r="AI27" s="430"/>
      <c r="AJ27" s="430"/>
      <c r="AK27" s="430"/>
      <c r="AL27" s="430"/>
      <c r="AM27" s="430"/>
      <c r="AN27" s="430"/>
      <c r="AO27" s="430"/>
      <c r="AP27" s="430"/>
      <c r="AQ27" s="430"/>
      <c r="AR27" s="430"/>
      <c r="AS27" s="430"/>
      <c r="AT27" s="430"/>
      <c r="AU27" s="430"/>
      <c r="AV27" s="430"/>
      <c r="AW27" s="430"/>
      <c r="AX27" s="430"/>
      <c r="AY27" s="430"/>
      <c r="AZ27" s="430"/>
      <c r="BA27" s="430"/>
      <c r="BB27" s="430"/>
      <c r="BC27" s="430"/>
      <c r="BD27" s="430"/>
      <c r="BE27" s="430"/>
      <c r="BF27" s="430"/>
      <c r="BG27" s="430"/>
      <c r="BH27" s="430"/>
      <c r="BI27" s="430"/>
      <c r="BJ27" s="430"/>
      <c r="BK27" s="430"/>
      <c r="BL27" s="430"/>
      <c r="BM27" s="430"/>
      <c r="BN27" s="430"/>
      <c r="BO27" s="430"/>
      <c r="BP27" s="430"/>
      <c r="BQ27" s="430"/>
      <c r="BR27" s="430"/>
      <c r="BS27" s="430"/>
      <c r="BT27" s="430"/>
      <c r="BU27" s="430"/>
      <c r="BV27" s="430"/>
      <c r="BW27" s="430"/>
      <c r="BX27" s="430"/>
      <c r="BY27" s="293">
        <f t="shared" si="4"/>
        <v>0</v>
      </c>
      <c r="BZ27" s="538"/>
    </row>
    <row r="28" spans="3:78" x14ac:dyDescent="0.2">
      <c r="C28" s="207" t="s">
        <v>332</v>
      </c>
      <c r="D28" s="194" t="s">
        <v>218</v>
      </c>
      <c r="E28" s="429"/>
      <c r="F28" s="429"/>
      <c r="G28" s="429"/>
      <c r="H28" s="429"/>
      <c r="I28" s="429"/>
      <c r="J28" s="429"/>
      <c r="K28" s="429"/>
      <c r="L28" s="429"/>
      <c r="M28" s="429"/>
      <c r="N28" s="429"/>
      <c r="O28" s="429"/>
      <c r="P28" s="429"/>
      <c r="Q28" s="429"/>
      <c r="R28" s="429"/>
      <c r="S28" s="429"/>
      <c r="T28" s="429"/>
      <c r="U28" s="429"/>
      <c r="V28" s="429"/>
      <c r="W28" s="429"/>
      <c r="X28" s="429"/>
      <c r="Y28" s="429"/>
      <c r="Z28" s="429"/>
      <c r="AA28" s="429"/>
      <c r="AB28" s="429"/>
      <c r="AC28" s="430"/>
      <c r="AD28" s="430"/>
      <c r="AE28" s="430"/>
      <c r="AF28" s="430"/>
      <c r="AG28" s="430"/>
      <c r="AH28" s="430"/>
      <c r="AI28" s="430"/>
      <c r="AJ28" s="430"/>
      <c r="AK28" s="430"/>
      <c r="AL28" s="430"/>
      <c r="AM28" s="430"/>
      <c r="AN28" s="430"/>
      <c r="AO28" s="430"/>
      <c r="AP28" s="430"/>
      <c r="AQ28" s="430"/>
      <c r="AR28" s="430"/>
      <c r="AS28" s="430"/>
      <c r="AT28" s="430"/>
      <c r="AU28" s="430"/>
      <c r="AV28" s="430"/>
      <c r="AW28" s="430"/>
      <c r="AX28" s="430"/>
      <c r="AY28" s="430"/>
      <c r="AZ28" s="430"/>
      <c r="BA28" s="430"/>
      <c r="BB28" s="430"/>
      <c r="BC28" s="430"/>
      <c r="BD28" s="430"/>
      <c r="BE28" s="430"/>
      <c r="BF28" s="430"/>
      <c r="BG28" s="430"/>
      <c r="BH28" s="430"/>
      <c r="BI28" s="430"/>
      <c r="BJ28" s="430"/>
      <c r="BK28" s="430"/>
      <c r="BL28" s="430"/>
      <c r="BM28" s="430"/>
      <c r="BN28" s="430"/>
      <c r="BO28" s="430"/>
      <c r="BP28" s="430"/>
      <c r="BQ28" s="430"/>
      <c r="BR28" s="430"/>
      <c r="BS28" s="430"/>
      <c r="BT28" s="430"/>
      <c r="BU28" s="430"/>
      <c r="BV28" s="430"/>
      <c r="BW28" s="430"/>
      <c r="BX28" s="430"/>
      <c r="BY28" s="293">
        <f t="shared" si="4"/>
        <v>0</v>
      </c>
      <c r="BZ28" s="538"/>
    </row>
    <row r="29" spans="3:78" x14ac:dyDescent="0.2">
      <c r="C29" s="207" t="s">
        <v>333</v>
      </c>
      <c r="D29" s="194" t="s">
        <v>218</v>
      </c>
      <c r="E29" s="429"/>
      <c r="F29" s="429"/>
      <c r="G29" s="429"/>
      <c r="H29" s="429"/>
      <c r="I29" s="429"/>
      <c r="J29" s="429"/>
      <c r="K29" s="429"/>
      <c r="L29" s="429"/>
      <c r="M29" s="429"/>
      <c r="N29" s="429"/>
      <c r="O29" s="429"/>
      <c r="P29" s="429"/>
      <c r="Q29" s="429"/>
      <c r="R29" s="429"/>
      <c r="S29" s="429"/>
      <c r="T29" s="429"/>
      <c r="U29" s="429"/>
      <c r="V29" s="429"/>
      <c r="W29" s="429"/>
      <c r="X29" s="429"/>
      <c r="Y29" s="429"/>
      <c r="Z29" s="429"/>
      <c r="AA29" s="429"/>
      <c r="AB29" s="429"/>
      <c r="AC29" s="430"/>
      <c r="AD29" s="430"/>
      <c r="AE29" s="430"/>
      <c r="AF29" s="430"/>
      <c r="AG29" s="430"/>
      <c r="AH29" s="430"/>
      <c r="AI29" s="430"/>
      <c r="AJ29" s="430"/>
      <c r="AK29" s="430"/>
      <c r="AL29" s="430"/>
      <c r="AM29" s="430"/>
      <c r="AN29" s="430"/>
      <c r="AO29" s="430"/>
      <c r="AP29" s="430"/>
      <c r="AQ29" s="430"/>
      <c r="AR29" s="430"/>
      <c r="AS29" s="430"/>
      <c r="AT29" s="430"/>
      <c r="AU29" s="430"/>
      <c r="AV29" s="430"/>
      <c r="AW29" s="430"/>
      <c r="AX29" s="430"/>
      <c r="AY29" s="430"/>
      <c r="AZ29" s="430"/>
      <c r="BA29" s="430"/>
      <c r="BB29" s="430"/>
      <c r="BC29" s="430"/>
      <c r="BD29" s="430"/>
      <c r="BE29" s="430"/>
      <c r="BF29" s="430"/>
      <c r="BG29" s="430"/>
      <c r="BH29" s="430"/>
      <c r="BI29" s="430"/>
      <c r="BJ29" s="430"/>
      <c r="BK29" s="430"/>
      <c r="BL29" s="430"/>
      <c r="BM29" s="430"/>
      <c r="BN29" s="430"/>
      <c r="BO29" s="430"/>
      <c r="BP29" s="430"/>
      <c r="BQ29" s="430"/>
      <c r="BR29" s="430"/>
      <c r="BS29" s="430"/>
      <c r="BT29" s="430"/>
      <c r="BU29" s="430"/>
      <c r="BV29" s="430"/>
      <c r="BW29" s="430"/>
      <c r="BX29" s="430"/>
      <c r="BY29" s="293">
        <f t="shared" si="4"/>
        <v>0</v>
      </c>
      <c r="BZ29" s="538"/>
    </row>
    <row r="30" spans="3:78" x14ac:dyDescent="0.2">
      <c r="C30" s="287" t="s">
        <v>334</v>
      </c>
      <c r="D30" s="294" t="s">
        <v>218</v>
      </c>
      <c r="E30" s="434"/>
      <c r="F30" s="434"/>
      <c r="G30" s="434"/>
      <c r="H30" s="434"/>
      <c r="I30" s="434"/>
      <c r="J30" s="434"/>
      <c r="K30" s="434"/>
      <c r="L30" s="434"/>
      <c r="M30" s="434"/>
      <c r="N30" s="434"/>
      <c r="O30" s="434"/>
      <c r="P30" s="434"/>
      <c r="Q30" s="434"/>
      <c r="R30" s="434"/>
      <c r="S30" s="434"/>
      <c r="T30" s="434"/>
      <c r="U30" s="434"/>
      <c r="V30" s="434"/>
      <c r="W30" s="434"/>
      <c r="X30" s="434"/>
      <c r="Y30" s="434"/>
      <c r="Z30" s="434"/>
      <c r="AA30" s="434"/>
      <c r="AB30" s="434"/>
      <c r="AC30" s="432"/>
      <c r="AD30" s="432"/>
      <c r="AE30" s="432"/>
      <c r="AF30" s="432"/>
      <c r="AG30" s="432"/>
      <c r="AH30" s="432"/>
      <c r="AI30" s="432"/>
      <c r="AJ30" s="432"/>
      <c r="AK30" s="432"/>
      <c r="AL30" s="432"/>
      <c r="AM30" s="432"/>
      <c r="AN30" s="432"/>
      <c r="AO30" s="432"/>
      <c r="AP30" s="432"/>
      <c r="AQ30" s="432"/>
      <c r="AR30" s="432"/>
      <c r="AS30" s="432"/>
      <c r="AT30" s="432"/>
      <c r="AU30" s="432"/>
      <c r="AV30" s="432"/>
      <c r="AW30" s="432"/>
      <c r="AX30" s="432"/>
      <c r="AY30" s="432"/>
      <c r="AZ30" s="432"/>
      <c r="BA30" s="432"/>
      <c r="BB30" s="432"/>
      <c r="BC30" s="432"/>
      <c r="BD30" s="432"/>
      <c r="BE30" s="432"/>
      <c r="BF30" s="432"/>
      <c r="BG30" s="432"/>
      <c r="BH30" s="432"/>
      <c r="BI30" s="432"/>
      <c r="BJ30" s="432"/>
      <c r="BK30" s="432"/>
      <c r="BL30" s="432"/>
      <c r="BM30" s="432"/>
      <c r="BN30" s="432"/>
      <c r="BO30" s="432"/>
      <c r="BP30" s="432"/>
      <c r="BQ30" s="432"/>
      <c r="BR30" s="432"/>
      <c r="BS30" s="432"/>
      <c r="BT30" s="432"/>
      <c r="BU30" s="432"/>
      <c r="BV30" s="432"/>
      <c r="BW30" s="432"/>
      <c r="BX30" s="432"/>
      <c r="BY30" s="289">
        <f t="shared" si="4"/>
        <v>0</v>
      </c>
      <c r="BZ30" s="539"/>
    </row>
    <row r="33" spans="2:76" ht="16" x14ac:dyDescent="0.2">
      <c r="B33" s="535" t="s">
        <v>335</v>
      </c>
      <c r="C33" s="471"/>
      <c r="D33" s="295"/>
      <c r="E33" s="296">
        <f t="shared" ref="E33:BW33" si="5">SUM(E3:E10)+SUM(E13:E20)+SUM(E23:E30)</f>
        <v>0</v>
      </c>
      <c r="F33" s="296">
        <f t="shared" si="5"/>
        <v>0</v>
      </c>
      <c r="G33" s="296">
        <f t="shared" si="5"/>
        <v>0</v>
      </c>
      <c r="H33" s="296">
        <f t="shared" si="5"/>
        <v>0</v>
      </c>
      <c r="I33" s="296">
        <f t="shared" si="5"/>
        <v>0</v>
      </c>
      <c r="J33" s="296">
        <f t="shared" si="5"/>
        <v>0</v>
      </c>
      <c r="K33" s="296">
        <f t="shared" si="5"/>
        <v>0</v>
      </c>
      <c r="L33" s="296">
        <f t="shared" si="5"/>
        <v>0</v>
      </c>
      <c r="M33" s="296">
        <f t="shared" si="5"/>
        <v>0</v>
      </c>
      <c r="N33" s="296">
        <f t="shared" si="5"/>
        <v>0</v>
      </c>
      <c r="O33" s="296">
        <f t="shared" si="5"/>
        <v>0</v>
      </c>
      <c r="P33" s="296">
        <f t="shared" si="5"/>
        <v>0</v>
      </c>
      <c r="Q33" s="296">
        <f t="shared" si="5"/>
        <v>3500000</v>
      </c>
      <c r="R33" s="296">
        <f t="shared" si="5"/>
        <v>0</v>
      </c>
      <c r="S33" s="296">
        <f t="shared" si="5"/>
        <v>100000</v>
      </c>
      <c r="T33" s="296">
        <f t="shared" si="5"/>
        <v>200000</v>
      </c>
      <c r="U33" s="296">
        <f t="shared" si="5"/>
        <v>5000000</v>
      </c>
      <c r="V33" s="296">
        <f t="shared" si="5"/>
        <v>1000000</v>
      </c>
      <c r="W33" s="296">
        <f t="shared" si="5"/>
        <v>2500000</v>
      </c>
      <c r="X33" s="296">
        <f t="shared" si="5"/>
        <v>600000</v>
      </c>
      <c r="Y33" s="296">
        <f t="shared" si="5"/>
        <v>700000</v>
      </c>
      <c r="Z33" s="296">
        <f t="shared" si="5"/>
        <v>1500000</v>
      </c>
      <c r="AA33" s="296">
        <f t="shared" si="5"/>
        <v>0</v>
      </c>
      <c r="AB33" s="296">
        <f t="shared" si="5"/>
        <v>17000000</v>
      </c>
      <c r="AC33" s="296">
        <f t="shared" si="5"/>
        <v>0</v>
      </c>
      <c r="AD33" s="296">
        <f t="shared" si="5"/>
        <v>0</v>
      </c>
      <c r="AE33" s="296">
        <f t="shared" si="5"/>
        <v>0</v>
      </c>
      <c r="AF33" s="296">
        <f t="shared" si="5"/>
        <v>0</v>
      </c>
      <c r="AG33" s="296">
        <f t="shared" si="5"/>
        <v>0</v>
      </c>
      <c r="AH33" s="296">
        <f t="shared" si="5"/>
        <v>0</v>
      </c>
      <c r="AI33" s="296">
        <f t="shared" si="5"/>
        <v>0</v>
      </c>
      <c r="AJ33" s="296">
        <f t="shared" si="5"/>
        <v>0</v>
      </c>
      <c r="AK33" s="296">
        <f t="shared" si="5"/>
        <v>0</v>
      </c>
      <c r="AL33" s="296">
        <f t="shared" si="5"/>
        <v>0</v>
      </c>
      <c r="AM33" s="296">
        <f t="shared" si="5"/>
        <v>0</v>
      </c>
      <c r="AN33" s="296">
        <f t="shared" si="5"/>
        <v>-38690250</v>
      </c>
      <c r="AO33" s="296">
        <f t="shared" si="5"/>
        <v>0</v>
      </c>
      <c r="AP33" s="296">
        <f t="shared" si="5"/>
        <v>0</v>
      </c>
      <c r="AQ33" s="296">
        <f t="shared" si="5"/>
        <v>0</v>
      </c>
      <c r="AR33" s="296">
        <f t="shared" si="5"/>
        <v>0</v>
      </c>
      <c r="AS33" s="296">
        <f t="shared" si="5"/>
        <v>0</v>
      </c>
      <c r="AT33" s="296">
        <f t="shared" si="5"/>
        <v>0</v>
      </c>
      <c r="AU33" s="296">
        <f t="shared" si="5"/>
        <v>0</v>
      </c>
      <c r="AV33" s="296">
        <f t="shared" si="5"/>
        <v>0</v>
      </c>
      <c r="AW33" s="296">
        <f t="shared" si="5"/>
        <v>0</v>
      </c>
      <c r="AX33" s="296">
        <f t="shared" si="5"/>
        <v>0</v>
      </c>
      <c r="AY33" s="296">
        <f t="shared" si="5"/>
        <v>0</v>
      </c>
      <c r="AZ33" s="296">
        <f t="shared" si="5"/>
        <v>0</v>
      </c>
      <c r="BA33" s="296">
        <f t="shared" si="5"/>
        <v>0</v>
      </c>
      <c r="BB33" s="296">
        <f t="shared" si="5"/>
        <v>0</v>
      </c>
      <c r="BC33" s="296">
        <f t="shared" si="5"/>
        <v>0</v>
      </c>
      <c r="BD33" s="296">
        <f t="shared" si="5"/>
        <v>0</v>
      </c>
      <c r="BE33" s="296">
        <f t="shared" si="5"/>
        <v>0</v>
      </c>
      <c r="BF33" s="296">
        <f t="shared" si="5"/>
        <v>0</v>
      </c>
      <c r="BG33" s="296">
        <f t="shared" si="5"/>
        <v>0</v>
      </c>
      <c r="BH33" s="296">
        <f t="shared" si="5"/>
        <v>0</v>
      </c>
      <c r="BI33" s="296">
        <f t="shared" si="5"/>
        <v>0</v>
      </c>
      <c r="BJ33" s="296">
        <f t="shared" si="5"/>
        <v>0</v>
      </c>
      <c r="BK33" s="296">
        <f t="shared" si="5"/>
        <v>0</v>
      </c>
      <c r="BL33" s="296">
        <f t="shared" si="5"/>
        <v>0</v>
      </c>
      <c r="BM33" s="296">
        <f t="shared" si="5"/>
        <v>0</v>
      </c>
      <c r="BN33" s="296">
        <f t="shared" si="5"/>
        <v>0</v>
      </c>
      <c r="BO33" s="296">
        <f t="shared" si="5"/>
        <v>0</v>
      </c>
      <c r="BP33" s="296">
        <f t="shared" si="5"/>
        <v>0</v>
      </c>
      <c r="BQ33" s="296">
        <f t="shared" si="5"/>
        <v>0</v>
      </c>
      <c r="BR33" s="296">
        <f t="shared" si="5"/>
        <v>0</v>
      </c>
      <c r="BS33" s="296">
        <f t="shared" si="5"/>
        <v>0</v>
      </c>
      <c r="BT33" s="296">
        <f t="shared" si="5"/>
        <v>0</v>
      </c>
      <c r="BU33" s="296">
        <f t="shared" si="5"/>
        <v>0</v>
      </c>
      <c r="BV33" s="296">
        <f t="shared" si="5"/>
        <v>0</v>
      </c>
      <c r="BW33" s="296">
        <f t="shared" si="5"/>
        <v>0</v>
      </c>
      <c r="BX33" s="296">
        <f>SUM(BX3:BX10)-SUM(BX13:BX20)+SUM(BX23:BX30)</f>
        <v>0</v>
      </c>
    </row>
    <row r="34" spans="2:76" ht="14" x14ac:dyDescent="0.15"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</row>
    <row r="35" spans="2:76" ht="22.5" customHeight="1" x14ac:dyDescent="0.2">
      <c r="B35" s="536" t="s">
        <v>336</v>
      </c>
      <c r="C35" s="471"/>
      <c r="D35" s="297"/>
      <c r="E35" s="298">
        <f>E33</f>
        <v>0</v>
      </c>
      <c r="F35" s="298">
        <f t="shared" ref="F35:BX35" si="6">E35+F33</f>
        <v>0</v>
      </c>
      <c r="G35" s="298">
        <f t="shared" si="6"/>
        <v>0</v>
      </c>
      <c r="H35" s="298">
        <f t="shared" si="6"/>
        <v>0</v>
      </c>
      <c r="I35" s="298">
        <f t="shared" si="6"/>
        <v>0</v>
      </c>
      <c r="J35" s="298">
        <f t="shared" si="6"/>
        <v>0</v>
      </c>
      <c r="K35" s="298">
        <f t="shared" si="6"/>
        <v>0</v>
      </c>
      <c r="L35" s="298">
        <f t="shared" si="6"/>
        <v>0</v>
      </c>
      <c r="M35" s="298">
        <f t="shared" si="6"/>
        <v>0</v>
      </c>
      <c r="N35" s="298">
        <f t="shared" si="6"/>
        <v>0</v>
      </c>
      <c r="O35" s="298">
        <f t="shared" si="6"/>
        <v>0</v>
      </c>
      <c r="P35" s="298">
        <f t="shared" si="6"/>
        <v>0</v>
      </c>
      <c r="Q35" s="298">
        <f t="shared" si="6"/>
        <v>3500000</v>
      </c>
      <c r="R35" s="298">
        <f t="shared" si="6"/>
        <v>3500000</v>
      </c>
      <c r="S35" s="298">
        <f t="shared" si="6"/>
        <v>3600000</v>
      </c>
      <c r="T35" s="298">
        <f t="shared" si="6"/>
        <v>3800000</v>
      </c>
      <c r="U35" s="298">
        <f t="shared" si="6"/>
        <v>8800000</v>
      </c>
      <c r="V35" s="298">
        <f t="shared" si="6"/>
        <v>9800000</v>
      </c>
      <c r="W35" s="298">
        <f t="shared" si="6"/>
        <v>12300000</v>
      </c>
      <c r="X35" s="298">
        <f t="shared" si="6"/>
        <v>12900000</v>
      </c>
      <c r="Y35" s="298">
        <f t="shared" si="6"/>
        <v>13600000</v>
      </c>
      <c r="Z35" s="298">
        <f t="shared" si="6"/>
        <v>15100000</v>
      </c>
      <c r="AA35" s="298">
        <f t="shared" si="6"/>
        <v>15100000</v>
      </c>
      <c r="AB35" s="298">
        <f t="shared" si="6"/>
        <v>32100000</v>
      </c>
      <c r="AC35" s="298">
        <f t="shared" si="6"/>
        <v>32100000</v>
      </c>
      <c r="AD35" s="298">
        <f t="shared" si="6"/>
        <v>32100000</v>
      </c>
      <c r="AE35" s="298">
        <f t="shared" si="6"/>
        <v>32100000</v>
      </c>
      <c r="AF35" s="298">
        <f t="shared" si="6"/>
        <v>32100000</v>
      </c>
      <c r="AG35" s="298">
        <f t="shared" si="6"/>
        <v>32100000</v>
      </c>
      <c r="AH35" s="298">
        <f t="shared" si="6"/>
        <v>32100000</v>
      </c>
      <c r="AI35" s="298">
        <f t="shared" si="6"/>
        <v>32100000</v>
      </c>
      <c r="AJ35" s="298">
        <f t="shared" si="6"/>
        <v>32100000</v>
      </c>
      <c r="AK35" s="298">
        <f t="shared" si="6"/>
        <v>32100000</v>
      </c>
      <c r="AL35" s="298">
        <f t="shared" si="6"/>
        <v>32100000</v>
      </c>
      <c r="AM35" s="298">
        <f t="shared" si="6"/>
        <v>32100000</v>
      </c>
      <c r="AN35" s="298">
        <f t="shared" si="6"/>
        <v>-6590250</v>
      </c>
      <c r="AO35" s="298">
        <f t="shared" si="6"/>
        <v>-6590250</v>
      </c>
      <c r="AP35" s="298">
        <f t="shared" si="6"/>
        <v>-6590250</v>
      </c>
      <c r="AQ35" s="298">
        <f t="shared" si="6"/>
        <v>-6590250</v>
      </c>
      <c r="AR35" s="298">
        <f t="shared" si="6"/>
        <v>-6590250</v>
      </c>
      <c r="AS35" s="298">
        <f t="shared" si="6"/>
        <v>-6590250</v>
      </c>
      <c r="AT35" s="298">
        <f t="shared" si="6"/>
        <v>-6590250</v>
      </c>
      <c r="AU35" s="298">
        <f t="shared" si="6"/>
        <v>-6590250</v>
      </c>
      <c r="AV35" s="298">
        <f t="shared" si="6"/>
        <v>-6590250</v>
      </c>
      <c r="AW35" s="298">
        <f t="shared" si="6"/>
        <v>-6590250</v>
      </c>
      <c r="AX35" s="298">
        <f t="shared" si="6"/>
        <v>-6590250</v>
      </c>
      <c r="AY35" s="298">
        <f t="shared" si="6"/>
        <v>-6590250</v>
      </c>
      <c r="AZ35" s="298">
        <f t="shared" si="6"/>
        <v>-6590250</v>
      </c>
      <c r="BA35" s="298">
        <f t="shared" si="6"/>
        <v>-6590250</v>
      </c>
      <c r="BB35" s="298">
        <f t="shared" si="6"/>
        <v>-6590250</v>
      </c>
      <c r="BC35" s="298">
        <f t="shared" si="6"/>
        <v>-6590250</v>
      </c>
      <c r="BD35" s="298">
        <f t="shared" si="6"/>
        <v>-6590250</v>
      </c>
      <c r="BE35" s="298">
        <f t="shared" si="6"/>
        <v>-6590250</v>
      </c>
      <c r="BF35" s="298">
        <f t="shared" si="6"/>
        <v>-6590250</v>
      </c>
      <c r="BG35" s="298">
        <f t="shared" si="6"/>
        <v>-6590250</v>
      </c>
      <c r="BH35" s="298">
        <f t="shared" si="6"/>
        <v>-6590250</v>
      </c>
      <c r="BI35" s="298">
        <f t="shared" si="6"/>
        <v>-6590250</v>
      </c>
      <c r="BJ35" s="298">
        <f t="shared" si="6"/>
        <v>-6590250</v>
      </c>
      <c r="BK35" s="298">
        <f t="shared" si="6"/>
        <v>-6590250</v>
      </c>
      <c r="BL35" s="298">
        <f t="shared" si="6"/>
        <v>-6590250</v>
      </c>
      <c r="BM35" s="298">
        <f t="shared" si="6"/>
        <v>-6590250</v>
      </c>
      <c r="BN35" s="298">
        <f t="shared" si="6"/>
        <v>-6590250</v>
      </c>
      <c r="BO35" s="298">
        <f t="shared" si="6"/>
        <v>-6590250</v>
      </c>
      <c r="BP35" s="298">
        <f t="shared" si="6"/>
        <v>-6590250</v>
      </c>
      <c r="BQ35" s="298">
        <f t="shared" si="6"/>
        <v>-6590250</v>
      </c>
      <c r="BR35" s="298">
        <f t="shared" si="6"/>
        <v>-6590250</v>
      </c>
      <c r="BS35" s="298">
        <f t="shared" si="6"/>
        <v>-6590250</v>
      </c>
      <c r="BT35" s="298">
        <f t="shared" si="6"/>
        <v>-6590250</v>
      </c>
      <c r="BU35" s="298">
        <f t="shared" si="6"/>
        <v>-6590250</v>
      </c>
      <c r="BV35" s="298">
        <f t="shared" si="6"/>
        <v>-6590250</v>
      </c>
      <c r="BW35" s="298">
        <f t="shared" si="6"/>
        <v>-6590250</v>
      </c>
      <c r="BX35" s="298">
        <f t="shared" si="6"/>
        <v>-6590250</v>
      </c>
    </row>
  </sheetData>
  <mergeCells count="13">
    <mergeCell ref="BM1:BX1"/>
    <mergeCell ref="BZ3:BZ6"/>
    <mergeCell ref="E1:P1"/>
    <mergeCell ref="Q1:AB1"/>
    <mergeCell ref="AC1:AN1"/>
    <mergeCell ref="AO1:AZ1"/>
    <mergeCell ref="BA1:BL1"/>
    <mergeCell ref="B3:B6"/>
    <mergeCell ref="B7:B10"/>
    <mergeCell ref="B33:C33"/>
    <mergeCell ref="B35:C35"/>
    <mergeCell ref="BZ13:BZ20"/>
    <mergeCell ref="BZ23:BZ30"/>
  </mergeCells>
  <conditionalFormatting sqref="E35:CB35">
    <cfRule type="cellIs" dxfId="6" priority="1" operator="lessThan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K67"/>
  <sheetViews>
    <sheetView workbookViewId="0"/>
  </sheetViews>
  <sheetFormatPr baseColWidth="10" defaultColWidth="12.6640625" defaultRowHeight="15" customHeight="1" x14ac:dyDescent="0.15"/>
  <cols>
    <col min="1" max="1" width="25.1640625" customWidth="1"/>
    <col min="4" max="4" width="13.33203125" customWidth="1"/>
  </cols>
  <sheetData>
    <row r="1" spans="1:11" ht="14" x14ac:dyDescent="0.15">
      <c r="A1" s="299" t="s">
        <v>337</v>
      </c>
    </row>
    <row r="2" spans="1:11" ht="32" x14ac:dyDescent="0.2">
      <c r="A2" s="300"/>
      <c r="B2" s="301" t="s">
        <v>338</v>
      </c>
      <c r="C2" s="301" t="s">
        <v>339</v>
      </c>
      <c r="D2" s="301" t="s">
        <v>340</v>
      </c>
      <c r="E2" s="301" t="s">
        <v>341</v>
      </c>
      <c r="F2" s="301" t="s">
        <v>342</v>
      </c>
      <c r="G2" s="301" t="s">
        <v>343</v>
      </c>
      <c r="H2" s="301" t="s">
        <v>344</v>
      </c>
    </row>
    <row r="3" spans="1:11" x14ac:dyDescent="0.2">
      <c r="A3" s="302" t="s">
        <v>345</v>
      </c>
      <c r="B3" s="303">
        <v>2000</v>
      </c>
      <c r="C3" s="304">
        <v>750000</v>
      </c>
      <c r="D3" s="304">
        <v>0</v>
      </c>
      <c r="E3" s="304">
        <v>800000</v>
      </c>
      <c r="F3" s="304">
        <v>60000</v>
      </c>
      <c r="G3" s="304">
        <v>18000</v>
      </c>
      <c r="H3" s="304">
        <v>90000</v>
      </c>
    </row>
    <row r="4" spans="1:11" x14ac:dyDescent="0.2">
      <c r="A4" s="302" t="s">
        <v>346</v>
      </c>
      <c r="B4" s="303">
        <v>3000</v>
      </c>
      <c r="C4" s="304">
        <v>937500</v>
      </c>
      <c r="D4" s="304">
        <v>0</v>
      </c>
      <c r="E4" s="304">
        <v>1000000</v>
      </c>
      <c r="F4" s="304">
        <v>60000</v>
      </c>
      <c r="G4" s="304">
        <v>18000</v>
      </c>
      <c r="H4" s="304">
        <v>90000</v>
      </c>
    </row>
    <row r="5" spans="1:11" x14ac:dyDescent="0.2">
      <c r="A5" s="302" t="s">
        <v>347</v>
      </c>
      <c r="B5" s="303">
        <v>4000</v>
      </c>
      <c r="C5" s="304">
        <v>1125000</v>
      </c>
      <c r="D5" s="304">
        <v>0</v>
      </c>
      <c r="E5" s="304">
        <v>1200000</v>
      </c>
      <c r="F5" s="304">
        <v>60000</v>
      </c>
      <c r="G5" s="304">
        <v>18000</v>
      </c>
      <c r="H5" s="304">
        <v>90000</v>
      </c>
    </row>
    <row r="6" spans="1:11" x14ac:dyDescent="0.2">
      <c r="A6" s="302" t="s">
        <v>348</v>
      </c>
      <c r="B6" s="303">
        <v>5000</v>
      </c>
      <c r="C6" s="304">
        <v>1312500</v>
      </c>
      <c r="D6" s="304">
        <v>0</v>
      </c>
      <c r="E6" s="304">
        <v>1400000</v>
      </c>
      <c r="F6" s="304">
        <v>60000</v>
      </c>
      <c r="G6" s="304">
        <v>18000</v>
      </c>
      <c r="H6" s="304">
        <v>90000</v>
      </c>
    </row>
    <row r="8" spans="1:11" ht="14" x14ac:dyDescent="0.15">
      <c r="A8" s="543"/>
      <c r="B8" s="469"/>
      <c r="C8" s="469"/>
      <c r="D8" s="469"/>
      <c r="E8" s="469"/>
      <c r="F8" s="469"/>
      <c r="G8" s="469"/>
      <c r="H8" s="469"/>
      <c r="I8" s="469"/>
      <c r="J8" s="469"/>
      <c r="K8" s="469"/>
    </row>
    <row r="10" spans="1:11" ht="14" x14ac:dyDescent="0.15">
      <c r="A10" s="299" t="s">
        <v>349</v>
      </c>
    </row>
    <row r="11" spans="1:11" ht="57" customHeight="1" x14ac:dyDescent="0.2">
      <c r="A11" s="300"/>
      <c r="B11" s="301" t="s">
        <v>338</v>
      </c>
      <c r="C11" s="301" t="s">
        <v>350</v>
      </c>
      <c r="D11" s="301" t="s">
        <v>351</v>
      </c>
      <c r="E11" s="301" t="s">
        <v>352</v>
      </c>
      <c r="F11" s="301" t="s">
        <v>353</v>
      </c>
      <c r="G11" s="301" t="s">
        <v>354</v>
      </c>
      <c r="H11" s="301" t="e">
        <f>#REF!</f>
        <v>#REF!</v>
      </c>
      <c r="I11" s="301" t="s">
        <v>355</v>
      </c>
    </row>
    <row r="12" spans="1:11" x14ac:dyDescent="0.2">
      <c r="A12" s="302" t="s">
        <v>356</v>
      </c>
      <c r="B12" s="303">
        <v>500</v>
      </c>
      <c r="C12" s="303">
        <v>54000</v>
      </c>
      <c r="D12" s="303">
        <v>500000</v>
      </c>
      <c r="E12" s="303">
        <v>80000</v>
      </c>
      <c r="F12" s="303">
        <v>180000</v>
      </c>
      <c r="G12" s="303">
        <v>225000</v>
      </c>
      <c r="H12" s="303">
        <v>25000</v>
      </c>
      <c r="I12" s="303">
        <v>20000</v>
      </c>
    </row>
    <row r="13" spans="1:11" x14ac:dyDescent="0.2">
      <c r="A13" s="302" t="s">
        <v>357</v>
      </c>
      <c r="B13" s="303">
        <v>1000</v>
      </c>
      <c r="C13" s="303">
        <v>54000</v>
      </c>
      <c r="D13" s="303">
        <v>750000</v>
      </c>
      <c r="E13" s="303">
        <v>80000</v>
      </c>
      <c r="F13" s="303">
        <v>180000</v>
      </c>
      <c r="G13" s="303">
        <v>245000</v>
      </c>
      <c r="H13" s="303">
        <v>25000</v>
      </c>
      <c r="I13" s="303">
        <v>20000</v>
      </c>
    </row>
    <row r="14" spans="1:11" x14ac:dyDescent="0.2">
      <c r="A14" s="302" t="s">
        <v>345</v>
      </c>
      <c r="B14" s="303">
        <v>2000</v>
      </c>
      <c r="C14" s="303">
        <v>54000</v>
      </c>
      <c r="D14" s="303">
        <v>1550000</v>
      </c>
      <c r="E14" s="303">
        <v>80000</v>
      </c>
      <c r="F14" s="303">
        <v>195000</v>
      </c>
      <c r="G14" s="303">
        <v>245000</v>
      </c>
      <c r="H14" s="303">
        <v>25000</v>
      </c>
      <c r="I14" s="303">
        <v>20000</v>
      </c>
    </row>
    <row r="15" spans="1:11" x14ac:dyDescent="0.2">
      <c r="A15" s="302" t="s">
        <v>358</v>
      </c>
      <c r="B15" s="303">
        <v>4000</v>
      </c>
      <c r="C15" s="303">
        <v>54000</v>
      </c>
      <c r="D15" s="303">
        <v>1750000</v>
      </c>
      <c r="E15" s="303">
        <v>80000</v>
      </c>
      <c r="F15" s="303">
        <v>195000</v>
      </c>
      <c r="G15" s="303">
        <v>295000</v>
      </c>
      <c r="H15" s="303">
        <v>25000</v>
      </c>
      <c r="I15" s="303">
        <v>20000</v>
      </c>
    </row>
    <row r="16" spans="1:11" x14ac:dyDescent="0.2">
      <c r="A16" s="302" t="s">
        <v>359</v>
      </c>
      <c r="B16" s="303">
        <v>6000</v>
      </c>
      <c r="C16" s="303">
        <v>54000</v>
      </c>
      <c r="D16" s="303">
        <v>1850000</v>
      </c>
      <c r="E16" s="303">
        <v>80000</v>
      </c>
      <c r="F16" s="303">
        <v>195000</v>
      </c>
      <c r="G16" s="303">
        <v>295000</v>
      </c>
      <c r="H16" s="303">
        <v>25000</v>
      </c>
      <c r="I16" s="303">
        <v>20000</v>
      </c>
    </row>
    <row r="17" spans="1:11" x14ac:dyDescent="0.2">
      <c r="A17" s="302" t="s">
        <v>360</v>
      </c>
      <c r="B17" s="303"/>
      <c r="C17" s="303">
        <v>54000</v>
      </c>
      <c r="D17" s="303">
        <v>2050000</v>
      </c>
      <c r="E17" s="303">
        <v>80000</v>
      </c>
      <c r="F17" s="303">
        <v>195000</v>
      </c>
      <c r="G17" s="303">
        <v>350000</v>
      </c>
      <c r="H17" s="303">
        <v>25000</v>
      </c>
      <c r="I17" s="303">
        <v>20000</v>
      </c>
    </row>
    <row r="19" spans="1:11" ht="14" x14ac:dyDescent="0.15">
      <c r="A19" s="543"/>
      <c r="B19" s="469"/>
      <c r="C19" s="469"/>
      <c r="D19" s="469"/>
      <c r="E19" s="469"/>
      <c r="F19" s="469"/>
      <c r="G19" s="469"/>
      <c r="H19" s="469"/>
      <c r="I19" s="469"/>
      <c r="J19" s="469"/>
      <c r="K19" s="469"/>
    </row>
    <row r="21" spans="1:11" ht="14" x14ac:dyDescent="0.15">
      <c r="A21" s="27" t="s">
        <v>361</v>
      </c>
    </row>
    <row r="23" spans="1:11" ht="64" x14ac:dyDescent="0.2">
      <c r="A23" s="300"/>
      <c r="B23" s="301" t="s">
        <v>338</v>
      </c>
      <c r="C23" s="301" t="s">
        <v>350</v>
      </c>
      <c r="D23" s="301" t="s">
        <v>351</v>
      </c>
      <c r="E23" s="301" t="s">
        <v>352</v>
      </c>
      <c r="F23" s="301" t="s">
        <v>353</v>
      </c>
      <c r="G23" s="301" t="s">
        <v>354</v>
      </c>
      <c r="H23" s="301" t="s">
        <v>362</v>
      </c>
      <c r="I23" s="301" t="s">
        <v>355</v>
      </c>
    </row>
    <row r="24" spans="1:11" x14ac:dyDescent="0.2">
      <c r="A24" s="302" t="s">
        <v>356</v>
      </c>
      <c r="B24" s="303">
        <v>500</v>
      </c>
      <c r="C24" s="303">
        <v>54000</v>
      </c>
      <c r="D24" s="303">
        <v>500000</v>
      </c>
      <c r="E24" s="303">
        <v>135000</v>
      </c>
      <c r="F24" s="303">
        <v>180000</v>
      </c>
      <c r="G24" s="303">
        <v>225000</v>
      </c>
      <c r="H24" s="303">
        <v>22700</v>
      </c>
      <c r="I24" s="303">
        <v>18960</v>
      </c>
    </row>
    <row r="25" spans="1:11" x14ac:dyDescent="0.2">
      <c r="A25" s="302" t="s">
        <v>357</v>
      </c>
      <c r="B25" s="303">
        <v>1000</v>
      </c>
      <c r="C25" s="303">
        <v>54000</v>
      </c>
      <c r="D25" s="303">
        <v>750000</v>
      </c>
      <c r="E25" s="303">
        <v>145000</v>
      </c>
      <c r="F25" s="303">
        <v>180000</v>
      </c>
      <c r="G25" s="303">
        <v>245000</v>
      </c>
      <c r="H25" s="303">
        <v>22700</v>
      </c>
      <c r="I25" s="303">
        <v>18960</v>
      </c>
    </row>
    <row r="26" spans="1:11" x14ac:dyDescent="0.2">
      <c r="A26" s="302" t="s">
        <v>345</v>
      </c>
      <c r="B26" s="303">
        <v>2000</v>
      </c>
      <c r="C26" s="303">
        <v>54000</v>
      </c>
      <c r="D26" s="303">
        <v>1550000</v>
      </c>
      <c r="E26" s="303">
        <v>155000</v>
      </c>
      <c r="F26" s="303">
        <v>195000</v>
      </c>
      <c r="G26" s="303">
        <v>245000</v>
      </c>
      <c r="H26" s="303">
        <v>27200</v>
      </c>
      <c r="I26" s="303">
        <v>18960</v>
      </c>
    </row>
    <row r="27" spans="1:11" x14ac:dyDescent="0.2">
      <c r="A27" s="302" t="s">
        <v>358</v>
      </c>
      <c r="B27" s="303">
        <v>4000</v>
      </c>
      <c r="C27" s="303">
        <v>54000</v>
      </c>
      <c r="D27" s="303">
        <v>1750000</v>
      </c>
      <c r="E27" s="303">
        <v>175000</v>
      </c>
      <c r="F27" s="303">
        <v>195000</v>
      </c>
      <c r="G27" s="303">
        <v>295000</v>
      </c>
      <c r="H27" s="303">
        <v>27000</v>
      </c>
      <c r="I27" s="303">
        <v>18960</v>
      </c>
    </row>
    <row r="28" spans="1:11" x14ac:dyDescent="0.2">
      <c r="A28" s="302" t="s">
        <v>359</v>
      </c>
      <c r="B28" s="303">
        <v>6000</v>
      </c>
      <c r="C28" s="303">
        <v>54000</v>
      </c>
      <c r="D28" s="303">
        <v>1850000</v>
      </c>
      <c r="E28" s="303">
        <v>185000</v>
      </c>
      <c r="F28" s="303">
        <v>195000</v>
      </c>
      <c r="G28" s="303">
        <v>295000</v>
      </c>
      <c r="H28" s="303">
        <v>27000</v>
      </c>
      <c r="I28" s="303">
        <v>22700</v>
      </c>
    </row>
    <row r="29" spans="1:11" x14ac:dyDescent="0.2">
      <c r="A29" s="302" t="s">
        <v>360</v>
      </c>
      <c r="B29" s="303"/>
      <c r="C29" s="303">
        <v>54000</v>
      </c>
      <c r="D29" s="303">
        <v>2050000</v>
      </c>
      <c r="E29" s="303">
        <v>205000</v>
      </c>
      <c r="F29" s="303">
        <v>195000</v>
      </c>
      <c r="G29" s="303">
        <v>350000</v>
      </c>
      <c r="H29" s="303">
        <v>35000</v>
      </c>
      <c r="I29" s="303">
        <v>29500</v>
      </c>
    </row>
    <row r="32" spans="1:11" ht="14" x14ac:dyDescent="0.15">
      <c r="C32" s="27">
        <f>C26</f>
        <v>54000</v>
      </c>
      <c r="D32" s="27">
        <f>D25</f>
        <v>750000</v>
      </c>
      <c r="E32" s="27">
        <f>E26*7</f>
        <v>1085000</v>
      </c>
      <c r="F32" s="27">
        <f t="shared" ref="F32:G32" si="0">F26</f>
        <v>195000</v>
      </c>
      <c r="G32" s="27">
        <f t="shared" si="0"/>
        <v>245000</v>
      </c>
      <c r="H32" s="27">
        <f>H26*7</f>
        <v>190400</v>
      </c>
      <c r="I32" s="27">
        <f>I26*8</f>
        <v>151680</v>
      </c>
      <c r="J32" s="27">
        <f>SUM(C32:I32)</f>
        <v>2671080</v>
      </c>
    </row>
    <row r="67" spans="6:6" ht="14" x14ac:dyDescent="0.15">
      <c r="F67" s="27" t="s">
        <v>363</v>
      </c>
    </row>
  </sheetData>
  <mergeCells count="2">
    <mergeCell ref="A8:K8"/>
    <mergeCell ref="A19:K1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F3AA69A854CD4AB8E018F1423272BF" ma:contentTypeVersion="13" ma:contentTypeDescription="Create a new document." ma:contentTypeScope="" ma:versionID="a3f5554c585a7cde3904181a8e22af3b">
  <xsd:schema xmlns:xsd="http://www.w3.org/2001/XMLSchema" xmlns:xs="http://www.w3.org/2001/XMLSchema" xmlns:p="http://schemas.microsoft.com/office/2006/metadata/properties" xmlns:ns2="924be5ba-5d54-4b05-b4f9-21613151c98b" xmlns:ns3="ee3e6495-190f-4ce8-b8a2-7e62a1baaab3" targetNamespace="http://schemas.microsoft.com/office/2006/metadata/properties" ma:root="true" ma:fieldsID="eb52fcb5728ee2e1c40aacbe8283fac1" ns2:_="" ns3:_="">
    <xsd:import namespace="924be5ba-5d54-4b05-b4f9-21613151c98b"/>
    <xsd:import namespace="ee3e6495-190f-4ce8-b8a2-7e62a1baaa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3:MigrationSource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4be5ba-5d54-4b05-b4f9-21613151c9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5cd8b950-3ab7-44d3-80e2-0aa90be30f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e6495-190f-4ce8-b8a2-7e62a1baaab3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039594f-a79d-4bfb-9b79-960949658185}" ma:internalName="TaxCatchAll" ma:showField="CatchAllData" ma:web="ee3e6495-190f-4ce8-b8a2-7e62a1baaa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grationSourceID" ma:index="20" nillable="true" ma:displayName="MigrationSourceID" ma:internalName="MigrationSourceID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4be5ba-5d54-4b05-b4f9-21613151c98b">
      <Terms xmlns="http://schemas.microsoft.com/office/infopath/2007/PartnerControls"/>
    </lcf76f155ced4ddcb4097134ff3c332f>
    <TaxCatchAll xmlns="ee3e6495-190f-4ce8-b8a2-7e62a1baaab3" xsi:nil="true"/>
  </documentManagement>
</p:properties>
</file>

<file path=customXml/itemProps1.xml><?xml version="1.0" encoding="utf-8"?>
<ds:datastoreItem xmlns:ds="http://schemas.openxmlformats.org/officeDocument/2006/customXml" ds:itemID="{34359B2B-D60A-4B9F-B8ED-147CD8CEACC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F0F03B-77B3-4F69-8845-9E3FF6039A6A}"/>
</file>

<file path=customXml/itemProps3.xml><?xml version="1.0" encoding="utf-8"?>
<ds:datastoreItem xmlns:ds="http://schemas.openxmlformats.org/officeDocument/2006/customXml" ds:itemID="{88595FA9-C2D9-4413-913A-4E600287EB0B}">
  <ds:schemaRefs>
    <ds:schemaRef ds:uri="http://schemas.microsoft.com/office/2006/metadata/properties"/>
    <ds:schemaRef ds:uri="http://schemas.microsoft.com/office/infopath/2007/PartnerControls"/>
    <ds:schemaRef ds:uri="514b3978-ef99-4369-97d8-b5595bc046fd"/>
    <ds:schemaRef ds:uri="2177d5e2-de1b-4c88-afa9-de15b879eef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Rentroll</vt:lpstr>
      <vt:lpstr>Stavba pro najemce</vt:lpstr>
      <vt:lpstr>Businessplan_prodej</vt:lpstr>
      <vt:lpstr>Pozemek</vt:lpstr>
      <vt:lpstr>ZDR</vt:lpstr>
      <vt:lpstr>Cash-flow</vt:lpstr>
      <vt:lpstr>Interest Calc EQ</vt:lpstr>
      <vt:lpstr>EQ CF</vt:lpstr>
      <vt:lpstr>Params</vt:lpstr>
      <vt:lpstr>Analýzy</vt:lpstr>
      <vt:lpstr>Businessplan_pravo_stavby</vt:lpstr>
      <vt:lpstr>dokonceni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Dmitry Egorov</cp:lastModifiedBy>
  <cp:revision/>
  <dcterms:created xsi:type="dcterms:W3CDTF">2025-08-06T13:33:36Z</dcterms:created>
  <dcterms:modified xsi:type="dcterms:W3CDTF">2026-05-07T09:58:00Z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0x01010064F3AA69A854CD4AB8E018F1423272BF</vt:lpwstr>
  </property>
  <property fmtid="{D5CDD505-2E9C-101B-9397-08002B2CF9AE}" pid="3" name="Order">
    <vt:r8>24400</vt:r8>
  </property>
  <property fmtid="{D5CDD505-2E9C-101B-9397-08002B2CF9AE}" pid="4" name="MediaServiceImageTags">
    <vt:lpwstr/>
  </property>
</Properties>
</file>