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03"/>
  <workbookPr/>
  <mc:AlternateContent xmlns:mc="http://schemas.openxmlformats.org/markup-compatibility/2006">
    <mc:Choice Requires="x15">
      <x15ac:absPath xmlns:x15ac="http://schemas.microsoft.com/office/spreadsheetml/2010/11/ac" url="/Users/dmitryegorov/Downloads/"/>
    </mc:Choice>
  </mc:AlternateContent>
  <xr:revisionPtr revIDLastSave="0" documentId="13_ncr:1_{7F5A3980-2F22-D44A-922C-63E6E07DD90A}" xr6:coauthVersionLast="47" xr6:coauthVersionMax="47" xr10:uidLastSave="{00000000-0000-0000-0000-000000000000}"/>
  <bookViews>
    <workbookView xWindow="0" yWindow="780" windowWidth="34200" windowHeight="20160" firstSheet="6" activeTab="6" xr2:uid="{00000000-000D-0000-FFFF-FFFF00000000}"/>
  </bookViews>
  <sheets>
    <sheet name="Rentroll" sheetId="1" r:id="rId1"/>
    <sheet name="HMG" sheetId="2" state="hidden" r:id="rId2"/>
    <sheet name="OneReport" sheetId="3" state="hidden" r:id="rId3"/>
    <sheet name="Harmonogram" sheetId="4" state="hidden" r:id="rId4"/>
    <sheet name="Businessplan_prodej" sheetId="5" r:id="rId5"/>
    <sheet name="Cash-flow 04.02.2025" sheetId="6" state="hidden" r:id="rId6"/>
    <sheet name=" Cash-flow" sheetId="7" r:id="rId7"/>
    <sheet name="Interest Calc" sheetId="8" r:id="rId8"/>
    <sheet name="Kopie listu Businessplan_prodej" sheetId="11" state="hidden" r:id="rId9"/>
    <sheet name="Cash-flow PLAN" sheetId="12" state="hidden" r:id="rId10"/>
    <sheet name="Interest Calc EQ" sheetId="13" state="hidden" r:id="rId11"/>
    <sheet name="Cash-flow FAKT" sheetId="14" state="hidden" r:id="rId12"/>
    <sheet name="Cash-flow FAKT (Report)" sheetId="15" state="hidden" r:id="rId13"/>
    <sheet name="Cash-flow Plan vc 2 etapa" sheetId="16" state="hidden" r:id="rId14"/>
    <sheet name="Kopie listu Cash-flow Plan vc 2" sheetId="17" state="hidden" r:id="rId15"/>
    <sheet name=" Interest Calc EQ FAKT" sheetId="18" state="hidden" r:id="rId16"/>
    <sheet name="Cash-flow M 22.7." sheetId="19" state="hidden" r:id="rId17"/>
    <sheet name="PnL" sheetId="20" state="hidden" r:id="rId18"/>
    <sheet name="Interest Calc Cash-flow M 22.7." sheetId="21" state="hidden" r:id="rId19"/>
    <sheet name=" Interest Calc Cash-flow Plan v" sheetId="22" state="hidden" r:id="rId20"/>
    <sheet name="EQ CF" sheetId="23" state="hidden" r:id="rId21"/>
    <sheet name="List 8" sheetId="24" state="hidden" r:id="rId22"/>
    <sheet name="Params" sheetId="25" state="hidden" r:id="rId23"/>
    <sheet name="Kopie listu Cash-flow 04.02.202" sheetId="26" state="hidden" r:id="rId24"/>
    <sheet name="Businessplan_pravo_stavby" sheetId="27" state="hidden" r:id="rId25"/>
  </sheets>
  <externalReferences>
    <externalReference r:id="rId26"/>
  </externalReferences>
  <definedNames>
    <definedName name="_xlnm._FilterDatabase" localSheetId="2" hidden="1">OneReport!$A$2:$G$10</definedName>
    <definedName name="dokonceni">Rentroll!$W$1:$W$3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" i="3" l="1"/>
  <c r="X119" i="7"/>
  <c r="E42" i="27"/>
  <c r="E41" i="27"/>
  <c r="E43" i="27" s="1"/>
  <c r="R39" i="27"/>
  <c r="R40" i="27" s="1"/>
  <c r="R41" i="27" s="1"/>
  <c r="R42" i="27" s="1"/>
  <c r="E38" i="27"/>
  <c r="E37" i="27"/>
  <c r="E34" i="27"/>
  <c r="E33" i="27"/>
  <c r="Q30" i="27"/>
  <c r="E30" i="27"/>
  <c r="Q28" i="27"/>
  <c r="F21" i="27"/>
  <c r="F20" i="27"/>
  <c r="N19" i="27"/>
  <c r="F19" i="27"/>
  <c r="F18" i="27"/>
  <c r="R17" i="27"/>
  <c r="F17" i="27"/>
  <c r="M16" i="27"/>
  <c r="K16" i="27"/>
  <c r="J16" i="27"/>
  <c r="I16" i="27"/>
  <c r="M15" i="27"/>
  <c r="K15" i="27"/>
  <c r="J15" i="27"/>
  <c r="I15" i="27"/>
  <c r="K14" i="27"/>
  <c r="J14" i="27"/>
  <c r="I14" i="27"/>
  <c r="K13" i="27"/>
  <c r="J13" i="27"/>
  <c r="I13" i="27"/>
  <c r="K12" i="27"/>
  <c r="J12" i="27"/>
  <c r="I12" i="27"/>
  <c r="K11" i="27"/>
  <c r="J11" i="27"/>
  <c r="I11" i="27"/>
  <c r="M10" i="27"/>
  <c r="K10" i="27"/>
  <c r="J10" i="27"/>
  <c r="I10" i="27"/>
  <c r="M9" i="27"/>
  <c r="L9" i="27"/>
  <c r="K9" i="27"/>
  <c r="J9" i="27"/>
  <c r="I9" i="27"/>
  <c r="E9" i="27"/>
  <c r="M8" i="27"/>
  <c r="K8" i="27"/>
  <c r="J8" i="27"/>
  <c r="I8" i="27"/>
  <c r="F8" i="27"/>
  <c r="W200" i="26"/>
  <c r="V200" i="26"/>
  <c r="U200" i="26"/>
  <c r="T200" i="26"/>
  <c r="S200" i="26"/>
  <c r="D188" i="26"/>
  <c r="BX181" i="26"/>
  <c r="BW181" i="26"/>
  <c r="BV181" i="26"/>
  <c r="BU181" i="26"/>
  <c r="BT181" i="26"/>
  <c r="BS181" i="26"/>
  <c r="BR181" i="26"/>
  <c r="BQ181" i="26"/>
  <c r="BP181" i="26"/>
  <c r="BO181" i="26"/>
  <c r="BN181" i="26"/>
  <c r="BM181" i="26"/>
  <c r="BL181" i="26"/>
  <c r="BK181" i="26"/>
  <c r="BJ181" i="26"/>
  <c r="BI181" i="26"/>
  <c r="BH181" i="26"/>
  <c r="BG181" i="26"/>
  <c r="BF181" i="26"/>
  <c r="BE181" i="26"/>
  <c r="BD181" i="26"/>
  <c r="BC181" i="26"/>
  <c r="BB181" i="26"/>
  <c r="BA181" i="26"/>
  <c r="AZ181" i="26"/>
  <c r="AY181" i="26"/>
  <c r="AX181" i="26"/>
  <c r="AW181" i="26"/>
  <c r="AV181" i="26"/>
  <c r="AU181" i="26"/>
  <c r="AT181" i="26"/>
  <c r="AS181" i="26"/>
  <c r="AR181" i="26"/>
  <c r="AQ181" i="26"/>
  <c r="AP181" i="26"/>
  <c r="AO181" i="26"/>
  <c r="AN181" i="26"/>
  <c r="AM181" i="26"/>
  <c r="AL181" i="26"/>
  <c r="AK181" i="26"/>
  <c r="AJ181" i="26"/>
  <c r="AI181" i="26"/>
  <c r="AH181" i="26"/>
  <c r="AG181" i="26"/>
  <c r="AF181" i="26"/>
  <c r="AE181" i="26"/>
  <c r="AD181" i="26"/>
  <c r="AC181" i="26"/>
  <c r="AB181" i="26"/>
  <c r="AA181" i="26"/>
  <c r="Z181" i="26"/>
  <c r="Y181" i="26"/>
  <c r="X181" i="26"/>
  <c r="W181" i="26"/>
  <c r="V181" i="26"/>
  <c r="U181" i="26"/>
  <c r="T181" i="26"/>
  <c r="S181" i="26"/>
  <c r="S184" i="26" s="1"/>
  <c r="R181" i="26"/>
  <c r="R184" i="26" s="1"/>
  <c r="Q181" i="26"/>
  <c r="Q184" i="26" s="1"/>
  <c r="P181" i="26"/>
  <c r="P184" i="26" s="1"/>
  <c r="O181" i="26"/>
  <c r="O184" i="26" s="1"/>
  <c r="N181" i="26"/>
  <c r="N184" i="26" s="1"/>
  <c r="M181" i="26"/>
  <c r="M184" i="26" s="1"/>
  <c r="L181" i="26"/>
  <c r="L184" i="26" s="1"/>
  <c r="K181" i="26"/>
  <c r="K184" i="26" s="1"/>
  <c r="J181" i="26"/>
  <c r="J184" i="26" s="1"/>
  <c r="I181" i="26"/>
  <c r="I184" i="26" s="1"/>
  <c r="H181" i="26"/>
  <c r="G181" i="26"/>
  <c r="F181" i="26"/>
  <c r="E181" i="26"/>
  <c r="BX179" i="26"/>
  <c r="BW179" i="26"/>
  <c r="BW184" i="26" s="1"/>
  <c r="BV179" i="26"/>
  <c r="BV184" i="26" s="1"/>
  <c r="BU179" i="26"/>
  <c r="BU184" i="26" s="1"/>
  <c r="BT179" i="26"/>
  <c r="BT184" i="26" s="1"/>
  <c r="BS179" i="26"/>
  <c r="BS184" i="26" s="1"/>
  <c r="BR179" i="26"/>
  <c r="BR184" i="26" s="1"/>
  <c r="BQ179" i="26"/>
  <c r="BQ184" i="26" s="1"/>
  <c r="BP179" i="26"/>
  <c r="BP184" i="26" s="1"/>
  <c r="BO179" i="26"/>
  <c r="BO184" i="26" s="1"/>
  <c r="BN179" i="26"/>
  <c r="BN184" i="26" s="1"/>
  <c r="BM179" i="26"/>
  <c r="BM184" i="26" s="1"/>
  <c r="BL179" i="26"/>
  <c r="BL184" i="26" s="1"/>
  <c r="BK179" i="26"/>
  <c r="BK184" i="26" s="1"/>
  <c r="BJ179" i="26"/>
  <c r="BJ184" i="26" s="1"/>
  <c r="BI179" i="26"/>
  <c r="BI184" i="26" s="1"/>
  <c r="BH179" i="26"/>
  <c r="BH184" i="26" s="1"/>
  <c r="BG179" i="26"/>
  <c r="BG184" i="26" s="1"/>
  <c r="BF179" i="26"/>
  <c r="BF184" i="26" s="1"/>
  <c r="BE179" i="26"/>
  <c r="BE184" i="26" s="1"/>
  <c r="BD179" i="26"/>
  <c r="BD184" i="26" s="1"/>
  <c r="BC179" i="26"/>
  <c r="BC184" i="26" s="1"/>
  <c r="BB179" i="26"/>
  <c r="BB184" i="26" s="1"/>
  <c r="BA179" i="26"/>
  <c r="BA184" i="26" s="1"/>
  <c r="AZ179" i="26"/>
  <c r="AZ184" i="26" s="1"/>
  <c r="AY179" i="26"/>
  <c r="AY184" i="26" s="1"/>
  <c r="AX179" i="26"/>
  <c r="AX184" i="26" s="1"/>
  <c r="AW179" i="26"/>
  <c r="AW184" i="26" s="1"/>
  <c r="AV179" i="26"/>
  <c r="AV184" i="26" s="1"/>
  <c r="AU179" i="26"/>
  <c r="AU184" i="26" s="1"/>
  <c r="AT179" i="26"/>
  <c r="AT184" i="26" s="1"/>
  <c r="AS179" i="26"/>
  <c r="AS184" i="26" s="1"/>
  <c r="AR179" i="26"/>
  <c r="AR184" i="26" s="1"/>
  <c r="AQ179" i="26"/>
  <c r="AQ184" i="26" s="1"/>
  <c r="AP179" i="26"/>
  <c r="AP184" i="26" s="1"/>
  <c r="AO179" i="26"/>
  <c r="AO184" i="26" s="1"/>
  <c r="AN179" i="26"/>
  <c r="AN184" i="26" s="1"/>
  <c r="AM179" i="26"/>
  <c r="AM184" i="26" s="1"/>
  <c r="AL179" i="26"/>
  <c r="AL184" i="26" s="1"/>
  <c r="AK179" i="26"/>
  <c r="AK184" i="26" s="1"/>
  <c r="AJ179" i="26"/>
  <c r="AJ184" i="26" s="1"/>
  <c r="AI179" i="26"/>
  <c r="AI184" i="26" s="1"/>
  <c r="AH179" i="26"/>
  <c r="AH184" i="26" s="1"/>
  <c r="AG179" i="26"/>
  <c r="AG184" i="26" s="1"/>
  <c r="AF179" i="26"/>
  <c r="AF184" i="26" s="1"/>
  <c r="AE179" i="26"/>
  <c r="AE184" i="26" s="1"/>
  <c r="AD179" i="26"/>
  <c r="AD184" i="26" s="1"/>
  <c r="AC179" i="26"/>
  <c r="AC184" i="26" s="1"/>
  <c r="AB179" i="26"/>
  <c r="AB184" i="26" s="1"/>
  <c r="AA179" i="26"/>
  <c r="AA184" i="26" s="1"/>
  <c r="Z179" i="26"/>
  <c r="Z184" i="26" s="1"/>
  <c r="Y179" i="26"/>
  <c r="Y184" i="26" s="1"/>
  <c r="X179" i="26"/>
  <c r="X184" i="26" s="1"/>
  <c r="W179" i="26"/>
  <c r="W184" i="26" s="1"/>
  <c r="V179" i="26"/>
  <c r="V184" i="26" s="1"/>
  <c r="U179" i="26"/>
  <c r="U184" i="26" s="1"/>
  <c r="T179" i="26"/>
  <c r="H179" i="26"/>
  <c r="H184" i="26" s="1"/>
  <c r="G179" i="26"/>
  <c r="G184" i="26" s="1"/>
  <c r="F179" i="26"/>
  <c r="F184" i="26" s="1"/>
  <c r="E179" i="26"/>
  <c r="E184" i="26" s="1"/>
  <c r="D172" i="26"/>
  <c r="BX165" i="26"/>
  <c r="BW165" i="26"/>
  <c r="BV165" i="26"/>
  <c r="BU165" i="26"/>
  <c r="BT165" i="26"/>
  <c r="BS165" i="26"/>
  <c r="BR165" i="26"/>
  <c r="BQ165" i="26"/>
  <c r="BP165" i="26"/>
  <c r="BO165" i="26"/>
  <c r="BN165" i="26"/>
  <c r="BM165" i="26"/>
  <c r="BL165" i="26"/>
  <c r="BK165" i="26"/>
  <c r="BJ165" i="26"/>
  <c r="BI165" i="26"/>
  <c r="BH165" i="26"/>
  <c r="BG165" i="26"/>
  <c r="BF165" i="26"/>
  <c r="BE165" i="26"/>
  <c r="BD165" i="26"/>
  <c r="BC165" i="26"/>
  <c r="BB165" i="26"/>
  <c r="BA165" i="26"/>
  <c r="AZ165" i="26"/>
  <c r="AY165" i="26"/>
  <c r="AX165" i="26"/>
  <c r="AW165" i="26"/>
  <c r="AV165" i="26"/>
  <c r="AU165" i="26"/>
  <c r="AT165" i="26"/>
  <c r="AS165" i="26"/>
  <c r="AR165" i="26"/>
  <c r="AQ165" i="26"/>
  <c r="AP165" i="26"/>
  <c r="AO165" i="26"/>
  <c r="AN165" i="26"/>
  <c r="AM165" i="26"/>
  <c r="AL165" i="26"/>
  <c r="AK165" i="26"/>
  <c r="AJ165" i="26"/>
  <c r="AI165" i="26"/>
  <c r="AH165" i="26"/>
  <c r="AG165" i="26"/>
  <c r="AF165" i="26"/>
  <c r="AE165" i="26"/>
  <c r="AD165" i="26"/>
  <c r="AC165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BX163" i="26"/>
  <c r="BW163" i="26"/>
  <c r="BW168" i="26" s="1"/>
  <c r="BV163" i="26"/>
  <c r="BV168" i="26" s="1"/>
  <c r="BU163" i="26"/>
  <c r="BU168" i="26" s="1"/>
  <c r="BT163" i="26"/>
  <c r="BT168" i="26" s="1"/>
  <c r="BS163" i="26"/>
  <c r="BS168" i="26" s="1"/>
  <c r="BR163" i="26"/>
  <c r="BR168" i="26" s="1"/>
  <c r="BQ163" i="26"/>
  <c r="BQ168" i="26" s="1"/>
  <c r="BP163" i="26"/>
  <c r="BP168" i="26" s="1"/>
  <c r="BO163" i="26"/>
  <c r="BO168" i="26" s="1"/>
  <c r="BN163" i="26"/>
  <c r="BN168" i="26" s="1"/>
  <c r="BM163" i="26"/>
  <c r="BM168" i="26" s="1"/>
  <c r="BL163" i="26"/>
  <c r="BL168" i="26" s="1"/>
  <c r="BK163" i="26"/>
  <c r="BK168" i="26" s="1"/>
  <c r="BJ163" i="26"/>
  <c r="BJ168" i="26" s="1"/>
  <c r="BI163" i="26"/>
  <c r="BI168" i="26" s="1"/>
  <c r="BH163" i="26"/>
  <c r="BH168" i="26" s="1"/>
  <c r="BG163" i="26"/>
  <c r="BG168" i="26" s="1"/>
  <c r="BF163" i="26"/>
  <c r="BF168" i="26" s="1"/>
  <c r="BE163" i="26"/>
  <c r="BE168" i="26" s="1"/>
  <c r="BD163" i="26"/>
  <c r="BD168" i="26" s="1"/>
  <c r="BC163" i="26"/>
  <c r="BC168" i="26" s="1"/>
  <c r="BB163" i="26"/>
  <c r="BB168" i="26" s="1"/>
  <c r="BA163" i="26"/>
  <c r="BA168" i="26" s="1"/>
  <c r="AZ163" i="26"/>
  <c r="AZ168" i="26" s="1"/>
  <c r="AY163" i="26"/>
  <c r="AY168" i="26" s="1"/>
  <c r="AX163" i="26"/>
  <c r="AX168" i="26" s="1"/>
  <c r="AW163" i="26"/>
  <c r="AW168" i="26" s="1"/>
  <c r="AV163" i="26"/>
  <c r="AV168" i="26" s="1"/>
  <c r="AU163" i="26"/>
  <c r="AU168" i="26" s="1"/>
  <c r="AT163" i="26"/>
  <c r="AT168" i="26" s="1"/>
  <c r="AS163" i="26"/>
  <c r="AS168" i="26" s="1"/>
  <c r="AR163" i="26"/>
  <c r="AR168" i="26" s="1"/>
  <c r="AQ163" i="26"/>
  <c r="AQ168" i="26" s="1"/>
  <c r="AP163" i="26"/>
  <c r="AP168" i="26" s="1"/>
  <c r="AO163" i="26"/>
  <c r="AO168" i="26" s="1"/>
  <c r="AN163" i="26"/>
  <c r="AN168" i="26" s="1"/>
  <c r="AM163" i="26"/>
  <c r="AM168" i="26" s="1"/>
  <c r="AL163" i="26"/>
  <c r="AL168" i="26" s="1"/>
  <c r="AK163" i="26"/>
  <c r="AK168" i="26" s="1"/>
  <c r="AJ163" i="26"/>
  <c r="AJ168" i="26" s="1"/>
  <c r="AI163" i="26"/>
  <c r="AI168" i="26" s="1"/>
  <c r="AH163" i="26"/>
  <c r="AH168" i="26" s="1"/>
  <c r="AG163" i="26"/>
  <c r="AG168" i="26" s="1"/>
  <c r="AF163" i="26"/>
  <c r="AF168" i="26" s="1"/>
  <c r="AE163" i="26"/>
  <c r="AE168" i="26" s="1"/>
  <c r="AD163" i="26"/>
  <c r="AD168" i="26" s="1"/>
  <c r="AC163" i="26"/>
  <c r="AC168" i="26" s="1"/>
  <c r="AB163" i="26"/>
  <c r="AB168" i="26" s="1"/>
  <c r="Z163" i="26"/>
  <c r="Z168" i="26" s="1"/>
  <c r="Y163" i="26"/>
  <c r="Y168" i="26" s="1"/>
  <c r="X163" i="26"/>
  <c r="X168" i="26" s="1"/>
  <c r="W163" i="26"/>
  <c r="W168" i="26" s="1"/>
  <c r="V163" i="26"/>
  <c r="V168" i="26" s="1"/>
  <c r="U163" i="26"/>
  <c r="U168" i="26" s="1"/>
  <c r="T163" i="26"/>
  <c r="S163" i="26"/>
  <c r="S168" i="26" s="1"/>
  <c r="R163" i="26"/>
  <c r="R168" i="26" s="1"/>
  <c r="Q163" i="26"/>
  <c r="Q168" i="26" s="1"/>
  <c r="P163" i="26"/>
  <c r="P168" i="26" s="1"/>
  <c r="O163" i="26"/>
  <c r="O168" i="26" s="1"/>
  <c r="N163" i="26"/>
  <c r="N168" i="26" s="1"/>
  <c r="M163" i="26"/>
  <c r="M168" i="26" s="1"/>
  <c r="L163" i="26"/>
  <c r="L168" i="26" s="1"/>
  <c r="K163" i="26"/>
  <c r="K168" i="26" s="1"/>
  <c r="J163" i="26"/>
  <c r="J168" i="26" s="1"/>
  <c r="I163" i="26"/>
  <c r="I168" i="26" s="1"/>
  <c r="H163" i="26"/>
  <c r="H168" i="26" s="1"/>
  <c r="G163" i="26"/>
  <c r="G168" i="26" s="1"/>
  <c r="F163" i="26"/>
  <c r="F168" i="26" s="1"/>
  <c r="E163" i="26"/>
  <c r="E168" i="26" s="1"/>
  <c r="D156" i="26"/>
  <c r="T150" i="26"/>
  <c r="BX149" i="26"/>
  <c r="BW149" i="26"/>
  <c r="BV149" i="26"/>
  <c r="BU149" i="26"/>
  <c r="BT149" i="26"/>
  <c r="BS149" i="26"/>
  <c r="BR149" i="26"/>
  <c r="BQ149" i="26"/>
  <c r="BP149" i="26"/>
  <c r="BO149" i="26"/>
  <c r="BN149" i="26"/>
  <c r="BM149" i="26"/>
  <c r="BL149" i="26"/>
  <c r="BK149" i="26"/>
  <c r="BJ149" i="26"/>
  <c r="BI149" i="26"/>
  <c r="BH149" i="26"/>
  <c r="BG149" i="26"/>
  <c r="BF149" i="26"/>
  <c r="BE149" i="26"/>
  <c r="BD149" i="26"/>
  <c r="BC149" i="26"/>
  <c r="BB149" i="26"/>
  <c r="BA149" i="26"/>
  <c r="AZ149" i="26"/>
  <c r="AY149" i="26"/>
  <c r="AX149" i="26"/>
  <c r="AW149" i="26"/>
  <c r="AV149" i="26"/>
  <c r="AU149" i="26"/>
  <c r="AT149" i="26"/>
  <c r="AS149" i="26"/>
  <c r="AR149" i="26"/>
  <c r="AQ149" i="26"/>
  <c r="AP149" i="26"/>
  <c r="AO149" i="26"/>
  <c r="AN149" i="26"/>
  <c r="AM149" i="26"/>
  <c r="AL149" i="26"/>
  <c r="AK149" i="26"/>
  <c r="AJ149" i="26"/>
  <c r="AI149" i="26"/>
  <c r="AH149" i="26"/>
  <c r="AG149" i="26"/>
  <c r="AF149" i="26"/>
  <c r="AE149" i="26"/>
  <c r="AD149" i="26"/>
  <c r="AC149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K152" i="26" s="1"/>
  <c r="J149" i="26"/>
  <c r="I149" i="26"/>
  <c r="I152" i="26" s="1"/>
  <c r="H149" i="26"/>
  <c r="G149" i="26"/>
  <c r="F149" i="26"/>
  <c r="E149" i="26"/>
  <c r="BX147" i="26"/>
  <c r="BW147" i="26"/>
  <c r="BW152" i="26" s="1"/>
  <c r="BV147" i="26"/>
  <c r="BV152" i="26" s="1"/>
  <c r="BU147" i="26"/>
  <c r="BU152" i="26" s="1"/>
  <c r="BT147" i="26"/>
  <c r="BT152" i="26" s="1"/>
  <c r="BS147" i="26"/>
  <c r="BS152" i="26" s="1"/>
  <c r="BR147" i="26"/>
  <c r="BR152" i="26" s="1"/>
  <c r="BQ147" i="26"/>
  <c r="BQ152" i="26" s="1"/>
  <c r="BP147" i="26"/>
  <c r="BP152" i="26" s="1"/>
  <c r="BO147" i="26"/>
  <c r="BO152" i="26" s="1"/>
  <c r="BN147" i="26"/>
  <c r="BN152" i="26" s="1"/>
  <c r="BM147" i="26"/>
  <c r="BM152" i="26" s="1"/>
  <c r="BL147" i="26"/>
  <c r="BL152" i="26" s="1"/>
  <c r="BK147" i="26"/>
  <c r="BK152" i="26" s="1"/>
  <c r="BJ147" i="26"/>
  <c r="BJ152" i="26" s="1"/>
  <c r="BI147" i="26"/>
  <c r="BI152" i="26" s="1"/>
  <c r="BH147" i="26"/>
  <c r="BH152" i="26" s="1"/>
  <c r="BG147" i="26"/>
  <c r="BG152" i="26" s="1"/>
  <c r="BF147" i="26"/>
  <c r="BF152" i="26" s="1"/>
  <c r="BE147" i="26"/>
  <c r="BE152" i="26" s="1"/>
  <c r="BD147" i="26"/>
  <c r="BD152" i="26" s="1"/>
  <c r="BC147" i="26"/>
  <c r="BC152" i="26" s="1"/>
  <c r="BB147" i="26"/>
  <c r="BB152" i="26" s="1"/>
  <c r="BA147" i="26"/>
  <c r="BA152" i="26" s="1"/>
  <c r="AZ147" i="26"/>
  <c r="AZ152" i="26" s="1"/>
  <c r="AY147" i="26"/>
  <c r="AY152" i="26" s="1"/>
  <c r="AX147" i="26"/>
  <c r="AX152" i="26" s="1"/>
  <c r="AW147" i="26"/>
  <c r="AW152" i="26" s="1"/>
  <c r="AV147" i="26"/>
  <c r="AV152" i="26" s="1"/>
  <c r="AU147" i="26"/>
  <c r="AU152" i="26" s="1"/>
  <c r="AT147" i="26"/>
  <c r="AT152" i="26" s="1"/>
  <c r="AS147" i="26"/>
  <c r="AS152" i="26" s="1"/>
  <c r="AR147" i="26"/>
  <c r="AR152" i="26" s="1"/>
  <c r="AQ147" i="26"/>
  <c r="AQ152" i="26" s="1"/>
  <c r="AP147" i="26"/>
  <c r="AP152" i="26" s="1"/>
  <c r="AO147" i="26"/>
  <c r="AO152" i="26" s="1"/>
  <c r="AN147" i="26"/>
  <c r="AN152" i="26" s="1"/>
  <c r="AM147" i="26"/>
  <c r="AM152" i="26" s="1"/>
  <c r="AL147" i="26"/>
  <c r="AL152" i="26" s="1"/>
  <c r="AK147" i="26"/>
  <c r="AK152" i="26" s="1"/>
  <c r="AJ147" i="26"/>
  <c r="AJ152" i="26" s="1"/>
  <c r="AI147" i="26"/>
  <c r="AI152" i="26" s="1"/>
  <c r="AH147" i="26"/>
  <c r="AH152" i="26" s="1"/>
  <c r="AG147" i="26"/>
  <c r="AG152" i="26" s="1"/>
  <c r="AF147" i="26"/>
  <c r="AF152" i="26" s="1"/>
  <c r="AE147" i="26"/>
  <c r="AE152" i="26" s="1"/>
  <c r="AD147" i="26"/>
  <c r="AD152" i="26" s="1"/>
  <c r="AC147" i="26"/>
  <c r="AC152" i="26" s="1"/>
  <c r="AB147" i="26"/>
  <c r="AB152" i="26" s="1"/>
  <c r="AA147" i="26"/>
  <c r="AA152" i="26" s="1"/>
  <c r="Z147" i="26"/>
  <c r="Z152" i="26" s="1"/>
  <c r="Y147" i="26"/>
  <c r="Y152" i="26" s="1"/>
  <c r="X147" i="26"/>
  <c r="X152" i="26" s="1"/>
  <c r="W147" i="26"/>
  <c r="W152" i="26" s="1"/>
  <c r="V147" i="26"/>
  <c r="V152" i="26" s="1"/>
  <c r="U147" i="26"/>
  <c r="U152" i="26" s="1"/>
  <c r="P147" i="26"/>
  <c r="P152" i="26" s="1"/>
  <c r="O147" i="26"/>
  <c r="O152" i="26" s="1"/>
  <c r="N147" i="26"/>
  <c r="N152" i="26" s="1"/>
  <c r="M147" i="26"/>
  <c r="M152" i="26" s="1"/>
  <c r="J147" i="26"/>
  <c r="J152" i="26" s="1"/>
  <c r="H147" i="26"/>
  <c r="G147" i="26"/>
  <c r="G152" i="26" s="1"/>
  <c r="F147" i="26"/>
  <c r="F152" i="26" s="1"/>
  <c r="E147" i="26"/>
  <c r="E152" i="26" s="1"/>
  <c r="E153" i="26" s="1"/>
  <c r="F153" i="26" s="1"/>
  <c r="G153" i="26" s="1"/>
  <c r="D140" i="26"/>
  <c r="BX133" i="26"/>
  <c r="BW133" i="26"/>
  <c r="BV133" i="26"/>
  <c r="BU133" i="26"/>
  <c r="BT133" i="26"/>
  <c r="BS133" i="26"/>
  <c r="BR133" i="26"/>
  <c r="BQ133" i="26"/>
  <c r="BP133" i="26"/>
  <c r="BO133" i="26"/>
  <c r="BN133" i="26"/>
  <c r="BM133" i="26"/>
  <c r="BL133" i="26"/>
  <c r="BK133" i="26"/>
  <c r="BJ133" i="26"/>
  <c r="BI133" i="26"/>
  <c r="BH133" i="26"/>
  <c r="BG133" i="26"/>
  <c r="BF133" i="26"/>
  <c r="BE133" i="26"/>
  <c r="BD133" i="26"/>
  <c r="BC133" i="26"/>
  <c r="BB133" i="26"/>
  <c r="BA133" i="26"/>
  <c r="AZ133" i="26"/>
  <c r="AY133" i="26"/>
  <c r="AX133" i="26"/>
  <c r="AW133" i="26"/>
  <c r="AV133" i="26"/>
  <c r="AU133" i="26"/>
  <c r="AT133" i="26"/>
  <c r="AS133" i="26"/>
  <c r="AR133" i="26"/>
  <c r="AQ133" i="26"/>
  <c r="AP133" i="26"/>
  <c r="AO133" i="26"/>
  <c r="AN133" i="26"/>
  <c r="AM133" i="26"/>
  <c r="AL133" i="26"/>
  <c r="AK133" i="26"/>
  <c r="AJ133" i="26"/>
  <c r="AI133" i="26"/>
  <c r="AH133" i="26"/>
  <c r="AG133" i="26"/>
  <c r="AF133" i="26"/>
  <c r="AE133" i="26"/>
  <c r="AD133" i="26"/>
  <c r="AC133" i="26"/>
  <c r="AB133" i="26"/>
  <c r="Z133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BX131" i="26"/>
  <c r="BW131" i="26"/>
  <c r="BW136" i="26" s="1"/>
  <c r="BV131" i="26"/>
  <c r="BV136" i="26" s="1"/>
  <c r="BU131" i="26"/>
  <c r="BU136" i="26" s="1"/>
  <c r="BT131" i="26"/>
  <c r="BT136" i="26" s="1"/>
  <c r="BS131" i="26"/>
  <c r="BS136" i="26" s="1"/>
  <c r="BR131" i="26"/>
  <c r="BR136" i="26" s="1"/>
  <c r="BQ131" i="26"/>
  <c r="BQ136" i="26" s="1"/>
  <c r="BP131" i="26"/>
  <c r="BP136" i="26" s="1"/>
  <c r="BO131" i="26"/>
  <c r="BO136" i="26" s="1"/>
  <c r="BN131" i="26"/>
  <c r="BN136" i="26" s="1"/>
  <c r="BM131" i="26"/>
  <c r="BM136" i="26" s="1"/>
  <c r="BL131" i="26"/>
  <c r="BL136" i="26" s="1"/>
  <c r="BK131" i="26"/>
  <c r="BK136" i="26" s="1"/>
  <c r="BJ131" i="26"/>
  <c r="BJ136" i="26" s="1"/>
  <c r="BI131" i="26"/>
  <c r="BI136" i="26" s="1"/>
  <c r="BH131" i="26"/>
  <c r="BH136" i="26" s="1"/>
  <c r="BG131" i="26"/>
  <c r="BG136" i="26" s="1"/>
  <c r="BF131" i="26"/>
  <c r="BF136" i="26" s="1"/>
  <c r="BE131" i="26"/>
  <c r="BE136" i="26" s="1"/>
  <c r="BD131" i="26"/>
  <c r="BD136" i="26" s="1"/>
  <c r="BC131" i="26"/>
  <c r="BC136" i="26" s="1"/>
  <c r="BB131" i="26"/>
  <c r="BB136" i="26" s="1"/>
  <c r="BA131" i="26"/>
  <c r="BA136" i="26" s="1"/>
  <c r="AZ131" i="26"/>
  <c r="AZ136" i="26" s="1"/>
  <c r="AY131" i="26"/>
  <c r="AY136" i="26" s="1"/>
  <c r="AX131" i="26"/>
  <c r="AX136" i="26" s="1"/>
  <c r="AW131" i="26"/>
  <c r="AW136" i="26" s="1"/>
  <c r="AV131" i="26"/>
  <c r="AV136" i="26" s="1"/>
  <c r="AU131" i="26"/>
  <c r="AU136" i="26" s="1"/>
  <c r="AT131" i="26"/>
  <c r="AT136" i="26" s="1"/>
  <c r="AS131" i="26"/>
  <c r="AS136" i="26" s="1"/>
  <c r="AR131" i="26"/>
  <c r="AR136" i="26" s="1"/>
  <c r="AQ131" i="26"/>
  <c r="AQ136" i="26" s="1"/>
  <c r="AP131" i="26"/>
  <c r="AP136" i="26" s="1"/>
  <c r="AO131" i="26"/>
  <c r="AO136" i="26" s="1"/>
  <c r="AN131" i="26"/>
  <c r="AN136" i="26" s="1"/>
  <c r="AM131" i="26"/>
  <c r="AM136" i="26" s="1"/>
  <c r="AL131" i="26"/>
  <c r="AL136" i="26" s="1"/>
  <c r="AK131" i="26"/>
  <c r="AK136" i="26" s="1"/>
  <c r="AJ131" i="26"/>
  <c r="AJ136" i="26" s="1"/>
  <c r="AI131" i="26"/>
  <c r="AI136" i="26" s="1"/>
  <c r="AH131" i="26"/>
  <c r="AH136" i="26" s="1"/>
  <c r="AG131" i="26"/>
  <c r="AG136" i="26" s="1"/>
  <c r="AF131" i="26"/>
  <c r="AF136" i="26" s="1"/>
  <c r="AE131" i="26"/>
  <c r="AE136" i="26" s="1"/>
  <c r="AD131" i="26"/>
  <c r="AD136" i="26" s="1"/>
  <c r="AC131" i="26"/>
  <c r="AC136" i="26" s="1"/>
  <c r="AB131" i="26"/>
  <c r="AB136" i="26" s="1"/>
  <c r="Z131" i="26"/>
  <c r="Z136" i="26" s="1"/>
  <c r="Y131" i="26"/>
  <c r="Y136" i="26" s="1"/>
  <c r="X131" i="26"/>
  <c r="X136" i="26" s="1"/>
  <c r="W131" i="26"/>
  <c r="W136" i="26" s="1"/>
  <c r="V131" i="26"/>
  <c r="V136" i="26" s="1"/>
  <c r="U131" i="26"/>
  <c r="U136" i="26" s="1"/>
  <c r="T131" i="26"/>
  <c r="S131" i="26"/>
  <c r="S136" i="26" s="1"/>
  <c r="R131" i="26"/>
  <c r="R136" i="26" s="1"/>
  <c r="Q131" i="26"/>
  <c r="Q136" i="26" s="1"/>
  <c r="P131" i="26"/>
  <c r="P136" i="26" s="1"/>
  <c r="N131" i="26"/>
  <c r="N136" i="26" s="1"/>
  <c r="K131" i="26"/>
  <c r="K136" i="26" s="1"/>
  <c r="J131" i="26"/>
  <c r="J136" i="26" s="1"/>
  <c r="I131" i="26"/>
  <c r="I136" i="26" s="1"/>
  <c r="H131" i="26"/>
  <c r="H136" i="26" s="1"/>
  <c r="G131" i="26"/>
  <c r="G136" i="26" s="1"/>
  <c r="F131" i="26"/>
  <c r="F136" i="26" s="1"/>
  <c r="E131" i="26"/>
  <c r="Z128" i="26"/>
  <c r="Y128" i="26"/>
  <c r="X128" i="26"/>
  <c r="W128" i="26"/>
  <c r="V128" i="26"/>
  <c r="U128" i="26"/>
  <c r="T128" i="26"/>
  <c r="S128" i="26"/>
  <c r="R128" i="26"/>
  <c r="Q128" i="26"/>
  <c r="P128" i="26"/>
  <c r="N128" i="26"/>
  <c r="K128" i="26"/>
  <c r="J128" i="26"/>
  <c r="I128" i="26"/>
  <c r="BX115" i="26"/>
  <c r="BW115" i="26"/>
  <c r="BV115" i="26"/>
  <c r="BU115" i="26"/>
  <c r="BT115" i="26"/>
  <c r="BS115" i="26"/>
  <c r="BR115" i="26"/>
  <c r="BQ115" i="26"/>
  <c r="BP115" i="26"/>
  <c r="BO115" i="26"/>
  <c r="BN115" i="26"/>
  <c r="BM115" i="26"/>
  <c r="BL115" i="26"/>
  <c r="BK115" i="26"/>
  <c r="BJ115" i="26"/>
  <c r="BI115" i="26"/>
  <c r="BH115" i="26"/>
  <c r="BG115" i="26"/>
  <c r="BF115" i="26"/>
  <c r="BE115" i="26"/>
  <c r="BD115" i="26"/>
  <c r="BC115" i="26"/>
  <c r="BB115" i="26"/>
  <c r="BA115" i="26"/>
  <c r="AZ115" i="26"/>
  <c r="AY115" i="26"/>
  <c r="AX115" i="26"/>
  <c r="AW115" i="26"/>
  <c r="AV115" i="26"/>
  <c r="AU115" i="26"/>
  <c r="AT115" i="26"/>
  <c r="AS115" i="26"/>
  <c r="AR115" i="26"/>
  <c r="AQ115" i="26"/>
  <c r="AP115" i="26"/>
  <c r="AO115" i="26"/>
  <c r="AN115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H114" i="26"/>
  <c r="D122" i="26" s="1"/>
  <c r="BX113" i="26"/>
  <c r="BW113" i="26"/>
  <c r="BW119" i="26" s="1"/>
  <c r="BV113" i="26"/>
  <c r="BV119" i="26" s="1"/>
  <c r="BU113" i="26"/>
  <c r="BU119" i="26" s="1"/>
  <c r="BT113" i="26"/>
  <c r="BT119" i="26" s="1"/>
  <c r="BS113" i="26"/>
  <c r="BS119" i="26" s="1"/>
  <c r="BR113" i="26"/>
  <c r="BR119" i="26" s="1"/>
  <c r="BQ113" i="26"/>
  <c r="BQ119" i="26" s="1"/>
  <c r="BP113" i="26"/>
  <c r="BP119" i="26" s="1"/>
  <c r="BO113" i="26"/>
  <c r="BO119" i="26" s="1"/>
  <c r="BN113" i="26"/>
  <c r="BN119" i="26" s="1"/>
  <c r="BM113" i="26"/>
  <c r="BM119" i="26" s="1"/>
  <c r="BL113" i="26"/>
  <c r="BL119" i="26" s="1"/>
  <c r="BK113" i="26"/>
  <c r="BK119" i="26" s="1"/>
  <c r="BJ113" i="26"/>
  <c r="BJ119" i="26" s="1"/>
  <c r="BI113" i="26"/>
  <c r="BI119" i="26" s="1"/>
  <c r="BH113" i="26"/>
  <c r="BH119" i="26" s="1"/>
  <c r="BG113" i="26"/>
  <c r="BG119" i="26" s="1"/>
  <c r="BF113" i="26"/>
  <c r="BF119" i="26" s="1"/>
  <c r="BE113" i="26"/>
  <c r="BE119" i="26" s="1"/>
  <c r="BD113" i="26"/>
  <c r="BD119" i="26" s="1"/>
  <c r="BC113" i="26"/>
  <c r="BC119" i="26" s="1"/>
  <c r="BB113" i="26"/>
  <c r="BB119" i="26" s="1"/>
  <c r="BA113" i="26"/>
  <c r="BA119" i="26" s="1"/>
  <c r="AZ113" i="26"/>
  <c r="AZ119" i="26" s="1"/>
  <c r="AY113" i="26"/>
  <c r="AY119" i="26" s="1"/>
  <c r="AX113" i="26"/>
  <c r="AX119" i="26" s="1"/>
  <c r="AW113" i="26"/>
  <c r="AW119" i="26" s="1"/>
  <c r="AV113" i="26"/>
  <c r="AV119" i="26" s="1"/>
  <c r="AU113" i="26"/>
  <c r="AU119" i="26" s="1"/>
  <c r="AT113" i="26"/>
  <c r="AT119" i="26" s="1"/>
  <c r="AS113" i="26"/>
  <c r="AS119" i="26" s="1"/>
  <c r="AR113" i="26"/>
  <c r="AR119" i="26" s="1"/>
  <c r="AQ113" i="26"/>
  <c r="AQ119" i="26" s="1"/>
  <c r="AP113" i="26"/>
  <c r="AP119" i="26" s="1"/>
  <c r="AO113" i="26"/>
  <c r="AO119" i="26" s="1"/>
  <c r="AN113" i="26"/>
  <c r="AN119" i="26" s="1"/>
  <c r="AM113" i="26"/>
  <c r="AM119" i="26" s="1"/>
  <c r="AL113" i="26"/>
  <c r="AL119" i="26" s="1"/>
  <c r="AK113" i="26"/>
  <c r="AK119" i="26" s="1"/>
  <c r="AJ113" i="26"/>
  <c r="AJ119" i="26" s="1"/>
  <c r="AI113" i="26"/>
  <c r="AI119" i="26" s="1"/>
  <c r="AH113" i="26"/>
  <c r="AH119" i="26" s="1"/>
  <c r="AG113" i="26"/>
  <c r="AG119" i="26" s="1"/>
  <c r="AF113" i="26"/>
  <c r="AF119" i="26" s="1"/>
  <c r="AE113" i="26"/>
  <c r="AE119" i="26" s="1"/>
  <c r="AD113" i="26"/>
  <c r="AD119" i="26" s="1"/>
  <c r="AC113" i="26"/>
  <c r="AC119" i="26" s="1"/>
  <c r="AB113" i="26"/>
  <c r="AB119" i="26" s="1"/>
  <c r="Z113" i="26"/>
  <c r="Z119" i="26" s="1"/>
  <c r="Y113" i="26"/>
  <c r="Y119" i="26" s="1"/>
  <c r="X113" i="26"/>
  <c r="X119" i="26" s="1"/>
  <c r="W113" i="26"/>
  <c r="W119" i="26" s="1"/>
  <c r="V113" i="26"/>
  <c r="V119" i="26" s="1"/>
  <c r="U113" i="26"/>
  <c r="U119" i="26" s="1"/>
  <c r="T113" i="26"/>
  <c r="S113" i="26"/>
  <c r="S119" i="26" s="1"/>
  <c r="R113" i="26"/>
  <c r="R119" i="26" s="1"/>
  <c r="Q113" i="26"/>
  <c r="Q119" i="26" s="1"/>
  <c r="P113" i="26"/>
  <c r="P119" i="26" s="1"/>
  <c r="N113" i="26"/>
  <c r="N119" i="26" s="1"/>
  <c r="K113" i="26"/>
  <c r="K119" i="26" s="1"/>
  <c r="J113" i="26"/>
  <c r="J119" i="26" s="1"/>
  <c r="I113" i="26"/>
  <c r="I119" i="26" s="1"/>
  <c r="H113" i="26"/>
  <c r="G113" i="26"/>
  <c r="G119" i="26" s="1"/>
  <c r="F113" i="26"/>
  <c r="F119" i="26" s="1"/>
  <c r="E113" i="26"/>
  <c r="E119" i="26" s="1"/>
  <c r="BW105" i="26"/>
  <c r="BV105" i="26"/>
  <c r="BU105" i="26"/>
  <c r="BT105" i="26"/>
  <c r="BS105" i="26"/>
  <c r="BR105" i="26"/>
  <c r="BQ105" i="26"/>
  <c r="BP105" i="26"/>
  <c r="BO105" i="26"/>
  <c r="BN105" i="26"/>
  <c r="BM105" i="26"/>
  <c r="BL105" i="26"/>
  <c r="BK105" i="26"/>
  <c r="BJ105" i="26"/>
  <c r="BI105" i="26"/>
  <c r="BH105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Z105" i="26"/>
  <c r="Y105" i="26"/>
  <c r="X105" i="26"/>
  <c r="W105" i="26"/>
  <c r="V105" i="26"/>
  <c r="U105" i="26"/>
  <c r="T105" i="26"/>
  <c r="S105" i="26"/>
  <c r="R105" i="26"/>
  <c r="Q105" i="26"/>
  <c r="P105" i="26"/>
  <c r="N105" i="26"/>
  <c r="K105" i="26"/>
  <c r="J105" i="26"/>
  <c r="I105" i="26"/>
  <c r="H105" i="26"/>
  <c r="G105" i="26"/>
  <c r="F105" i="26"/>
  <c r="E105" i="26"/>
  <c r="G101" i="26"/>
  <c r="Q97" i="26"/>
  <c r="BY95" i="26"/>
  <c r="BY94" i="26"/>
  <c r="AA93" i="26"/>
  <c r="BX90" i="26"/>
  <c r="BW90" i="26"/>
  <c r="BV90" i="26"/>
  <c r="BU90" i="26"/>
  <c r="BT90" i="26"/>
  <c r="BS90" i="26"/>
  <c r="BR90" i="26"/>
  <c r="BQ90" i="26"/>
  <c r="BP90" i="26"/>
  <c r="BO90" i="26"/>
  <c r="BN90" i="26"/>
  <c r="BM90" i="26"/>
  <c r="BL90" i="26"/>
  <c r="BK90" i="26"/>
  <c r="BJ90" i="26"/>
  <c r="BI90" i="26"/>
  <c r="BH90" i="26"/>
  <c r="BG90" i="26"/>
  <c r="BF90" i="26"/>
  <c r="BE90" i="26"/>
  <c r="BD90" i="26"/>
  <c r="BC90" i="26"/>
  <c r="BB90" i="26"/>
  <c r="BA90" i="26"/>
  <c r="AZ90" i="26"/>
  <c r="AY90" i="26"/>
  <c r="AX90" i="26"/>
  <c r="AW90" i="26"/>
  <c r="AV90" i="26"/>
  <c r="AU90" i="26"/>
  <c r="AT90" i="26"/>
  <c r="AS90" i="26"/>
  <c r="AR90" i="26"/>
  <c r="AQ90" i="26"/>
  <c r="AP90" i="26"/>
  <c r="AO90" i="26"/>
  <c r="AN90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BY89" i="26"/>
  <c r="BY88" i="26"/>
  <c r="BY87" i="26"/>
  <c r="BX87" i="26"/>
  <c r="BW87" i="26"/>
  <c r="BV87" i="26"/>
  <c r="BU87" i="26"/>
  <c r="BT87" i="26"/>
  <c r="BS87" i="26"/>
  <c r="BR87" i="26"/>
  <c r="BQ87" i="26"/>
  <c r="BP87" i="26"/>
  <c r="BO87" i="26"/>
  <c r="BN87" i="26"/>
  <c r="BM87" i="26"/>
  <c r="BL87" i="26"/>
  <c r="BK87" i="26"/>
  <c r="BJ87" i="26"/>
  <c r="BI87" i="26"/>
  <c r="BH87" i="26"/>
  <c r="BG87" i="26"/>
  <c r="BF87" i="26"/>
  <c r="BE87" i="26"/>
  <c r="BD87" i="26"/>
  <c r="BC87" i="26"/>
  <c r="BB87" i="26"/>
  <c r="BA87" i="26"/>
  <c r="AZ87" i="26"/>
  <c r="AY87" i="26"/>
  <c r="AX87" i="26"/>
  <c r="AW87" i="26"/>
  <c r="AV87" i="26"/>
  <c r="AU87" i="26"/>
  <c r="AT87" i="26"/>
  <c r="AS87" i="26"/>
  <c r="AR87" i="26"/>
  <c r="AQ87" i="26"/>
  <c r="AP87" i="26"/>
  <c r="AO87" i="26"/>
  <c r="AN87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BY85" i="26"/>
  <c r="BY84" i="26"/>
  <c r="BY83" i="26"/>
  <c r="BY81" i="26"/>
  <c r="BY80" i="26"/>
  <c r="BY79" i="26"/>
  <c r="BY78" i="26"/>
  <c r="BY77" i="26"/>
  <c r="BY76" i="26"/>
  <c r="BY75" i="26"/>
  <c r="BY74" i="26"/>
  <c r="BY73" i="26"/>
  <c r="BY72" i="26"/>
  <c r="BY71" i="26"/>
  <c r="BY70" i="26"/>
  <c r="BY69" i="26"/>
  <c r="BY68" i="26"/>
  <c r="BY67" i="26"/>
  <c r="BY66" i="26"/>
  <c r="BY65" i="26"/>
  <c r="BY64" i="26"/>
  <c r="BX63" i="26"/>
  <c r="BW63" i="26"/>
  <c r="BV63" i="26"/>
  <c r="BU63" i="26"/>
  <c r="BT63" i="26"/>
  <c r="BS63" i="26"/>
  <c r="BR63" i="26"/>
  <c r="BQ63" i="26"/>
  <c r="BP63" i="26"/>
  <c r="BO63" i="26"/>
  <c r="BN63" i="26"/>
  <c r="BM63" i="26"/>
  <c r="BL63" i="26"/>
  <c r="BK63" i="26"/>
  <c r="BJ63" i="26"/>
  <c r="BI63" i="26"/>
  <c r="BH63" i="26"/>
  <c r="BG63" i="26"/>
  <c r="BF63" i="26"/>
  <c r="BE63" i="26"/>
  <c r="BD63" i="26"/>
  <c r="BC63" i="26"/>
  <c r="BB63" i="26"/>
  <c r="BA63" i="26"/>
  <c r="AZ63" i="26"/>
  <c r="AY63" i="26"/>
  <c r="AX63" i="26"/>
  <c r="AW63" i="26"/>
  <c r="AV63" i="26"/>
  <c r="AU63" i="26"/>
  <c r="AT63" i="26"/>
  <c r="AS63" i="26"/>
  <c r="AR63" i="26"/>
  <c r="AQ63" i="26"/>
  <c r="AP63" i="26"/>
  <c r="AO63" i="26"/>
  <c r="AN63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Q62" i="26"/>
  <c r="Q121" i="26" s="1"/>
  <c r="R121" i="26" s="1"/>
  <c r="P62" i="26"/>
  <c r="O62" i="26"/>
  <c r="N62" i="26"/>
  <c r="M62" i="26"/>
  <c r="W61" i="26"/>
  <c r="V61" i="26"/>
  <c r="U61" i="26"/>
  <c r="BY60" i="26"/>
  <c r="BY59" i="26"/>
  <c r="BY58" i="26"/>
  <c r="BX55" i="26"/>
  <c r="BW55" i="26"/>
  <c r="BV55" i="26"/>
  <c r="BU55" i="26"/>
  <c r="BT55" i="26"/>
  <c r="BS55" i="26"/>
  <c r="BR55" i="26"/>
  <c r="BQ55" i="26"/>
  <c r="BP55" i="26"/>
  <c r="BO55" i="26"/>
  <c r="BN55" i="26"/>
  <c r="BM55" i="26"/>
  <c r="BL55" i="26"/>
  <c r="BK55" i="26"/>
  <c r="BJ55" i="26"/>
  <c r="BI55" i="26"/>
  <c r="BH55" i="26"/>
  <c r="BG55" i="26"/>
  <c r="BF55" i="26"/>
  <c r="BE55" i="26"/>
  <c r="BD55" i="26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O54" i="26"/>
  <c r="I54" i="26"/>
  <c r="BY54" i="26" s="1"/>
  <c r="AA53" i="26"/>
  <c r="Z53" i="26"/>
  <c r="Y53" i="26"/>
  <c r="X53" i="26"/>
  <c r="W53" i="26"/>
  <c r="V53" i="26"/>
  <c r="U53" i="26"/>
  <c r="T53" i="26"/>
  <c r="S53" i="26"/>
  <c r="R53" i="26"/>
  <c r="Q53" i="26"/>
  <c r="P53" i="26"/>
  <c r="N53" i="26"/>
  <c r="M53" i="26"/>
  <c r="L53" i="26"/>
  <c r="K53" i="26"/>
  <c r="J53" i="26"/>
  <c r="I53" i="26"/>
  <c r="H53" i="26"/>
  <c r="BY53" i="26" s="1"/>
  <c r="BY52" i="26"/>
  <c r="BY51" i="26"/>
  <c r="BY50" i="26"/>
  <c r="BY49" i="26"/>
  <c r="BX49" i="26"/>
  <c r="BW49" i="26"/>
  <c r="BV49" i="26"/>
  <c r="BU49" i="26"/>
  <c r="BT49" i="26"/>
  <c r="BS49" i="26"/>
  <c r="BR49" i="26"/>
  <c r="BQ49" i="26"/>
  <c r="BP49" i="26"/>
  <c r="BO49" i="26"/>
  <c r="BN49" i="26"/>
  <c r="BM49" i="26"/>
  <c r="BL49" i="26"/>
  <c r="BK49" i="26"/>
  <c r="BJ49" i="26"/>
  <c r="BI49" i="26"/>
  <c r="BH49" i="26"/>
  <c r="BG49" i="26"/>
  <c r="BF49" i="26"/>
  <c r="BE49" i="26"/>
  <c r="BD49" i="26"/>
  <c r="BC49" i="26"/>
  <c r="BB49" i="26"/>
  <c r="BA49" i="26"/>
  <c r="AZ49" i="26"/>
  <c r="AY49" i="26"/>
  <c r="AX49" i="26"/>
  <c r="AW49" i="26"/>
  <c r="AV49" i="26"/>
  <c r="AU49" i="26"/>
  <c r="AT49" i="26"/>
  <c r="AS49" i="26"/>
  <c r="AR49" i="26"/>
  <c r="AQ49" i="26"/>
  <c r="AP49" i="26"/>
  <c r="AO49" i="26"/>
  <c r="AN49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Q48" i="26"/>
  <c r="K48" i="26"/>
  <c r="Y47" i="26"/>
  <c r="W47" i="26"/>
  <c r="S47" i="26"/>
  <c r="BY47" i="26" s="1"/>
  <c r="P46" i="26"/>
  <c r="K46" i="26"/>
  <c r="I46" i="26"/>
  <c r="H46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H45" i="26"/>
  <c r="BY45" i="26" s="1"/>
  <c r="Z44" i="26"/>
  <c r="R44" i="26"/>
  <c r="J44" i="26"/>
  <c r="H44" i="26"/>
  <c r="BY44" i="26" s="1"/>
  <c r="Q43" i="26"/>
  <c r="P43" i="26"/>
  <c r="O43" i="26"/>
  <c r="N43" i="26"/>
  <c r="M43" i="26"/>
  <c r="L43" i="26"/>
  <c r="K43" i="26"/>
  <c r="I43" i="26"/>
  <c r="H43" i="26"/>
  <c r="Q42" i="26"/>
  <c r="P42" i="26"/>
  <c r="O42" i="26"/>
  <c r="N42" i="26"/>
  <c r="M42" i="26"/>
  <c r="L42" i="26"/>
  <c r="K42" i="26"/>
  <c r="J42" i="26"/>
  <c r="I42" i="26"/>
  <c r="H42" i="26"/>
  <c r="Y41" i="26"/>
  <c r="X41" i="26"/>
  <c r="W41" i="26"/>
  <c r="V41" i="26"/>
  <c r="U41" i="26"/>
  <c r="T41" i="26"/>
  <c r="S41" i="26"/>
  <c r="BY41" i="26" s="1"/>
  <c r="CA41" i="26" s="1"/>
  <c r="BY40" i="26"/>
  <c r="Y39" i="26"/>
  <c r="X39" i="26"/>
  <c r="W39" i="26"/>
  <c r="V39" i="26"/>
  <c r="U39" i="26"/>
  <c r="T39" i="26"/>
  <c r="S39" i="26"/>
  <c r="R39" i="26"/>
  <c r="BY39" i="26" s="1"/>
  <c r="CA38" i="26"/>
  <c r="P38" i="26"/>
  <c r="O38" i="26"/>
  <c r="M38" i="26"/>
  <c r="L38" i="26"/>
  <c r="J38" i="26"/>
  <c r="I38" i="26"/>
  <c r="BX37" i="26"/>
  <c r="BW37" i="26"/>
  <c r="BV37" i="26"/>
  <c r="BU37" i="26"/>
  <c r="BT37" i="26"/>
  <c r="BS37" i="26"/>
  <c r="BR37" i="26"/>
  <c r="BQ37" i="26"/>
  <c r="BP37" i="26"/>
  <c r="BO37" i="26"/>
  <c r="BN37" i="26"/>
  <c r="BM37" i="26"/>
  <c r="BL37" i="26"/>
  <c r="BK37" i="26"/>
  <c r="BJ37" i="26"/>
  <c r="BI37" i="26"/>
  <c r="BH37" i="26"/>
  <c r="BG37" i="26"/>
  <c r="BF37" i="26"/>
  <c r="BE37" i="26"/>
  <c r="BD37" i="26"/>
  <c r="BC37" i="26"/>
  <c r="BB37" i="26"/>
  <c r="BA37" i="26"/>
  <c r="AZ37" i="26"/>
  <c r="AY37" i="26"/>
  <c r="AX37" i="26"/>
  <c r="AW37" i="26"/>
  <c r="AV37" i="26"/>
  <c r="AU37" i="26"/>
  <c r="AT37" i="26"/>
  <c r="AS37" i="26"/>
  <c r="AR37" i="26"/>
  <c r="AQ37" i="26"/>
  <c r="AP37" i="26"/>
  <c r="AO37" i="26"/>
  <c r="AN37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BY36" i="26"/>
  <c r="BX34" i="26"/>
  <c r="BW34" i="26"/>
  <c r="BV34" i="26"/>
  <c r="BU34" i="26"/>
  <c r="BT34" i="26"/>
  <c r="BS34" i="26"/>
  <c r="BR34" i="26"/>
  <c r="BQ34" i="26"/>
  <c r="BP34" i="26"/>
  <c r="BO34" i="26"/>
  <c r="BN34" i="26"/>
  <c r="BM34" i="26"/>
  <c r="BL34" i="26"/>
  <c r="BK34" i="26"/>
  <c r="BJ34" i="26"/>
  <c r="BI34" i="26"/>
  <c r="BH34" i="26"/>
  <c r="BG34" i="26"/>
  <c r="BF34" i="26"/>
  <c r="BE34" i="26"/>
  <c r="BD34" i="26"/>
  <c r="BC34" i="26"/>
  <c r="BB34" i="26"/>
  <c r="BA34" i="26"/>
  <c r="AZ34" i="26"/>
  <c r="AY34" i="26"/>
  <c r="AX34" i="26"/>
  <c r="AW34" i="26"/>
  <c r="AV34" i="26"/>
  <c r="AU34" i="26"/>
  <c r="AT34" i="26"/>
  <c r="AS34" i="26"/>
  <c r="AR34" i="26"/>
  <c r="AQ34" i="26"/>
  <c r="AP34" i="26"/>
  <c r="AO34" i="26"/>
  <c r="AN34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T32" i="26"/>
  <c r="I32" i="26"/>
  <c r="BY32" i="26" s="1"/>
  <c r="Y31" i="26"/>
  <c r="X31" i="26"/>
  <c r="W31" i="26"/>
  <c r="V31" i="26"/>
  <c r="U31" i="26"/>
  <c r="T31" i="26"/>
  <c r="P31" i="26"/>
  <c r="O31" i="26"/>
  <c r="N31" i="26"/>
  <c r="H31" i="26"/>
  <c r="BY31" i="26" s="1"/>
  <c r="U30" i="26"/>
  <c r="T30" i="26"/>
  <c r="S30" i="26"/>
  <c r="BY30" i="26" s="1"/>
  <c r="BY29" i="26"/>
  <c r="BY28" i="26"/>
  <c r="CG27" i="26"/>
  <c r="R27" i="26"/>
  <c r="P27" i="26"/>
  <c r="O27" i="26"/>
  <c r="N27" i="26"/>
  <c r="M27" i="26"/>
  <c r="L27" i="26"/>
  <c r="BX26" i="26"/>
  <c r="BW26" i="26"/>
  <c r="BV26" i="26"/>
  <c r="BU26" i="26"/>
  <c r="BT26" i="26"/>
  <c r="BS26" i="26"/>
  <c r="BR26" i="26"/>
  <c r="BQ26" i="26"/>
  <c r="BP26" i="26"/>
  <c r="BO26" i="26"/>
  <c r="BN26" i="26"/>
  <c r="BM26" i="26"/>
  <c r="BL26" i="26"/>
  <c r="BK26" i="26"/>
  <c r="BJ26" i="26"/>
  <c r="BI26" i="26"/>
  <c r="BH26" i="26"/>
  <c r="BG26" i="26"/>
  <c r="BF26" i="26"/>
  <c r="BE26" i="26"/>
  <c r="BD26" i="26"/>
  <c r="BC26" i="26"/>
  <c r="BB26" i="26"/>
  <c r="BA26" i="26"/>
  <c r="AZ26" i="26"/>
  <c r="AY26" i="26"/>
  <c r="AX26" i="26"/>
  <c r="AW26" i="26"/>
  <c r="AV26" i="26"/>
  <c r="AU26" i="26"/>
  <c r="AT26" i="26"/>
  <c r="AS26" i="26"/>
  <c r="AR26" i="26"/>
  <c r="AQ26" i="26"/>
  <c r="AP26" i="26"/>
  <c r="AO26" i="26"/>
  <c r="AN26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S26" i="26"/>
  <c r="R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S25" i="26"/>
  <c r="BY25" i="26" s="1"/>
  <c r="CG24" i="26"/>
  <c r="S24" i="26"/>
  <c r="S147" i="26" s="1"/>
  <c r="S152" i="26" s="1"/>
  <c r="R24" i="26"/>
  <c r="R147" i="26" s="1"/>
  <c r="R152" i="26" s="1"/>
  <c r="Q24" i="26"/>
  <c r="Q147" i="26" s="1"/>
  <c r="Q152" i="26" s="1"/>
  <c r="L24" i="26"/>
  <c r="L147" i="26" s="1"/>
  <c r="L152" i="26" s="1"/>
  <c r="I24" i="26"/>
  <c r="BY24" i="26" s="1"/>
  <c r="CE23" i="26"/>
  <c r="BY23" i="26"/>
  <c r="CA23" i="26" s="1"/>
  <c r="BX23" i="26"/>
  <c r="BW23" i="26"/>
  <c r="BV23" i="26"/>
  <c r="BU23" i="26"/>
  <c r="BT23" i="26"/>
  <c r="BS23" i="26"/>
  <c r="BR23" i="26"/>
  <c r="BQ23" i="26"/>
  <c r="BP23" i="26"/>
  <c r="BO23" i="26"/>
  <c r="BN23" i="26"/>
  <c r="BM23" i="26"/>
  <c r="BL23" i="26"/>
  <c r="BK23" i="26"/>
  <c r="BJ23" i="26"/>
  <c r="BI23" i="26"/>
  <c r="BH23" i="26"/>
  <c r="BG23" i="26"/>
  <c r="BF23" i="26"/>
  <c r="BE23" i="26"/>
  <c r="BD23" i="26"/>
  <c r="BC23" i="26"/>
  <c r="BB23" i="26"/>
  <c r="BA23" i="26"/>
  <c r="AZ23" i="26"/>
  <c r="AY23" i="26"/>
  <c r="AX23" i="26"/>
  <c r="AW23" i="26"/>
  <c r="AV23" i="26"/>
  <c r="AU23" i="26"/>
  <c r="AT23" i="26"/>
  <c r="AS23" i="26"/>
  <c r="AR23" i="26"/>
  <c r="AQ23" i="26"/>
  <c r="AP23" i="26"/>
  <c r="AO23" i="26"/>
  <c r="AN23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BY22" i="26"/>
  <c r="BY21" i="26"/>
  <c r="BY20" i="26"/>
  <c r="BY19" i="26"/>
  <c r="J18" i="26"/>
  <c r="H18" i="26"/>
  <c r="BY18" i="26" s="1"/>
  <c r="BY17" i="26"/>
  <c r="BX17" i="26"/>
  <c r="BX98" i="26" s="1"/>
  <c r="BW17" i="26"/>
  <c r="BW98" i="26" s="1"/>
  <c r="BV17" i="26"/>
  <c r="BV98" i="26" s="1"/>
  <c r="BU17" i="26"/>
  <c r="BU98" i="26" s="1"/>
  <c r="BT17" i="26"/>
  <c r="BT98" i="26" s="1"/>
  <c r="BS17" i="26"/>
  <c r="BS98" i="26" s="1"/>
  <c r="BR17" i="26"/>
  <c r="BR98" i="26" s="1"/>
  <c r="BQ17" i="26"/>
  <c r="BQ98" i="26" s="1"/>
  <c r="BP17" i="26"/>
  <c r="BP98" i="26" s="1"/>
  <c r="BO17" i="26"/>
  <c r="BO98" i="26" s="1"/>
  <c r="BN17" i="26"/>
  <c r="BN98" i="26" s="1"/>
  <c r="BM17" i="26"/>
  <c r="BM98" i="26" s="1"/>
  <c r="BL17" i="26"/>
  <c r="BL98" i="26" s="1"/>
  <c r="BK17" i="26"/>
  <c r="BK98" i="26" s="1"/>
  <c r="BJ17" i="26"/>
  <c r="BJ98" i="26" s="1"/>
  <c r="BI17" i="26"/>
  <c r="BI98" i="26" s="1"/>
  <c r="BH17" i="26"/>
  <c r="BH98" i="26" s="1"/>
  <c r="BG17" i="26"/>
  <c r="BG98" i="26" s="1"/>
  <c r="BF17" i="26"/>
  <c r="BF98" i="26" s="1"/>
  <c r="BE17" i="26"/>
  <c r="BE98" i="26" s="1"/>
  <c r="BD17" i="26"/>
  <c r="BD98" i="26" s="1"/>
  <c r="BC17" i="26"/>
  <c r="BC98" i="26" s="1"/>
  <c r="BB17" i="26"/>
  <c r="BB98" i="26" s="1"/>
  <c r="BA17" i="26"/>
  <c r="BA98" i="26" s="1"/>
  <c r="AZ17" i="26"/>
  <c r="AZ98" i="26" s="1"/>
  <c r="AY17" i="26"/>
  <c r="AY98" i="26" s="1"/>
  <c r="AX17" i="26"/>
  <c r="AX98" i="26" s="1"/>
  <c r="AW17" i="26"/>
  <c r="AW98" i="26" s="1"/>
  <c r="AV17" i="26"/>
  <c r="AV98" i="26" s="1"/>
  <c r="AU17" i="26"/>
  <c r="AU98" i="26" s="1"/>
  <c r="AT17" i="26"/>
  <c r="AT98" i="26" s="1"/>
  <c r="AS17" i="26"/>
  <c r="AS98" i="26" s="1"/>
  <c r="AR17" i="26"/>
  <c r="AR98" i="26" s="1"/>
  <c r="AQ17" i="26"/>
  <c r="AQ98" i="26" s="1"/>
  <c r="AP17" i="26"/>
  <c r="AP98" i="26" s="1"/>
  <c r="AO17" i="26"/>
  <c r="AO98" i="26" s="1"/>
  <c r="AN17" i="26"/>
  <c r="AN98" i="26" s="1"/>
  <c r="AM17" i="26"/>
  <c r="AM98" i="26" s="1"/>
  <c r="AL17" i="26"/>
  <c r="AL98" i="26" s="1"/>
  <c r="AK17" i="26"/>
  <c r="AK98" i="26" s="1"/>
  <c r="AJ17" i="26"/>
  <c r="AJ98" i="26" s="1"/>
  <c r="AI17" i="26"/>
  <c r="AI98" i="26" s="1"/>
  <c r="AH17" i="26"/>
  <c r="AH98" i="26" s="1"/>
  <c r="AG17" i="26"/>
  <c r="AG98" i="26" s="1"/>
  <c r="AF17" i="26"/>
  <c r="AF98" i="26" s="1"/>
  <c r="AE17" i="26"/>
  <c r="AE98" i="26" s="1"/>
  <c r="AD17" i="26"/>
  <c r="AD98" i="26" s="1"/>
  <c r="AC17" i="26"/>
  <c r="AC98" i="26" s="1"/>
  <c r="AB17" i="26"/>
  <c r="AB98" i="26" s="1"/>
  <c r="AA17" i="26"/>
  <c r="Z17" i="26"/>
  <c r="Y17" i="26"/>
  <c r="X17" i="26"/>
  <c r="W17" i="26"/>
  <c r="V17" i="26"/>
  <c r="U17" i="26"/>
  <c r="T17" i="26"/>
  <c r="S17" i="26"/>
  <c r="R17" i="26"/>
  <c r="Q17" i="26"/>
  <c r="P17" i="26"/>
  <c r="P98" i="26" s="1"/>
  <c r="O17" i="26"/>
  <c r="O98" i="26" s="1"/>
  <c r="N17" i="26"/>
  <c r="N98" i="26" s="1"/>
  <c r="M17" i="26"/>
  <c r="M98" i="26" s="1"/>
  <c r="L17" i="26"/>
  <c r="L98" i="26" s="1"/>
  <c r="K17" i="26"/>
  <c r="K98" i="26" s="1"/>
  <c r="J17" i="26"/>
  <c r="J98" i="26" s="1"/>
  <c r="I17" i="26"/>
  <c r="I98" i="26" s="1"/>
  <c r="H17" i="26"/>
  <c r="H98" i="26" s="1"/>
  <c r="H99" i="26" s="1"/>
  <c r="I99" i="26" s="1"/>
  <c r="J99" i="26" s="1"/>
  <c r="K99" i="26" s="1"/>
  <c r="L99" i="26" s="1"/>
  <c r="M99" i="26" s="1"/>
  <c r="N99" i="26" s="1"/>
  <c r="G17" i="26"/>
  <c r="G98" i="26" s="1"/>
  <c r="F17" i="26"/>
  <c r="F98" i="26" s="1"/>
  <c r="E17" i="26"/>
  <c r="E98" i="26" s="1"/>
  <c r="BX16" i="26"/>
  <c r="BX100" i="26" s="1"/>
  <c r="BW16" i="26"/>
  <c r="BW100" i="26" s="1"/>
  <c r="BV16" i="26"/>
  <c r="BV100" i="26" s="1"/>
  <c r="BU16" i="26"/>
  <c r="BU100" i="26" s="1"/>
  <c r="BT16" i="26"/>
  <c r="BT100" i="26" s="1"/>
  <c r="BS16" i="26"/>
  <c r="BS100" i="26" s="1"/>
  <c r="BR16" i="26"/>
  <c r="BR100" i="26" s="1"/>
  <c r="BQ16" i="26"/>
  <c r="BQ100" i="26" s="1"/>
  <c r="BP16" i="26"/>
  <c r="BP100" i="26" s="1"/>
  <c r="BO16" i="26"/>
  <c r="BO100" i="26" s="1"/>
  <c r="BN16" i="26"/>
  <c r="BN100" i="26" s="1"/>
  <c r="BM16" i="26"/>
  <c r="BM100" i="26" s="1"/>
  <c r="BL16" i="26"/>
  <c r="BL100" i="26" s="1"/>
  <c r="BK16" i="26"/>
  <c r="BK100" i="26" s="1"/>
  <c r="BJ16" i="26"/>
  <c r="BJ100" i="26" s="1"/>
  <c r="BI16" i="26"/>
  <c r="BI100" i="26" s="1"/>
  <c r="BH16" i="26"/>
  <c r="BH100" i="26" s="1"/>
  <c r="BG16" i="26"/>
  <c r="BG100" i="26" s="1"/>
  <c r="BF16" i="26"/>
  <c r="BF100" i="26" s="1"/>
  <c r="BE16" i="26"/>
  <c r="BE100" i="26" s="1"/>
  <c r="BD16" i="26"/>
  <c r="BD100" i="26" s="1"/>
  <c r="BC16" i="26"/>
  <c r="BC100" i="26" s="1"/>
  <c r="BB16" i="26"/>
  <c r="BB100" i="26" s="1"/>
  <c r="BA16" i="26"/>
  <c r="BA100" i="26" s="1"/>
  <c r="AZ16" i="26"/>
  <c r="AZ100" i="26" s="1"/>
  <c r="AY16" i="26"/>
  <c r="AY100" i="26" s="1"/>
  <c r="AX16" i="26"/>
  <c r="AX100" i="26" s="1"/>
  <c r="AW16" i="26"/>
  <c r="AW100" i="26" s="1"/>
  <c r="AV16" i="26"/>
  <c r="AV100" i="26" s="1"/>
  <c r="AU16" i="26"/>
  <c r="AU100" i="26" s="1"/>
  <c r="AT16" i="26"/>
  <c r="AT100" i="26" s="1"/>
  <c r="AS16" i="26"/>
  <c r="AS100" i="26" s="1"/>
  <c r="AR16" i="26"/>
  <c r="AR100" i="26" s="1"/>
  <c r="AQ16" i="26"/>
  <c r="AQ100" i="26" s="1"/>
  <c r="AP16" i="26"/>
  <c r="AP100" i="26" s="1"/>
  <c r="AO16" i="26"/>
  <c r="AO100" i="26" s="1"/>
  <c r="AN16" i="26"/>
  <c r="AN100" i="26" s="1"/>
  <c r="AM16" i="26"/>
  <c r="AM100" i="26" s="1"/>
  <c r="AL16" i="26"/>
  <c r="AL100" i="26" s="1"/>
  <c r="AK16" i="26"/>
  <c r="AK100" i="26" s="1"/>
  <c r="AJ16" i="26"/>
  <c r="AJ100" i="26" s="1"/>
  <c r="AI16" i="26"/>
  <c r="AI100" i="26" s="1"/>
  <c r="AH16" i="26"/>
  <c r="AH100" i="26" s="1"/>
  <c r="AG16" i="26"/>
  <c r="AG100" i="26" s="1"/>
  <c r="AF16" i="26"/>
  <c r="AF100" i="26" s="1"/>
  <c r="AE16" i="26"/>
  <c r="AE100" i="26" s="1"/>
  <c r="AD16" i="26"/>
  <c r="AD100" i="26" s="1"/>
  <c r="AC16" i="26"/>
  <c r="AC100" i="26" s="1"/>
  <c r="AB16" i="26"/>
  <c r="AB100" i="26" s="1"/>
  <c r="J16" i="26"/>
  <c r="J100" i="26" s="1"/>
  <c r="I16" i="26"/>
  <c r="I100" i="26" s="1"/>
  <c r="G16" i="26"/>
  <c r="G100" i="26" s="1"/>
  <c r="F16" i="26"/>
  <c r="F100" i="26" s="1"/>
  <c r="E16" i="26"/>
  <c r="E100" i="26" s="1"/>
  <c r="E101" i="26" s="1"/>
  <c r="Q15" i="26"/>
  <c r="P15" i="26"/>
  <c r="CE14" i="26"/>
  <c r="CE15" i="26" s="1"/>
  <c r="S14" i="26"/>
  <c r="S16" i="26" s="1"/>
  <c r="R14" i="26"/>
  <c r="R16" i="26" s="1"/>
  <c r="Q14" i="26"/>
  <c r="P14" i="26"/>
  <c r="O14" i="26"/>
  <c r="M14" i="26"/>
  <c r="K14" i="26"/>
  <c r="CH11" i="26"/>
  <c r="Q11" i="26"/>
  <c r="Q16" i="26" s="1"/>
  <c r="P11" i="26"/>
  <c r="P16" i="26" s="1"/>
  <c r="P100" i="26" s="1"/>
  <c r="O11" i="26"/>
  <c r="N11" i="26"/>
  <c r="N16" i="26" s="1"/>
  <c r="N100" i="26" s="1"/>
  <c r="M11" i="26"/>
  <c r="X10" i="26"/>
  <c r="W9" i="26"/>
  <c r="V9" i="26"/>
  <c r="U9" i="26"/>
  <c r="BY8" i="26"/>
  <c r="CB8" i="26" s="1"/>
  <c r="CA7" i="26"/>
  <c r="BY7" i="26"/>
  <c r="CB7" i="26" s="1"/>
  <c r="CA6" i="26"/>
  <c r="O6" i="26"/>
  <c r="M6" i="26"/>
  <c r="L6" i="26"/>
  <c r="H5" i="26"/>
  <c r="BZ33" i="23"/>
  <c r="BY33" i="23"/>
  <c r="CK30" i="23"/>
  <c r="CK29" i="23"/>
  <c r="CK28" i="23"/>
  <c r="CK27" i="23"/>
  <c r="BX26" i="23"/>
  <c r="BW26" i="23"/>
  <c r="BV26" i="23"/>
  <c r="BU26" i="23"/>
  <c r="BT26" i="23"/>
  <c r="BS26" i="23"/>
  <c r="BR26" i="23"/>
  <c r="BQ26" i="23"/>
  <c r="BP26" i="23"/>
  <c r="BO26" i="23"/>
  <c r="BN26" i="23"/>
  <c r="BM26" i="23"/>
  <c r="BL26" i="23"/>
  <c r="BK26" i="23"/>
  <c r="BJ26" i="23"/>
  <c r="BI26" i="23"/>
  <c r="BH26" i="23"/>
  <c r="BG26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Q26" i="23"/>
  <c r="AP26" i="23"/>
  <c r="AO26" i="23"/>
  <c r="AN26" i="23"/>
  <c r="AM26" i="23"/>
  <c r="AL26" i="23"/>
  <c r="AK26" i="23"/>
  <c r="AJ26" i="23"/>
  <c r="AI26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CK26" i="23" s="1"/>
  <c r="BX25" i="23"/>
  <c r="BW25" i="23"/>
  <c r="BV25" i="23"/>
  <c r="BU25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AV25" i="23"/>
  <c r="AU25" i="23"/>
  <c r="AT25" i="23"/>
  <c r="AS25" i="23"/>
  <c r="AR25" i="23"/>
  <c r="AQ25" i="23"/>
  <c r="AP25" i="23"/>
  <c r="AO25" i="23"/>
  <c r="AN25" i="23"/>
  <c r="AM25" i="23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CK25" i="23" s="1"/>
  <c r="BX24" i="23"/>
  <c r="BW24" i="23"/>
  <c r="BV24" i="23"/>
  <c r="BU24" i="23"/>
  <c r="BT24" i="23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BX23" i="23"/>
  <c r="BW23" i="23"/>
  <c r="BV23" i="23"/>
  <c r="BU23" i="23"/>
  <c r="BT23" i="23"/>
  <c r="BS23" i="23"/>
  <c r="BR23" i="23"/>
  <c r="BQ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AR23" i="23"/>
  <c r="AQ23" i="23"/>
  <c r="AP23" i="23"/>
  <c r="AO23" i="23"/>
  <c r="AN23" i="23"/>
  <c r="AM23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CK20" i="23"/>
  <c r="CK19" i="23"/>
  <c r="CK18" i="23"/>
  <c r="CK17" i="23"/>
  <c r="CK16" i="23"/>
  <c r="CJ13" i="23"/>
  <c r="BX13" i="23"/>
  <c r="BW13" i="23"/>
  <c r="BV13" i="23"/>
  <c r="BU13" i="23"/>
  <c r="BT13" i="23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BF13" i="23"/>
  <c r="BE13" i="23"/>
  <c r="BD13" i="23"/>
  <c r="BC13" i="23"/>
  <c r="BB13" i="23"/>
  <c r="BA13" i="23"/>
  <c r="AZ13" i="23"/>
  <c r="AY13" i="23"/>
  <c r="AX13" i="23"/>
  <c r="AW13" i="23"/>
  <c r="AV13" i="23"/>
  <c r="AU13" i="23"/>
  <c r="AT13" i="23"/>
  <c r="AS13" i="23"/>
  <c r="AR13" i="23"/>
  <c r="AQ13" i="23"/>
  <c r="AP13" i="23"/>
  <c r="AO13" i="23"/>
  <c r="AN13" i="23"/>
  <c r="AM13" i="23"/>
  <c r="AL13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CK13" i="23" s="1"/>
  <c r="CL13" i="23" s="1"/>
  <c r="CK10" i="23"/>
  <c r="CL10" i="23" s="1"/>
  <c r="CK9" i="23"/>
  <c r="CL9" i="23" s="1"/>
  <c r="CK8" i="23"/>
  <c r="CL8" i="23" s="1"/>
  <c r="CK7" i="23"/>
  <c r="CL7" i="23" s="1"/>
  <c r="E6" i="23"/>
  <c r="CK6" i="23" s="1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5" i="23"/>
  <c r="BE5" i="23"/>
  <c r="BD5" i="23"/>
  <c r="BC5" i="23"/>
  <c r="BB5" i="23"/>
  <c r="BA5" i="23"/>
  <c r="AZ5" i="23"/>
  <c r="AY5" i="23"/>
  <c r="AX5" i="23"/>
  <c r="AW5" i="23"/>
  <c r="AV5" i="23"/>
  <c r="AU5" i="23"/>
  <c r="AT5" i="23"/>
  <c r="AS5" i="23"/>
  <c r="AR5" i="23"/>
  <c r="AQ5" i="23"/>
  <c r="AP5" i="23"/>
  <c r="AO5" i="23"/>
  <c r="AN5" i="23"/>
  <c r="AM5" i="23"/>
  <c r="AL5" i="23"/>
  <c r="AK5" i="23"/>
  <c r="AJ5" i="23"/>
  <c r="AI5" i="23"/>
  <c r="AH5" i="23"/>
  <c r="AG5" i="23"/>
  <c r="AF5" i="23"/>
  <c r="AE5" i="23"/>
  <c r="AD5" i="23"/>
  <c r="AC5" i="23"/>
  <c r="AB5" i="23"/>
  <c r="AA5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BX4" i="23"/>
  <c r="BW4" i="23"/>
  <c r="BV4" i="23"/>
  <c r="BU4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E4" i="23"/>
  <c r="CJ3" i="23"/>
  <c r="CJ33" i="23" s="1"/>
  <c r="CI3" i="23"/>
  <c r="CI33" i="23" s="1"/>
  <c r="CH3" i="23"/>
  <c r="CH33" i="23" s="1"/>
  <c r="CG3" i="23"/>
  <c r="CG33" i="23" s="1"/>
  <c r="CF3" i="23"/>
  <c r="CF33" i="23" s="1"/>
  <c r="CE3" i="23"/>
  <c r="CE33" i="23" s="1"/>
  <c r="CD3" i="23"/>
  <c r="CD33" i="23" s="1"/>
  <c r="CA3" i="23"/>
  <c r="CA33" i="23" s="1"/>
  <c r="BX3" i="23"/>
  <c r="BX33" i="23" s="1"/>
  <c r="BW3" i="23"/>
  <c r="BW33" i="23" s="1"/>
  <c r="BV3" i="23"/>
  <c r="BV33" i="23" s="1"/>
  <c r="BU3" i="23"/>
  <c r="BU33" i="23" s="1"/>
  <c r="BT3" i="23"/>
  <c r="BT33" i="23" s="1"/>
  <c r="BS3" i="23"/>
  <c r="BS33" i="23" s="1"/>
  <c r="BR3" i="23"/>
  <c r="BR33" i="23" s="1"/>
  <c r="BQ3" i="23"/>
  <c r="BQ33" i="23" s="1"/>
  <c r="BP3" i="23"/>
  <c r="BP33" i="23" s="1"/>
  <c r="BO3" i="23"/>
  <c r="BO33" i="23" s="1"/>
  <c r="BN3" i="23"/>
  <c r="BN33" i="23" s="1"/>
  <c r="BM3" i="23"/>
  <c r="BM33" i="23" s="1"/>
  <c r="BL3" i="23"/>
  <c r="BL33" i="23" s="1"/>
  <c r="BK3" i="23"/>
  <c r="BK33" i="23" s="1"/>
  <c r="BJ3" i="23"/>
  <c r="BJ33" i="23" s="1"/>
  <c r="BI3" i="23"/>
  <c r="BI33" i="23" s="1"/>
  <c r="BH3" i="23"/>
  <c r="BH33" i="23" s="1"/>
  <c r="BG3" i="23"/>
  <c r="BG33" i="23" s="1"/>
  <c r="BF3" i="23"/>
  <c r="BF33" i="23" s="1"/>
  <c r="BE3" i="23"/>
  <c r="BE33" i="23" s="1"/>
  <c r="BD3" i="23"/>
  <c r="BD33" i="23" s="1"/>
  <c r="BC3" i="23"/>
  <c r="BC33" i="23" s="1"/>
  <c r="BB3" i="23"/>
  <c r="BB33" i="23" s="1"/>
  <c r="BA3" i="23"/>
  <c r="BA33" i="23" s="1"/>
  <c r="AZ3" i="23"/>
  <c r="AZ33" i="23" s="1"/>
  <c r="AY3" i="23"/>
  <c r="AY33" i="23" s="1"/>
  <c r="AX3" i="23"/>
  <c r="AX33" i="23" s="1"/>
  <c r="AW3" i="23"/>
  <c r="AW33" i="23" s="1"/>
  <c r="AV3" i="23"/>
  <c r="AV33" i="23" s="1"/>
  <c r="AU3" i="23"/>
  <c r="AU33" i="23" s="1"/>
  <c r="AT3" i="23"/>
  <c r="AT33" i="23" s="1"/>
  <c r="AS3" i="23"/>
  <c r="AS33" i="23" s="1"/>
  <c r="AR3" i="23"/>
  <c r="AR33" i="23" s="1"/>
  <c r="AQ3" i="23"/>
  <c r="AQ33" i="23" s="1"/>
  <c r="AP3" i="23"/>
  <c r="AP33" i="23" s="1"/>
  <c r="AO3" i="23"/>
  <c r="AO33" i="23" s="1"/>
  <c r="AN3" i="23"/>
  <c r="AN33" i="23" s="1"/>
  <c r="AM3" i="23"/>
  <c r="AM33" i="23" s="1"/>
  <c r="AL3" i="23"/>
  <c r="AL33" i="23" s="1"/>
  <c r="AK3" i="23"/>
  <c r="AK33" i="23" s="1"/>
  <c r="AJ3" i="23"/>
  <c r="AJ33" i="23" s="1"/>
  <c r="AI3" i="23"/>
  <c r="AI33" i="23" s="1"/>
  <c r="AH3" i="23"/>
  <c r="AH33" i="23" s="1"/>
  <c r="AG3" i="23"/>
  <c r="AG33" i="23" s="1"/>
  <c r="AF3" i="23"/>
  <c r="AF33" i="23" s="1"/>
  <c r="AE3" i="23"/>
  <c r="AE33" i="23" s="1"/>
  <c r="AD3" i="23"/>
  <c r="AD33" i="23" s="1"/>
  <c r="AC3" i="23"/>
  <c r="AC33" i="23" s="1"/>
  <c r="AB3" i="23"/>
  <c r="AB33" i="23" s="1"/>
  <c r="AA3" i="23"/>
  <c r="AA33" i="23" s="1"/>
  <c r="Z3" i="23"/>
  <c r="Z33" i="23" s="1"/>
  <c r="Y3" i="23"/>
  <c r="Y33" i="23" s="1"/>
  <c r="X3" i="23"/>
  <c r="X33" i="23" s="1"/>
  <c r="W3" i="23"/>
  <c r="W33" i="23" s="1"/>
  <c r="V3" i="23"/>
  <c r="V33" i="23" s="1"/>
  <c r="U3" i="23"/>
  <c r="U33" i="23" s="1"/>
  <c r="T3" i="23"/>
  <c r="S3" i="23"/>
  <c r="S33" i="23" s="1"/>
  <c r="R3" i="23"/>
  <c r="R33" i="23" s="1"/>
  <c r="Q3" i="23"/>
  <c r="Q33" i="23" s="1"/>
  <c r="P3" i="23"/>
  <c r="P33" i="23" s="1"/>
  <c r="O3" i="23"/>
  <c r="O33" i="23" s="1"/>
  <c r="N3" i="23"/>
  <c r="N33" i="23" s="1"/>
  <c r="M3" i="23"/>
  <c r="M33" i="23" s="1"/>
  <c r="L3" i="23"/>
  <c r="L33" i="23" s="1"/>
  <c r="K3" i="23"/>
  <c r="K33" i="23" s="1"/>
  <c r="J3" i="23"/>
  <c r="J33" i="23" s="1"/>
  <c r="I3" i="23"/>
  <c r="I33" i="23" s="1"/>
  <c r="G3" i="23"/>
  <c r="G33" i="23" s="1"/>
  <c r="F3" i="23"/>
  <c r="F33" i="23" s="1"/>
  <c r="E3" i="23"/>
  <c r="Q1" i="23"/>
  <c r="AC1" i="23" s="1"/>
  <c r="AO1" i="23" s="1"/>
  <c r="BA1" i="23" s="1"/>
  <c r="BM1" i="23" s="1"/>
  <c r="BY1" i="23" s="1"/>
  <c r="R8" i="22" a="1"/>
  <c r="R8" i="22"/>
  <c r="S8" i="22" s="1"/>
  <c r="M8" i="22" a="1"/>
  <c r="M8" i="22"/>
  <c r="N8" i="22" s="1"/>
  <c r="H8" i="22" a="1"/>
  <c r="H8" i="22"/>
  <c r="I8" i="22" s="1"/>
  <c r="R8" i="21" a="1"/>
  <c r="R8" i="21"/>
  <c r="S8" i="21" s="1"/>
  <c r="D187" i="20"/>
  <c r="BX180" i="20"/>
  <c r="BW180" i="20"/>
  <c r="BV180" i="20"/>
  <c r="BU180" i="20"/>
  <c r="BT180" i="20"/>
  <c r="BS180" i="20"/>
  <c r="BR180" i="20"/>
  <c r="BQ180" i="20"/>
  <c r="BP180" i="20"/>
  <c r="BO180" i="20"/>
  <c r="BN180" i="20"/>
  <c r="BM180" i="20"/>
  <c r="BL180" i="20"/>
  <c r="BK180" i="20"/>
  <c r="BJ180" i="20"/>
  <c r="BI180" i="20"/>
  <c r="BH180" i="20"/>
  <c r="BG180" i="20"/>
  <c r="BF180" i="20"/>
  <c r="BE180" i="20"/>
  <c r="BD180" i="20"/>
  <c r="BC180" i="20"/>
  <c r="BB180" i="20"/>
  <c r="BA180" i="20"/>
  <c r="AZ180" i="20"/>
  <c r="AY180" i="20"/>
  <c r="AX180" i="20"/>
  <c r="AW180" i="20"/>
  <c r="AV180" i="20"/>
  <c r="AU180" i="20"/>
  <c r="AT180" i="20"/>
  <c r="AS180" i="20"/>
  <c r="AR180" i="20"/>
  <c r="AQ180" i="20"/>
  <c r="AP180" i="20"/>
  <c r="AO180" i="20"/>
  <c r="AN180" i="20"/>
  <c r="AM180" i="20"/>
  <c r="AL180" i="20"/>
  <c r="AK180" i="20"/>
  <c r="AJ180" i="20"/>
  <c r="AI180" i="20"/>
  <c r="AH180" i="20"/>
  <c r="AG180" i="20"/>
  <c r="AF180" i="20"/>
  <c r="AE180" i="20"/>
  <c r="AD180" i="20"/>
  <c r="AC180" i="20"/>
  <c r="AB180" i="20"/>
  <c r="AA180" i="20"/>
  <c r="Z180" i="20"/>
  <c r="Y180" i="20"/>
  <c r="X180" i="20"/>
  <c r="W180" i="20"/>
  <c r="V180" i="20"/>
  <c r="U180" i="20"/>
  <c r="T180" i="20"/>
  <c r="S180" i="20"/>
  <c r="S183" i="20" s="1"/>
  <c r="R180" i="20"/>
  <c r="R183" i="20" s="1"/>
  <c r="Q180" i="20"/>
  <c r="Q183" i="20" s="1"/>
  <c r="P180" i="20"/>
  <c r="P183" i="20" s="1"/>
  <c r="O180" i="20"/>
  <c r="O183" i="20" s="1"/>
  <c r="N180" i="20"/>
  <c r="N183" i="20" s="1"/>
  <c r="M180" i="20"/>
  <c r="M183" i="20" s="1"/>
  <c r="L180" i="20"/>
  <c r="L183" i="20" s="1"/>
  <c r="K180" i="20"/>
  <c r="K183" i="20" s="1"/>
  <c r="J180" i="20"/>
  <c r="J183" i="20" s="1"/>
  <c r="I180" i="20"/>
  <c r="I183" i="20" s="1"/>
  <c r="H180" i="20"/>
  <c r="G180" i="20"/>
  <c r="F180" i="20"/>
  <c r="E180" i="20"/>
  <c r="BX178" i="20"/>
  <c r="BW178" i="20"/>
  <c r="BW183" i="20" s="1"/>
  <c r="BV178" i="20"/>
  <c r="BV183" i="20" s="1"/>
  <c r="BU178" i="20"/>
  <c r="BU183" i="20" s="1"/>
  <c r="BT178" i="20"/>
  <c r="BT183" i="20" s="1"/>
  <c r="BS178" i="20"/>
  <c r="BS183" i="20" s="1"/>
  <c r="BR178" i="20"/>
  <c r="BR183" i="20" s="1"/>
  <c r="BQ178" i="20"/>
  <c r="BQ183" i="20" s="1"/>
  <c r="BP178" i="20"/>
  <c r="BP183" i="20" s="1"/>
  <c r="BO178" i="20"/>
  <c r="BO183" i="20" s="1"/>
  <c r="BN178" i="20"/>
  <c r="BN183" i="20" s="1"/>
  <c r="BM178" i="20"/>
  <c r="BM183" i="20" s="1"/>
  <c r="BL178" i="20"/>
  <c r="BL183" i="20" s="1"/>
  <c r="BK178" i="20"/>
  <c r="BK183" i="20" s="1"/>
  <c r="BJ178" i="20"/>
  <c r="BJ183" i="20" s="1"/>
  <c r="BI178" i="20"/>
  <c r="BI183" i="20" s="1"/>
  <c r="BH178" i="20"/>
  <c r="BH183" i="20" s="1"/>
  <c r="BG178" i="20"/>
  <c r="BG183" i="20" s="1"/>
  <c r="BF178" i="20"/>
  <c r="BF183" i="20" s="1"/>
  <c r="BE178" i="20"/>
  <c r="BE183" i="20" s="1"/>
  <c r="BD178" i="20"/>
  <c r="BD183" i="20" s="1"/>
  <c r="BC178" i="20"/>
  <c r="BC183" i="20" s="1"/>
  <c r="BB178" i="20"/>
  <c r="BB183" i="20" s="1"/>
  <c r="BA178" i="20"/>
  <c r="BA183" i="20" s="1"/>
  <c r="AZ178" i="20"/>
  <c r="AZ183" i="20" s="1"/>
  <c r="AY178" i="20"/>
  <c r="AY183" i="20" s="1"/>
  <c r="AX178" i="20"/>
  <c r="AX183" i="20" s="1"/>
  <c r="AW178" i="20"/>
  <c r="AW183" i="20" s="1"/>
  <c r="AV178" i="20"/>
  <c r="AV183" i="20" s="1"/>
  <c r="AU178" i="20"/>
  <c r="AU183" i="20" s="1"/>
  <c r="AT178" i="20"/>
  <c r="AT183" i="20" s="1"/>
  <c r="AS178" i="20"/>
  <c r="AS183" i="20" s="1"/>
  <c r="AR178" i="20"/>
  <c r="AR183" i="20" s="1"/>
  <c r="AQ178" i="20"/>
  <c r="AQ183" i="20" s="1"/>
  <c r="AP178" i="20"/>
  <c r="AP183" i="20" s="1"/>
  <c r="AO178" i="20"/>
  <c r="AO183" i="20" s="1"/>
  <c r="AN178" i="20"/>
  <c r="AN183" i="20" s="1"/>
  <c r="AM178" i="20"/>
  <c r="AM183" i="20" s="1"/>
  <c r="AL178" i="20"/>
  <c r="AL183" i="20" s="1"/>
  <c r="AK178" i="20"/>
  <c r="AK183" i="20" s="1"/>
  <c r="AJ178" i="20"/>
  <c r="AJ183" i="20" s="1"/>
  <c r="AI178" i="20"/>
  <c r="AI183" i="20" s="1"/>
  <c r="AH178" i="20"/>
  <c r="AH183" i="20" s="1"/>
  <c r="AG178" i="20"/>
  <c r="AG183" i="20" s="1"/>
  <c r="AF178" i="20"/>
  <c r="AF183" i="20" s="1"/>
  <c r="AE178" i="20"/>
  <c r="AE183" i="20" s="1"/>
  <c r="AD178" i="20"/>
  <c r="AD183" i="20" s="1"/>
  <c r="AC178" i="20"/>
  <c r="AC183" i="20" s="1"/>
  <c r="AB178" i="20"/>
  <c r="AB183" i="20" s="1"/>
  <c r="AA178" i="20"/>
  <c r="AA183" i="20" s="1"/>
  <c r="Z178" i="20"/>
  <c r="Z183" i="20" s="1"/>
  <c r="Y178" i="20"/>
  <c r="Y183" i="20" s="1"/>
  <c r="X178" i="20"/>
  <c r="X183" i="20" s="1"/>
  <c r="W178" i="20"/>
  <c r="W183" i="20" s="1"/>
  <c r="V178" i="20"/>
  <c r="V183" i="20" s="1"/>
  <c r="U178" i="20"/>
  <c r="U183" i="20" s="1"/>
  <c r="T178" i="20"/>
  <c r="H178" i="20"/>
  <c r="H183" i="20" s="1"/>
  <c r="G178" i="20"/>
  <c r="G183" i="20" s="1"/>
  <c r="F178" i="20"/>
  <c r="F183" i="20" s="1"/>
  <c r="E178" i="20"/>
  <c r="E183" i="20" s="1"/>
  <c r="D171" i="20"/>
  <c r="BX164" i="20"/>
  <c r="BW164" i="20"/>
  <c r="BV164" i="20"/>
  <c r="BU164" i="20"/>
  <c r="BT164" i="20"/>
  <c r="BS164" i="20"/>
  <c r="BR164" i="20"/>
  <c r="BQ164" i="20"/>
  <c r="BP164" i="20"/>
  <c r="BO164" i="20"/>
  <c r="BN164" i="20"/>
  <c r="BM164" i="20"/>
  <c r="BL164" i="20"/>
  <c r="BK164" i="20"/>
  <c r="BJ164" i="20"/>
  <c r="BI164" i="20"/>
  <c r="BH164" i="20"/>
  <c r="BG164" i="20"/>
  <c r="BF164" i="20"/>
  <c r="BE164" i="20"/>
  <c r="BD164" i="20"/>
  <c r="BC164" i="20"/>
  <c r="BB164" i="20"/>
  <c r="BA164" i="20"/>
  <c r="AZ164" i="20"/>
  <c r="AY164" i="20"/>
  <c r="AX164" i="20"/>
  <c r="AW164" i="20"/>
  <c r="AV164" i="20"/>
  <c r="AU164" i="20"/>
  <c r="AT164" i="20"/>
  <c r="AS164" i="20"/>
  <c r="AR164" i="20"/>
  <c r="AQ164" i="20"/>
  <c r="AP164" i="20"/>
  <c r="AO164" i="20"/>
  <c r="AN164" i="20"/>
  <c r="AM164" i="20"/>
  <c r="AL164" i="20"/>
  <c r="AK164" i="20"/>
  <c r="AJ164" i="20"/>
  <c r="AI164" i="20"/>
  <c r="AH164" i="20"/>
  <c r="AG164" i="20"/>
  <c r="AF164" i="20"/>
  <c r="AE164" i="20"/>
  <c r="AD164" i="20"/>
  <c r="AC164" i="20"/>
  <c r="AB164" i="20"/>
  <c r="AA164" i="20"/>
  <c r="Z164" i="20"/>
  <c r="Y164" i="20"/>
  <c r="X164" i="20"/>
  <c r="W164" i="20"/>
  <c r="V164" i="20"/>
  <c r="U164" i="20"/>
  <c r="T164" i="20"/>
  <c r="S164" i="20"/>
  <c r="R164" i="20"/>
  <c r="Q164" i="20"/>
  <c r="P164" i="20"/>
  <c r="O164" i="20"/>
  <c r="N164" i="20"/>
  <c r="M164" i="20"/>
  <c r="L164" i="20"/>
  <c r="K164" i="20"/>
  <c r="J164" i="20"/>
  <c r="I164" i="20"/>
  <c r="H164" i="20"/>
  <c r="G164" i="20"/>
  <c r="F164" i="20"/>
  <c r="E164" i="20"/>
  <c r="BX162" i="20"/>
  <c r="BW162" i="20"/>
  <c r="BW167" i="20" s="1"/>
  <c r="BV162" i="20"/>
  <c r="BV167" i="20" s="1"/>
  <c r="BU162" i="20"/>
  <c r="BU167" i="20" s="1"/>
  <c r="BT162" i="20"/>
  <c r="BT167" i="20" s="1"/>
  <c r="BS162" i="20"/>
  <c r="BS167" i="20" s="1"/>
  <c r="BR162" i="20"/>
  <c r="BR167" i="20" s="1"/>
  <c r="BQ162" i="20"/>
  <c r="BQ167" i="20" s="1"/>
  <c r="BP162" i="20"/>
  <c r="BP167" i="20" s="1"/>
  <c r="BO162" i="20"/>
  <c r="BO167" i="20" s="1"/>
  <c r="BN162" i="20"/>
  <c r="BN167" i="20" s="1"/>
  <c r="BM162" i="20"/>
  <c r="BM167" i="20" s="1"/>
  <c r="BL162" i="20"/>
  <c r="BL167" i="20" s="1"/>
  <c r="BK162" i="20"/>
  <c r="BK167" i="20" s="1"/>
  <c r="BJ162" i="20"/>
  <c r="BJ167" i="20" s="1"/>
  <c r="BI162" i="20"/>
  <c r="BI167" i="20" s="1"/>
  <c r="BH162" i="20"/>
  <c r="BH167" i="20" s="1"/>
  <c r="BG162" i="20"/>
  <c r="BG167" i="20" s="1"/>
  <c r="BF162" i="20"/>
  <c r="BF167" i="20" s="1"/>
  <c r="BE162" i="20"/>
  <c r="BE167" i="20" s="1"/>
  <c r="BD162" i="20"/>
  <c r="BD167" i="20" s="1"/>
  <c r="BC162" i="20"/>
  <c r="BC167" i="20" s="1"/>
  <c r="BB162" i="20"/>
  <c r="BB167" i="20" s="1"/>
  <c r="BA162" i="20"/>
  <c r="BA167" i="20" s="1"/>
  <c r="AZ162" i="20"/>
  <c r="AZ167" i="20" s="1"/>
  <c r="AY162" i="20"/>
  <c r="AY167" i="20" s="1"/>
  <c r="AX162" i="20"/>
  <c r="AX167" i="20" s="1"/>
  <c r="AW162" i="20"/>
  <c r="AW167" i="20" s="1"/>
  <c r="AV162" i="20"/>
  <c r="AV167" i="20" s="1"/>
  <c r="AU162" i="20"/>
  <c r="AU167" i="20" s="1"/>
  <c r="AT162" i="20"/>
  <c r="AT167" i="20" s="1"/>
  <c r="AS162" i="20"/>
  <c r="AS167" i="20" s="1"/>
  <c r="AR162" i="20"/>
  <c r="AR167" i="20" s="1"/>
  <c r="AQ162" i="20"/>
  <c r="AQ167" i="20" s="1"/>
  <c r="AP162" i="20"/>
  <c r="AP167" i="20" s="1"/>
  <c r="AO162" i="20"/>
  <c r="AO167" i="20" s="1"/>
  <c r="AN162" i="20"/>
  <c r="AN167" i="20" s="1"/>
  <c r="AM162" i="20"/>
  <c r="AM167" i="20" s="1"/>
  <c r="AL162" i="20"/>
  <c r="AL167" i="20" s="1"/>
  <c r="AK162" i="20"/>
  <c r="AK167" i="20" s="1"/>
  <c r="AJ162" i="20"/>
  <c r="AJ167" i="20" s="1"/>
  <c r="AI162" i="20"/>
  <c r="AI167" i="20" s="1"/>
  <c r="AH162" i="20"/>
  <c r="AH167" i="20" s="1"/>
  <c r="AG162" i="20"/>
  <c r="AG167" i="20" s="1"/>
  <c r="AF162" i="20"/>
  <c r="AF167" i="20" s="1"/>
  <c r="AE162" i="20"/>
  <c r="AE167" i="20" s="1"/>
  <c r="AD162" i="20"/>
  <c r="AD167" i="20" s="1"/>
  <c r="AC162" i="20"/>
  <c r="AC167" i="20" s="1"/>
  <c r="AB162" i="20"/>
  <c r="AB167" i="20" s="1"/>
  <c r="AA162" i="20"/>
  <c r="AA167" i="20" s="1"/>
  <c r="Z162" i="20"/>
  <c r="Z167" i="20" s="1"/>
  <c r="Y162" i="20"/>
  <c r="Y167" i="20" s="1"/>
  <c r="X162" i="20"/>
  <c r="X167" i="20" s="1"/>
  <c r="W162" i="20"/>
  <c r="W167" i="20" s="1"/>
  <c r="V162" i="20"/>
  <c r="V167" i="20" s="1"/>
  <c r="U162" i="20"/>
  <c r="U167" i="20" s="1"/>
  <c r="T162" i="20"/>
  <c r="S162" i="20"/>
  <c r="S167" i="20" s="1"/>
  <c r="R162" i="20"/>
  <c r="R167" i="20" s="1"/>
  <c r="Q162" i="20"/>
  <c r="Q167" i="20" s="1"/>
  <c r="P162" i="20"/>
  <c r="P167" i="20" s="1"/>
  <c r="O162" i="20"/>
  <c r="O167" i="20" s="1"/>
  <c r="N162" i="20"/>
  <c r="N167" i="20" s="1"/>
  <c r="M162" i="20"/>
  <c r="M167" i="20" s="1"/>
  <c r="L162" i="20"/>
  <c r="L167" i="20" s="1"/>
  <c r="K162" i="20"/>
  <c r="K167" i="20" s="1"/>
  <c r="J162" i="20"/>
  <c r="J167" i="20" s="1"/>
  <c r="I162" i="20"/>
  <c r="I167" i="20" s="1"/>
  <c r="H162" i="20"/>
  <c r="H167" i="20" s="1"/>
  <c r="G162" i="20"/>
  <c r="G167" i="20" s="1"/>
  <c r="F162" i="20"/>
  <c r="F167" i="20" s="1"/>
  <c r="E162" i="20"/>
  <c r="E167" i="20" s="1"/>
  <c r="D155" i="20"/>
  <c r="T149" i="20"/>
  <c r="BX148" i="20"/>
  <c r="BW148" i="20"/>
  <c r="BV148" i="20"/>
  <c r="BU148" i="20"/>
  <c r="BT148" i="20"/>
  <c r="BS148" i="20"/>
  <c r="BR148" i="20"/>
  <c r="BQ148" i="20"/>
  <c r="BP148" i="20"/>
  <c r="BO148" i="20"/>
  <c r="BN148" i="20"/>
  <c r="BM148" i="20"/>
  <c r="BL148" i="20"/>
  <c r="BK148" i="20"/>
  <c r="BJ148" i="20"/>
  <c r="BI148" i="20"/>
  <c r="BH148" i="20"/>
  <c r="BG148" i="20"/>
  <c r="BF148" i="20"/>
  <c r="BE148" i="20"/>
  <c r="BD148" i="20"/>
  <c r="BC148" i="20"/>
  <c r="BB148" i="20"/>
  <c r="BA148" i="20"/>
  <c r="AZ148" i="20"/>
  <c r="AY148" i="20"/>
  <c r="AX148" i="20"/>
  <c r="AW148" i="20"/>
  <c r="AV148" i="20"/>
  <c r="AU148" i="20"/>
  <c r="AT148" i="20"/>
  <c r="AS148" i="20"/>
  <c r="AR148" i="20"/>
  <c r="AQ148" i="20"/>
  <c r="AP148" i="20"/>
  <c r="AO148" i="20"/>
  <c r="AN148" i="20"/>
  <c r="AM148" i="20"/>
  <c r="AL148" i="20"/>
  <c r="AK148" i="20"/>
  <c r="AJ148" i="20"/>
  <c r="AI148" i="20"/>
  <c r="AH148" i="20"/>
  <c r="AG148" i="20"/>
  <c r="AF148" i="20"/>
  <c r="AE148" i="20"/>
  <c r="AD148" i="20"/>
  <c r="AC148" i="20"/>
  <c r="AB148" i="20"/>
  <c r="AA148" i="20"/>
  <c r="Z148" i="20"/>
  <c r="Y148" i="20"/>
  <c r="X148" i="20"/>
  <c r="W148" i="20"/>
  <c r="V148" i="20"/>
  <c r="U148" i="20"/>
  <c r="T148" i="20"/>
  <c r="S148" i="20"/>
  <c r="R148" i="20"/>
  <c r="Q148" i="20"/>
  <c r="P148" i="20"/>
  <c r="O148" i="20"/>
  <c r="N148" i="20"/>
  <c r="M148" i="20"/>
  <c r="L148" i="20"/>
  <c r="K148" i="20"/>
  <c r="K151" i="20" s="1"/>
  <c r="J148" i="20"/>
  <c r="I148" i="20"/>
  <c r="I151" i="20" s="1"/>
  <c r="H148" i="20"/>
  <c r="G148" i="20"/>
  <c r="F148" i="20"/>
  <c r="E148" i="20"/>
  <c r="BX146" i="20"/>
  <c r="BW146" i="20"/>
  <c r="BW151" i="20" s="1"/>
  <c r="BV146" i="20"/>
  <c r="BV151" i="20" s="1"/>
  <c r="BU146" i="20"/>
  <c r="BU151" i="20" s="1"/>
  <c r="BT146" i="20"/>
  <c r="BT151" i="20" s="1"/>
  <c r="BS146" i="20"/>
  <c r="BS151" i="20" s="1"/>
  <c r="BR146" i="20"/>
  <c r="BR151" i="20" s="1"/>
  <c r="BQ146" i="20"/>
  <c r="BQ151" i="20" s="1"/>
  <c r="BP146" i="20"/>
  <c r="BP151" i="20" s="1"/>
  <c r="BO146" i="20"/>
  <c r="BO151" i="20" s="1"/>
  <c r="BN146" i="20"/>
  <c r="BN151" i="20" s="1"/>
  <c r="BM146" i="20"/>
  <c r="BM151" i="20" s="1"/>
  <c r="BL146" i="20"/>
  <c r="BL151" i="20" s="1"/>
  <c r="BK146" i="20"/>
  <c r="BK151" i="20" s="1"/>
  <c r="BJ146" i="20"/>
  <c r="BJ151" i="20" s="1"/>
  <c r="BI146" i="20"/>
  <c r="BI151" i="20" s="1"/>
  <c r="BH146" i="20"/>
  <c r="BH151" i="20" s="1"/>
  <c r="BG146" i="20"/>
  <c r="BG151" i="20" s="1"/>
  <c r="BF146" i="20"/>
  <c r="BF151" i="20" s="1"/>
  <c r="BE146" i="20"/>
  <c r="BE151" i="20" s="1"/>
  <c r="BD146" i="20"/>
  <c r="BD151" i="20" s="1"/>
  <c r="BC146" i="20"/>
  <c r="BC151" i="20" s="1"/>
  <c r="BB146" i="20"/>
  <c r="BB151" i="20" s="1"/>
  <c r="BA146" i="20"/>
  <c r="BA151" i="20" s="1"/>
  <c r="AZ146" i="20"/>
  <c r="AZ151" i="20" s="1"/>
  <c r="AY146" i="20"/>
  <c r="AY151" i="20" s="1"/>
  <c r="AX146" i="20"/>
  <c r="AX151" i="20" s="1"/>
  <c r="AW146" i="20"/>
  <c r="AW151" i="20" s="1"/>
  <c r="AV146" i="20"/>
  <c r="AV151" i="20" s="1"/>
  <c r="AU146" i="20"/>
  <c r="AU151" i="20" s="1"/>
  <c r="AT146" i="20"/>
  <c r="AT151" i="20" s="1"/>
  <c r="AS146" i="20"/>
  <c r="AS151" i="20" s="1"/>
  <c r="AR146" i="20"/>
  <c r="AR151" i="20" s="1"/>
  <c r="AQ146" i="20"/>
  <c r="AQ151" i="20" s="1"/>
  <c r="AP146" i="20"/>
  <c r="AP151" i="20" s="1"/>
  <c r="AO146" i="20"/>
  <c r="AO151" i="20" s="1"/>
  <c r="AN146" i="20"/>
  <c r="AN151" i="20" s="1"/>
  <c r="AM146" i="20"/>
  <c r="AM151" i="20" s="1"/>
  <c r="AL146" i="20"/>
  <c r="AL151" i="20" s="1"/>
  <c r="AK146" i="20"/>
  <c r="AK151" i="20" s="1"/>
  <c r="AJ146" i="20"/>
  <c r="AJ151" i="20" s="1"/>
  <c r="AI146" i="20"/>
  <c r="AI151" i="20" s="1"/>
  <c r="AH146" i="20"/>
  <c r="AH151" i="20" s="1"/>
  <c r="AG146" i="20"/>
  <c r="AG151" i="20" s="1"/>
  <c r="AF146" i="20"/>
  <c r="AF151" i="20" s="1"/>
  <c r="AE146" i="20"/>
  <c r="AE151" i="20" s="1"/>
  <c r="AD146" i="20"/>
  <c r="AD151" i="20" s="1"/>
  <c r="AC146" i="20"/>
  <c r="AC151" i="20" s="1"/>
  <c r="AB146" i="20"/>
  <c r="AB151" i="20" s="1"/>
  <c r="AA146" i="20"/>
  <c r="AA151" i="20" s="1"/>
  <c r="Z146" i="20"/>
  <c r="Z151" i="20" s="1"/>
  <c r="Y146" i="20"/>
  <c r="Y151" i="20" s="1"/>
  <c r="X146" i="20"/>
  <c r="X151" i="20" s="1"/>
  <c r="W146" i="20"/>
  <c r="W151" i="20" s="1"/>
  <c r="V146" i="20"/>
  <c r="V151" i="20" s="1"/>
  <c r="U146" i="20"/>
  <c r="U151" i="20" s="1"/>
  <c r="S146" i="20"/>
  <c r="S151" i="20" s="1"/>
  <c r="R146" i="20"/>
  <c r="R151" i="20" s="1"/>
  <c r="Q146" i="20"/>
  <c r="Q151" i="20" s="1"/>
  <c r="P146" i="20"/>
  <c r="P151" i="20" s="1"/>
  <c r="O146" i="20"/>
  <c r="O151" i="20" s="1"/>
  <c r="N146" i="20"/>
  <c r="N151" i="20" s="1"/>
  <c r="M146" i="20"/>
  <c r="M151" i="20" s="1"/>
  <c r="L146" i="20"/>
  <c r="L151" i="20" s="1"/>
  <c r="J146" i="20"/>
  <c r="J151" i="20" s="1"/>
  <c r="H146" i="20"/>
  <c r="G146" i="20"/>
  <c r="G151" i="20" s="1"/>
  <c r="F146" i="20"/>
  <c r="F151" i="20" s="1"/>
  <c r="E146" i="20"/>
  <c r="E151" i="20" s="1"/>
  <c r="E152" i="20" s="1"/>
  <c r="F152" i="20" s="1"/>
  <c r="G152" i="20" s="1"/>
  <c r="D139" i="20"/>
  <c r="BX132" i="20"/>
  <c r="BW132" i="20"/>
  <c r="BV132" i="20"/>
  <c r="BU132" i="20"/>
  <c r="BT132" i="20"/>
  <c r="BS132" i="20"/>
  <c r="BR132" i="20"/>
  <c r="BQ132" i="20"/>
  <c r="BP132" i="20"/>
  <c r="BO132" i="20"/>
  <c r="BN132" i="20"/>
  <c r="BM132" i="20"/>
  <c r="BL132" i="20"/>
  <c r="BK132" i="20"/>
  <c r="BJ132" i="20"/>
  <c r="BI132" i="20"/>
  <c r="BH132" i="20"/>
  <c r="BG132" i="20"/>
  <c r="BF132" i="20"/>
  <c r="BE132" i="20"/>
  <c r="BD132" i="20"/>
  <c r="BC132" i="20"/>
  <c r="BB132" i="20"/>
  <c r="BA132" i="20"/>
  <c r="AZ132" i="20"/>
  <c r="AY132" i="20"/>
  <c r="AX132" i="20"/>
  <c r="AW132" i="20"/>
  <c r="AV132" i="20"/>
  <c r="AU132" i="20"/>
  <c r="AT132" i="20"/>
  <c r="AS132" i="20"/>
  <c r="AR132" i="20"/>
  <c r="AQ132" i="20"/>
  <c r="AP132" i="20"/>
  <c r="AO132" i="20"/>
  <c r="AN132" i="20"/>
  <c r="AM132" i="20"/>
  <c r="AL132" i="20"/>
  <c r="AK132" i="20"/>
  <c r="AJ132" i="20"/>
  <c r="AI132" i="20"/>
  <c r="AH132" i="20"/>
  <c r="AG132" i="20"/>
  <c r="AF132" i="20"/>
  <c r="AE132" i="20"/>
  <c r="AD132" i="20"/>
  <c r="AC132" i="20"/>
  <c r="AB132" i="20"/>
  <c r="AA132" i="20"/>
  <c r="Z132" i="20"/>
  <c r="Y132" i="20"/>
  <c r="X132" i="20"/>
  <c r="W132" i="20"/>
  <c r="V132" i="20"/>
  <c r="U132" i="20"/>
  <c r="S132" i="20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F132" i="20"/>
  <c r="E132" i="20"/>
  <c r="BX130" i="20"/>
  <c r="BW130" i="20"/>
  <c r="BW135" i="20" s="1"/>
  <c r="BV130" i="20"/>
  <c r="BV135" i="20" s="1"/>
  <c r="BU130" i="20"/>
  <c r="BU135" i="20" s="1"/>
  <c r="BT130" i="20"/>
  <c r="BT135" i="20" s="1"/>
  <c r="BS130" i="20"/>
  <c r="BS135" i="20" s="1"/>
  <c r="BR130" i="20"/>
  <c r="BR135" i="20" s="1"/>
  <c r="BQ130" i="20"/>
  <c r="BQ135" i="20" s="1"/>
  <c r="BP130" i="20"/>
  <c r="BP135" i="20" s="1"/>
  <c r="BO130" i="20"/>
  <c r="BO135" i="20" s="1"/>
  <c r="BN130" i="20"/>
  <c r="BN135" i="20" s="1"/>
  <c r="BM130" i="20"/>
  <c r="BM135" i="20" s="1"/>
  <c r="BL130" i="20"/>
  <c r="BL135" i="20" s="1"/>
  <c r="BK130" i="20"/>
  <c r="BK135" i="20" s="1"/>
  <c r="BJ130" i="20"/>
  <c r="BJ135" i="20" s="1"/>
  <c r="BI130" i="20"/>
  <c r="BI135" i="20" s="1"/>
  <c r="BH130" i="20"/>
  <c r="BH135" i="20" s="1"/>
  <c r="BG130" i="20"/>
  <c r="BG135" i="20" s="1"/>
  <c r="BF130" i="20"/>
  <c r="BF135" i="20" s="1"/>
  <c r="BE130" i="20"/>
  <c r="BE135" i="20" s="1"/>
  <c r="BD130" i="20"/>
  <c r="BD135" i="20" s="1"/>
  <c r="BC130" i="20"/>
  <c r="BC135" i="20" s="1"/>
  <c r="BB130" i="20"/>
  <c r="BB135" i="20" s="1"/>
  <c r="BA130" i="20"/>
  <c r="BA135" i="20" s="1"/>
  <c r="AZ130" i="20"/>
  <c r="AZ135" i="20" s="1"/>
  <c r="AY130" i="20"/>
  <c r="AY135" i="20" s="1"/>
  <c r="AX130" i="20"/>
  <c r="AX135" i="20" s="1"/>
  <c r="AW130" i="20"/>
  <c r="AW135" i="20" s="1"/>
  <c r="AV130" i="20"/>
  <c r="AV135" i="20" s="1"/>
  <c r="AU130" i="20"/>
  <c r="AU135" i="20" s="1"/>
  <c r="AT130" i="20"/>
  <c r="AT135" i="20" s="1"/>
  <c r="AS130" i="20"/>
  <c r="AS135" i="20" s="1"/>
  <c r="AR130" i="20"/>
  <c r="AR135" i="20" s="1"/>
  <c r="AQ130" i="20"/>
  <c r="AQ135" i="20" s="1"/>
  <c r="AP130" i="20"/>
  <c r="AP135" i="20" s="1"/>
  <c r="AO130" i="20"/>
  <c r="AO135" i="20" s="1"/>
  <c r="AN130" i="20"/>
  <c r="AN135" i="20" s="1"/>
  <c r="AM130" i="20"/>
  <c r="AM135" i="20" s="1"/>
  <c r="AL130" i="20"/>
  <c r="AL135" i="20" s="1"/>
  <c r="AK130" i="20"/>
  <c r="AK135" i="20" s="1"/>
  <c r="AJ130" i="20"/>
  <c r="AJ135" i="20" s="1"/>
  <c r="AI130" i="20"/>
  <c r="AI135" i="20" s="1"/>
  <c r="AH130" i="20"/>
  <c r="AH135" i="20" s="1"/>
  <c r="AG130" i="20"/>
  <c r="AG135" i="20" s="1"/>
  <c r="AF130" i="20"/>
  <c r="AF135" i="20" s="1"/>
  <c r="AE130" i="20"/>
  <c r="AE135" i="20" s="1"/>
  <c r="AD130" i="20"/>
  <c r="AD135" i="20" s="1"/>
  <c r="AC130" i="20"/>
  <c r="AC135" i="20" s="1"/>
  <c r="AB130" i="20"/>
  <c r="AB135" i="20" s="1"/>
  <c r="AA130" i="20"/>
  <c r="AA135" i="20" s="1"/>
  <c r="Z130" i="20"/>
  <c r="Z135" i="20" s="1"/>
  <c r="Y130" i="20"/>
  <c r="Y135" i="20" s="1"/>
  <c r="X130" i="20"/>
  <c r="X135" i="20" s="1"/>
  <c r="W130" i="20"/>
  <c r="W135" i="20" s="1"/>
  <c r="V130" i="20"/>
  <c r="V135" i="20" s="1"/>
  <c r="U130" i="20"/>
  <c r="U135" i="20" s="1"/>
  <c r="S130" i="20"/>
  <c r="S135" i="20" s="1"/>
  <c r="R130" i="20"/>
  <c r="R135" i="20" s="1"/>
  <c r="Q130" i="20"/>
  <c r="Q135" i="20" s="1"/>
  <c r="P130" i="20"/>
  <c r="P135" i="20" s="1"/>
  <c r="O130" i="20"/>
  <c r="O135" i="20" s="1"/>
  <c r="N130" i="20"/>
  <c r="N135" i="20" s="1"/>
  <c r="M130" i="20"/>
  <c r="M135" i="20" s="1"/>
  <c r="L130" i="20"/>
  <c r="L135" i="20" s="1"/>
  <c r="K130" i="20"/>
  <c r="K135" i="20" s="1"/>
  <c r="J130" i="20"/>
  <c r="J135" i="20" s="1"/>
  <c r="I130" i="20"/>
  <c r="I135" i="20" s="1"/>
  <c r="H130" i="20"/>
  <c r="H135" i="20" s="1"/>
  <c r="G130" i="20"/>
  <c r="G135" i="20" s="1"/>
  <c r="F130" i="20"/>
  <c r="F135" i="20" s="1"/>
  <c r="E130" i="20"/>
  <c r="BX114" i="20"/>
  <c r="BW114" i="20"/>
  <c r="BV114" i="20"/>
  <c r="BU114" i="20"/>
  <c r="BT114" i="20"/>
  <c r="BS114" i="20"/>
  <c r="BR114" i="20"/>
  <c r="BQ114" i="20"/>
  <c r="BP114" i="20"/>
  <c r="BO114" i="20"/>
  <c r="BN114" i="20"/>
  <c r="BM114" i="20"/>
  <c r="BL114" i="20"/>
  <c r="BK114" i="20"/>
  <c r="BJ114" i="20"/>
  <c r="BI114" i="20"/>
  <c r="BH114" i="20"/>
  <c r="BG114" i="20"/>
  <c r="BF114" i="20"/>
  <c r="BE114" i="20"/>
  <c r="BD114" i="20"/>
  <c r="BC114" i="20"/>
  <c r="BB114" i="20"/>
  <c r="BA114" i="20"/>
  <c r="AZ114" i="20"/>
  <c r="AY114" i="20"/>
  <c r="AX114" i="20"/>
  <c r="AW114" i="20"/>
  <c r="AV114" i="20"/>
  <c r="AU114" i="20"/>
  <c r="AT114" i="20"/>
  <c r="AS114" i="20"/>
  <c r="AR114" i="20"/>
  <c r="AQ114" i="20"/>
  <c r="AP114" i="20"/>
  <c r="AO114" i="20"/>
  <c r="AN114" i="20"/>
  <c r="AM114" i="20"/>
  <c r="AL114" i="20"/>
  <c r="AK114" i="20"/>
  <c r="AJ114" i="20"/>
  <c r="AI114" i="20"/>
  <c r="AH114" i="20"/>
  <c r="AG114" i="20"/>
  <c r="AF114" i="20"/>
  <c r="AE114" i="20"/>
  <c r="AD114" i="20"/>
  <c r="AC114" i="20"/>
  <c r="AB114" i="20"/>
  <c r="AA114" i="20"/>
  <c r="Z114" i="20"/>
  <c r="Y114" i="20"/>
  <c r="X114" i="20"/>
  <c r="W114" i="20"/>
  <c r="V114" i="20"/>
  <c r="U114" i="20"/>
  <c r="S114" i="20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F114" i="20"/>
  <c r="E114" i="20"/>
  <c r="H113" i="20"/>
  <c r="D121" i="20" s="1"/>
  <c r="BX112" i="20"/>
  <c r="BW112" i="20"/>
  <c r="BW118" i="20" s="1"/>
  <c r="BV112" i="20"/>
  <c r="BV118" i="20" s="1"/>
  <c r="BU112" i="20"/>
  <c r="BU118" i="20" s="1"/>
  <c r="BT112" i="20"/>
  <c r="BT118" i="20" s="1"/>
  <c r="BS112" i="20"/>
  <c r="BS118" i="20" s="1"/>
  <c r="BR112" i="20"/>
  <c r="BR118" i="20" s="1"/>
  <c r="BQ112" i="20"/>
  <c r="BQ118" i="20" s="1"/>
  <c r="BP112" i="20"/>
  <c r="BP118" i="20" s="1"/>
  <c r="BO112" i="20"/>
  <c r="BO118" i="20" s="1"/>
  <c r="BN112" i="20"/>
  <c r="BN118" i="20" s="1"/>
  <c r="BM112" i="20"/>
  <c r="BM118" i="20" s="1"/>
  <c r="BL112" i="20"/>
  <c r="BL118" i="20" s="1"/>
  <c r="BK112" i="20"/>
  <c r="BK118" i="20" s="1"/>
  <c r="BJ112" i="20"/>
  <c r="BJ118" i="20" s="1"/>
  <c r="BI112" i="20"/>
  <c r="BI118" i="20" s="1"/>
  <c r="BH112" i="20"/>
  <c r="BH118" i="20" s="1"/>
  <c r="BG112" i="20"/>
  <c r="BG118" i="20" s="1"/>
  <c r="BF112" i="20"/>
  <c r="BF118" i="20" s="1"/>
  <c r="BE112" i="20"/>
  <c r="BE118" i="20" s="1"/>
  <c r="BD112" i="20"/>
  <c r="BD118" i="20" s="1"/>
  <c r="BC112" i="20"/>
  <c r="BC118" i="20" s="1"/>
  <c r="BB112" i="20"/>
  <c r="BB118" i="20" s="1"/>
  <c r="BA112" i="20"/>
  <c r="BA118" i="20" s="1"/>
  <c r="AZ112" i="20"/>
  <c r="AZ118" i="20" s="1"/>
  <c r="AY112" i="20"/>
  <c r="AY118" i="20" s="1"/>
  <c r="AX112" i="20"/>
  <c r="AX118" i="20" s="1"/>
  <c r="AW112" i="20"/>
  <c r="AW118" i="20" s="1"/>
  <c r="AV112" i="20"/>
  <c r="AV118" i="20" s="1"/>
  <c r="AU112" i="20"/>
  <c r="AU118" i="20" s="1"/>
  <c r="AT112" i="20"/>
  <c r="AT118" i="20" s="1"/>
  <c r="AS112" i="20"/>
  <c r="AS118" i="20" s="1"/>
  <c r="AR112" i="20"/>
  <c r="AR118" i="20" s="1"/>
  <c r="AQ112" i="20"/>
  <c r="AQ118" i="20" s="1"/>
  <c r="AP112" i="20"/>
  <c r="AP118" i="20" s="1"/>
  <c r="AO112" i="20"/>
  <c r="AO118" i="20" s="1"/>
  <c r="AN112" i="20"/>
  <c r="AN118" i="20" s="1"/>
  <c r="AM112" i="20"/>
  <c r="AM118" i="20" s="1"/>
  <c r="AL112" i="20"/>
  <c r="AL118" i="20" s="1"/>
  <c r="AK112" i="20"/>
  <c r="AK118" i="20" s="1"/>
  <c r="AJ112" i="20"/>
  <c r="AJ118" i="20" s="1"/>
  <c r="AI112" i="20"/>
  <c r="AI118" i="20" s="1"/>
  <c r="AH112" i="20"/>
  <c r="AH118" i="20" s="1"/>
  <c r="AG112" i="20"/>
  <c r="AG118" i="20" s="1"/>
  <c r="AF112" i="20"/>
  <c r="AF118" i="20" s="1"/>
  <c r="AE112" i="20"/>
  <c r="AE118" i="20" s="1"/>
  <c r="AD112" i="20"/>
  <c r="AD118" i="20" s="1"/>
  <c r="AC112" i="20"/>
  <c r="AC118" i="20" s="1"/>
  <c r="AB112" i="20"/>
  <c r="AB118" i="20" s="1"/>
  <c r="AA112" i="20"/>
  <c r="AA118" i="20" s="1"/>
  <c r="Z112" i="20"/>
  <c r="Z118" i="20" s="1"/>
  <c r="Y112" i="20"/>
  <c r="Y118" i="20" s="1"/>
  <c r="X112" i="20"/>
  <c r="X118" i="20" s="1"/>
  <c r="W112" i="20"/>
  <c r="W118" i="20" s="1"/>
  <c r="V112" i="20"/>
  <c r="V118" i="20" s="1"/>
  <c r="U112" i="20"/>
  <c r="U118" i="20" s="1"/>
  <c r="S112" i="20"/>
  <c r="S118" i="20" s="1"/>
  <c r="R112" i="20"/>
  <c r="R118" i="20" s="1"/>
  <c r="Q112" i="20"/>
  <c r="Q118" i="20" s="1"/>
  <c r="P112" i="20"/>
  <c r="P118" i="20" s="1"/>
  <c r="O112" i="20"/>
  <c r="O118" i="20" s="1"/>
  <c r="N112" i="20"/>
  <c r="N118" i="20" s="1"/>
  <c r="M112" i="20"/>
  <c r="M118" i="20" s="1"/>
  <c r="L112" i="20"/>
  <c r="L118" i="20" s="1"/>
  <c r="K112" i="20"/>
  <c r="K118" i="20" s="1"/>
  <c r="J112" i="20"/>
  <c r="J118" i="20" s="1"/>
  <c r="I112" i="20"/>
  <c r="I118" i="20" s="1"/>
  <c r="G112" i="20"/>
  <c r="G118" i="20" s="1"/>
  <c r="F112" i="20"/>
  <c r="F118" i="20" s="1"/>
  <c r="E112" i="20"/>
  <c r="E118" i="20" s="1"/>
  <c r="BW104" i="20"/>
  <c r="BV104" i="20"/>
  <c r="BU104" i="20"/>
  <c r="BT104" i="20"/>
  <c r="BS104" i="20"/>
  <c r="BR104" i="20"/>
  <c r="BQ104" i="20"/>
  <c r="BP104" i="20"/>
  <c r="BO104" i="20"/>
  <c r="BN104" i="20"/>
  <c r="BM104" i="20"/>
  <c r="BL104" i="20"/>
  <c r="BK104" i="20"/>
  <c r="BJ104" i="20"/>
  <c r="BI104" i="20"/>
  <c r="BH104" i="20"/>
  <c r="BG104" i="20"/>
  <c r="BF104" i="20"/>
  <c r="BE104" i="20"/>
  <c r="BD104" i="20"/>
  <c r="BC104" i="20"/>
  <c r="BB104" i="20"/>
  <c r="BA104" i="20"/>
  <c r="AZ104" i="20"/>
  <c r="AY104" i="20"/>
  <c r="AX104" i="20"/>
  <c r="AW104" i="20"/>
  <c r="AV104" i="20"/>
  <c r="AU104" i="20"/>
  <c r="AT104" i="20"/>
  <c r="AS104" i="20"/>
  <c r="AR104" i="20"/>
  <c r="AQ104" i="20"/>
  <c r="AP104" i="20"/>
  <c r="AO104" i="20"/>
  <c r="AN104" i="20"/>
  <c r="AM104" i="20"/>
  <c r="AL104" i="20"/>
  <c r="AK104" i="20"/>
  <c r="AJ104" i="20"/>
  <c r="AI104" i="20"/>
  <c r="AH104" i="20"/>
  <c r="AG104" i="20"/>
  <c r="AF104" i="20"/>
  <c r="AE104" i="20"/>
  <c r="AD104" i="20"/>
  <c r="AC104" i="20"/>
  <c r="AB104" i="20"/>
  <c r="AA104" i="20"/>
  <c r="Z104" i="20"/>
  <c r="Y104" i="20"/>
  <c r="X104" i="20"/>
  <c r="W104" i="20"/>
  <c r="V104" i="20"/>
  <c r="U104" i="20"/>
  <c r="S104" i="20"/>
  <c r="R104" i="20"/>
  <c r="Q104" i="20"/>
  <c r="P104" i="20"/>
  <c r="O104" i="20"/>
  <c r="N104" i="20"/>
  <c r="M104" i="20"/>
  <c r="L104" i="20"/>
  <c r="K104" i="20"/>
  <c r="J104" i="20"/>
  <c r="I104" i="20"/>
  <c r="G104" i="20"/>
  <c r="F104" i="20"/>
  <c r="E104" i="20"/>
  <c r="G100" i="20"/>
  <c r="BY96" i="20"/>
  <c r="BY95" i="20"/>
  <c r="BY94" i="20"/>
  <c r="BY93" i="20"/>
  <c r="BX90" i="20"/>
  <c r="BW90" i="20"/>
  <c r="BV90" i="20"/>
  <c r="BU90" i="20"/>
  <c r="BT90" i="20"/>
  <c r="BS90" i="20"/>
  <c r="BR90" i="20"/>
  <c r="BQ90" i="20"/>
  <c r="BP90" i="20"/>
  <c r="BO90" i="20"/>
  <c r="BN90" i="20"/>
  <c r="BM90" i="20"/>
  <c r="BL90" i="20"/>
  <c r="BK90" i="20"/>
  <c r="BJ90" i="20"/>
  <c r="BI90" i="20"/>
  <c r="BH90" i="20"/>
  <c r="BG90" i="20"/>
  <c r="BF90" i="20"/>
  <c r="BE90" i="20"/>
  <c r="BD90" i="20"/>
  <c r="BC90" i="20"/>
  <c r="BB90" i="20"/>
  <c r="BA90" i="20"/>
  <c r="AZ90" i="20"/>
  <c r="AY90" i="20"/>
  <c r="AX90" i="20"/>
  <c r="AW90" i="20"/>
  <c r="AV90" i="20"/>
  <c r="AU90" i="20"/>
  <c r="AT90" i="20"/>
  <c r="AS90" i="20"/>
  <c r="AR90" i="20"/>
  <c r="AQ90" i="20"/>
  <c r="AP90" i="20"/>
  <c r="AO90" i="20"/>
  <c r="AN90" i="20"/>
  <c r="AM90" i="20"/>
  <c r="AL90" i="20"/>
  <c r="AK90" i="20"/>
  <c r="AJ90" i="20"/>
  <c r="AI90" i="20"/>
  <c r="AH90" i="20"/>
  <c r="AG90" i="20"/>
  <c r="AF90" i="20"/>
  <c r="AE90" i="20"/>
  <c r="AD90" i="20"/>
  <c r="AC90" i="20"/>
  <c r="AB90" i="20"/>
  <c r="AA90" i="20"/>
  <c r="Z90" i="20"/>
  <c r="Y90" i="20"/>
  <c r="X90" i="20"/>
  <c r="W90" i="20"/>
  <c r="V90" i="20"/>
  <c r="U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BY89" i="20"/>
  <c r="BY88" i="20"/>
  <c r="BY87" i="20"/>
  <c r="BX87" i="20"/>
  <c r="BW87" i="20"/>
  <c r="BV87" i="20"/>
  <c r="BU87" i="20"/>
  <c r="BT87" i="20"/>
  <c r="BS87" i="20"/>
  <c r="BR87" i="20"/>
  <c r="BQ87" i="20"/>
  <c r="BP87" i="20"/>
  <c r="BO87" i="20"/>
  <c r="BN87" i="20"/>
  <c r="BM87" i="20"/>
  <c r="BL87" i="20"/>
  <c r="BK87" i="20"/>
  <c r="BJ87" i="20"/>
  <c r="BI87" i="20"/>
  <c r="BH87" i="20"/>
  <c r="BG87" i="20"/>
  <c r="BF87" i="20"/>
  <c r="BE87" i="20"/>
  <c r="BD87" i="20"/>
  <c r="BC87" i="20"/>
  <c r="BB87" i="20"/>
  <c r="BA87" i="20"/>
  <c r="AZ87" i="20"/>
  <c r="AY87" i="20"/>
  <c r="AX87" i="20"/>
  <c r="AW87" i="20"/>
  <c r="AV87" i="20"/>
  <c r="AU87" i="20"/>
  <c r="AT87" i="20"/>
  <c r="AS87" i="20"/>
  <c r="AR87" i="20"/>
  <c r="AQ87" i="20"/>
  <c r="AP87" i="20"/>
  <c r="AO87" i="20"/>
  <c r="AN87" i="20"/>
  <c r="AM87" i="20"/>
  <c r="AL87" i="20"/>
  <c r="AK87" i="20"/>
  <c r="AJ87" i="20"/>
  <c r="AI87" i="20"/>
  <c r="AH87" i="20"/>
  <c r="AG87" i="20"/>
  <c r="AF87" i="20"/>
  <c r="AE87" i="20"/>
  <c r="AD87" i="20"/>
  <c r="AC87" i="20"/>
  <c r="AB87" i="20"/>
  <c r="AA87" i="20"/>
  <c r="Z87" i="20"/>
  <c r="Y87" i="20"/>
  <c r="X87" i="20"/>
  <c r="W87" i="20"/>
  <c r="V87" i="20"/>
  <c r="U87" i="20"/>
  <c r="T87" i="20"/>
  <c r="S87" i="20"/>
  <c r="R87" i="20"/>
  <c r="Q87" i="20"/>
  <c r="P87" i="20"/>
  <c r="O87" i="20"/>
  <c r="N87" i="20"/>
  <c r="M87" i="20"/>
  <c r="L87" i="20"/>
  <c r="K87" i="20"/>
  <c r="J87" i="20"/>
  <c r="I87" i="20"/>
  <c r="H87" i="20"/>
  <c r="G87" i="20"/>
  <c r="F87" i="20"/>
  <c r="E87" i="20"/>
  <c r="BY86" i="20"/>
  <c r="BY85" i="20"/>
  <c r="BY84" i="20"/>
  <c r="BY83" i="20"/>
  <c r="BY81" i="20"/>
  <c r="BY80" i="20"/>
  <c r="BY79" i="20"/>
  <c r="BY78" i="20"/>
  <c r="BY77" i="20"/>
  <c r="BY76" i="20"/>
  <c r="BY75" i="20"/>
  <c r="BY74" i="20"/>
  <c r="BY73" i="20"/>
  <c r="BY72" i="20"/>
  <c r="BY71" i="20"/>
  <c r="BY70" i="20"/>
  <c r="BY69" i="20"/>
  <c r="BY68" i="20"/>
  <c r="BY67" i="20"/>
  <c r="BY66" i="20"/>
  <c r="BY65" i="20"/>
  <c r="BY64" i="20"/>
  <c r="BX63" i="20"/>
  <c r="BW63" i="20"/>
  <c r="BV63" i="20"/>
  <c r="BU63" i="20"/>
  <c r="BT63" i="20"/>
  <c r="BS63" i="20"/>
  <c r="BR63" i="20"/>
  <c r="BQ63" i="20"/>
  <c r="BP63" i="20"/>
  <c r="BO63" i="20"/>
  <c r="BN63" i="20"/>
  <c r="BM63" i="20"/>
  <c r="BL63" i="20"/>
  <c r="BK63" i="20"/>
  <c r="BJ63" i="20"/>
  <c r="BI63" i="20"/>
  <c r="BH63" i="20"/>
  <c r="BG63" i="20"/>
  <c r="BF63" i="20"/>
  <c r="BE63" i="20"/>
  <c r="BD63" i="20"/>
  <c r="BC63" i="20"/>
  <c r="BB63" i="20"/>
  <c r="BA63" i="20"/>
  <c r="AZ63" i="20"/>
  <c r="AY63" i="20"/>
  <c r="AX63" i="20"/>
  <c r="AW63" i="20"/>
  <c r="AV63" i="20"/>
  <c r="AU63" i="20"/>
  <c r="AT63" i="20"/>
  <c r="AS63" i="20"/>
  <c r="AR63" i="20"/>
  <c r="AQ63" i="20"/>
  <c r="AP63" i="20"/>
  <c r="AO63" i="20"/>
  <c r="AN63" i="20"/>
  <c r="AM63" i="20"/>
  <c r="AL63" i="20"/>
  <c r="AK63" i="20"/>
  <c r="AJ63" i="20"/>
  <c r="AI63" i="20"/>
  <c r="AH63" i="20"/>
  <c r="AG63" i="20"/>
  <c r="AF63" i="20"/>
  <c r="AE63" i="20"/>
  <c r="AD63" i="20"/>
  <c r="AC63" i="20"/>
  <c r="AB63" i="20"/>
  <c r="AA63" i="20"/>
  <c r="Z63" i="20"/>
  <c r="Y63" i="20"/>
  <c r="X63" i="20"/>
  <c r="W63" i="20"/>
  <c r="V63" i="20"/>
  <c r="U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BY61" i="20"/>
  <c r="D61" i="20"/>
  <c r="BY60" i="20"/>
  <c r="BY59" i="20"/>
  <c r="BY58" i="20"/>
  <c r="BY56" i="20"/>
  <c r="BX55" i="20"/>
  <c r="BW55" i="20"/>
  <c r="BV55" i="20"/>
  <c r="BU55" i="20"/>
  <c r="BT55" i="20"/>
  <c r="BS55" i="20"/>
  <c r="BR55" i="20"/>
  <c r="BQ55" i="20"/>
  <c r="BP55" i="20"/>
  <c r="BO55" i="20"/>
  <c r="BN55" i="20"/>
  <c r="BM55" i="20"/>
  <c r="BL55" i="20"/>
  <c r="BK55" i="20"/>
  <c r="BJ55" i="20"/>
  <c r="BI55" i="20"/>
  <c r="BH55" i="20"/>
  <c r="BG55" i="20"/>
  <c r="BF55" i="20"/>
  <c r="BE55" i="20"/>
  <c r="BD55" i="20"/>
  <c r="BC55" i="20"/>
  <c r="BB55" i="20"/>
  <c r="BA55" i="20"/>
  <c r="AZ55" i="20"/>
  <c r="AY55" i="20"/>
  <c r="AX55" i="20"/>
  <c r="AW55" i="20"/>
  <c r="AV55" i="20"/>
  <c r="AU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I54" i="20"/>
  <c r="BY54" i="20" s="1"/>
  <c r="I53" i="20"/>
  <c r="H53" i="20"/>
  <c r="BY52" i="20"/>
  <c r="BY51" i="20"/>
  <c r="K50" i="20"/>
  <c r="BY50" i="20" s="1"/>
  <c r="BX49" i="20"/>
  <c r="BW49" i="20"/>
  <c r="BV49" i="20"/>
  <c r="BU49" i="20"/>
  <c r="BT49" i="20"/>
  <c r="BS49" i="20"/>
  <c r="BR49" i="20"/>
  <c r="BQ49" i="20"/>
  <c r="BP49" i="20"/>
  <c r="BO49" i="20"/>
  <c r="BN49" i="20"/>
  <c r="BM49" i="20"/>
  <c r="BL49" i="20"/>
  <c r="BK49" i="20"/>
  <c r="BJ49" i="20"/>
  <c r="BI49" i="20"/>
  <c r="BH49" i="20"/>
  <c r="BG49" i="20"/>
  <c r="BF49" i="20"/>
  <c r="BE49" i="20"/>
  <c r="BD49" i="20"/>
  <c r="BC49" i="20"/>
  <c r="BB49" i="20"/>
  <c r="BA49" i="20"/>
  <c r="AZ49" i="20"/>
  <c r="AY49" i="20"/>
  <c r="AX49" i="20"/>
  <c r="AW49" i="20"/>
  <c r="AV49" i="20"/>
  <c r="AU49" i="20"/>
  <c r="AT49" i="20"/>
  <c r="AS49" i="20"/>
  <c r="AR49" i="20"/>
  <c r="AQ49" i="20"/>
  <c r="AP49" i="20"/>
  <c r="AO49" i="20"/>
  <c r="AN49" i="20"/>
  <c r="AM49" i="20"/>
  <c r="AL49" i="20"/>
  <c r="AK49" i="20"/>
  <c r="AJ49" i="20"/>
  <c r="AI49" i="20"/>
  <c r="AH49" i="20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I49" i="20"/>
  <c r="H49" i="20"/>
  <c r="G49" i="20"/>
  <c r="F49" i="20"/>
  <c r="E49" i="20"/>
  <c r="O48" i="20"/>
  <c r="J48" i="20"/>
  <c r="BY48" i="20" s="1"/>
  <c r="BY47" i="20"/>
  <c r="I46" i="20"/>
  <c r="H46" i="20"/>
  <c r="H45" i="20"/>
  <c r="H44" i="20"/>
  <c r="BY44" i="20" s="1"/>
  <c r="I43" i="20"/>
  <c r="H43" i="20"/>
  <c r="BY43" i="20" s="1"/>
  <c r="I42" i="20"/>
  <c r="H42" i="20"/>
  <c r="BY41" i="20"/>
  <c r="BY40" i="20"/>
  <c r="BY39" i="20"/>
  <c r="P38" i="20"/>
  <c r="O38" i="20"/>
  <c r="N38" i="20"/>
  <c r="M38" i="20"/>
  <c r="L38" i="20"/>
  <c r="K38" i="20"/>
  <c r="J38" i="20"/>
  <c r="I38" i="20"/>
  <c r="BY38" i="20" s="1"/>
  <c r="BX37" i="20"/>
  <c r="BW37" i="20"/>
  <c r="BV37" i="20"/>
  <c r="BU37" i="20"/>
  <c r="BT37" i="20"/>
  <c r="BS37" i="20"/>
  <c r="BR37" i="20"/>
  <c r="BQ37" i="20"/>
  <c r="BP37" i="20"/>
  <c r="BO37" i="20"/>
  <c r="BN37" i="20"/>
  <c r="BM37" i="20"/>
  <c r="BL37" i="20"/>
  <c r="BK37" i="20"/>
  <c r="BJ37" i="20"/>
  <c r="BI37" i="20"/>
  <c r="BH37" i="20"/>
  <c r="BG37" i="20"/>
  <c r="BF37" i="20"/>
  <c r="BE37" i="20"/>
  <c r="BD37" i="20"/>
  <c r="BC37" i="20"/>
  <c r="BB37" i="20"/>
  <c r="BA37" i="20"/>
  <c r="AZ37" i="20"/>
  <c r="AY37" i="20"/>
  <c r="AX37" i="20"/>
  <c r="AW37" i="20"/>
  <c r="AV37" i="20"/>
  <c r="AU37" i="20"/>
  <c r="AT37" i="20"/>
  <c r="AS37" i="20"/>
  <c r="AR37" i="20"/>
  <c r="AQ37" i="20"/>
  <c r="AP37" i="20"/>
  <c r="AO37" i="20"/>
  <c r="AN37" i="20"/>
  <c r="AM37" i="20"/>
  <c r="AL37" i="20"/>
  <c r="AK37" i="20"/>
  <c r="AJ37" i="20"/>
  <c r="AI37" i="20"/>
  <c r="AH37" i="20"/>
  <c r="AG37" i="20"/>
  <c r="AF37" i="20"/>
  <c r="AE37" i="20"/>
  <c r="AD37" i="20"/>
  <c r="AC37" i="20"/>
  <c r="AB37" i="20"/>
  <c r="AA37" i="20"/>
  <c r="Z37" i="20"/>
  <c r="Y37" i="20"/>
  <c r="X37" i="20"/>
  <c r="W37" i="20"/>
  <c r="V37" i="20"/>
  <c r="U37" i="20"/>
  <c r="I37" i="20"/>
  <c r="H37" i="20"/>
  <c r="G37" i="20"/>
  <c r="F37" i="20"/>
  <c r="E37" i="20"/>
  <c r="BY36" i="20"/>
  <c r="BY35" i="20"/>
  <c r="BY34" i="20"/>
  <c r="BX34" i="20"/>
  <c r="BW34" i="20"/>
  <c r="BV34" i="20"/>
  <c r="BU34" i="20"/>
  <c r="BT34" i="20"/>
  <c r="BS34" i="20"/>
  <c r="BR34" i="20"/>
  <c r="BQ34" i="20"/>
  <c r="BP34" i="20"/>
  <c r="BO34" i="20"/>
  <c r="BN34" i="20"/>
  <c r="BM34" i="20"/>
  <c r="BL34" i="20"/>
  <c r="BK34" i="20"/>
  <c r="BJ34" i="20"/>
  <c r="BI34" i="20"/>
  <c r="BH34" i="20"/>
  <c r="BG34" i="20"/>
  <c r="BF34" i="20"/>
  <c r="BE34" i="20"/>
  <c r="BD34" i="20"/>
  <c r="BC34" i="20"/>
  <c r="BB34" i="20"/>
  <c r="BA34" i="20"/>
  <c r="AZ34" i="20"/>
  <c r="AY34" i="20"/>
  <c r="AX34" i="20"/>
  <c r="AW34" i="20"/>
  <c r="AV34" i="20"/>
  <c r="AU34" i="20"/>
  <c r="AT34" i="20"/>
  <c r="AS34" i="20"/>
  <c r="AR34" i="20"/>
  <c r="AQ34" i="20"/>
  <c r="AP34" i="20"/>
  <c r="AO34" i="20"/>
  <c r="AN34" i="20"/>
  <c r="AM34" i="20"/>
  <c r="AL34" i="20"/>
  <c r="AK34" i="20"/>
  <c r="AJ34" i="20"/>
  <c r="AI34" i="20"/>
  <c r="AH34" i="20"/>
  <c r="AG34" i="20"/>
  <c r="AF34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BY33" i="20"/>
  <c r="L32" i="20"/>
  <c r="I32" i="20"/>
  <c r="BY32" i="20" s="1"/>
  <c r="H31" i="20"/>
  <c r="BY31" i="20" s="1"/>
  <c r="BY30" i="20"/>
  <c r="BY29" i="20"/>
  <c r="BY28" i="20"/>
  <c r="P27" i="20"/>
  <c r="O27" i="20"/>
  <c r="N27" i="20"/>
  <c r="M27" i="20"/>
  <c r="L27" i="20"/>
  <c r="K27" i="20"/>
  <c r="BY27" i="20" s="1"/>
  <c r="BY26" i="20"/>
  <c r="BX26" i="20"/>
  <c r="BW26" i="20"/>
  <c r="BV26" i="20"/>
  <c r="BU26" i="20"/>
  <c r="BT26" i="20"/>
  <c r="BS26" i="20"/>
  <c r="BR26" i="20"/>
  <c r="BQ26" i="20"/>
  <c r="BP26" i="20"/>
  <c r="BO26" i="20"/>
  <c r="BN26" i="20"/>
  <c r="BM26" i="20"/>
  <c r="BL26" i="20"/>
  <c r="BK26" i="20"/>
  <c r="BJ26" i="20"/>
  <c r="BI26" i="20"/>
  <c r="BH26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K25" i="20"/>
  <c r="BY25" i="20" s="1"/>
  <c r="K24" i="20"/>
  <c r="I24" i="20"/>
  <c r="BY24" i="20" s="1"/>
  <c r="CE23" i="20"/>
  <c r="BY23" i="20"/>
  <c r="BX23" i="20"/>
  <c r="BW23" i="20"/>
  <c r="BV23" i="20"/>
  <c r="BU23" i="20"/>
  <c r="BT23" i="20"/>
  <c r="BS23" i="20"/>
  <c r="BR23" i="20"/>
  <c r="BQ23" i="20"/>
  <c r="BP23" i="20"/>
  <c r="BO23" i="20"/>
  <c r="BN23" i="20"/>
  <c r="BM23" i="20"/>
  <c r="BL23" i="20"/>
  <c r="BK23" i="20"/>
  <c r="BJ23" i="20"/>
  <c r="BI23" i="20"/>
  <c r="BH23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BY22" i="20"/>
  <c r="BY21" i="20"/>
  <c r="BY20" i="20"/>
  <c r="BY19" i="20"/>
  <c r="J18" i="20"/>
  <c r="H18" i="20"/>
  <c r="BY18" i="20" s="1"/>
  <c r="BY17" i="20"/>
  <c r="BX17" i="20"/>
  <c r="BX98" i="20" s="1"/>
  <c r="BW17" i="20"/>
  <c r="BW98" i="20" s="1"/>
  <c r="BV17" i="20"/>
  <c r="BV98" i="20" s="1"/>
  <c r="BU17" i="20"/>
  <c r="BU98" i="20" s="1"/>
  <c r="BT17" i="20"/>
  <c r="BT98" i="20" s="1"/>
  <c r="BS17" i="20"/>
  <c r="BS98" i="20" s="1"/>
  <c r="BR17" i="20"/>
  <c r="BR98" i="20" s="1"/>
  <c r="BQ17" i="20"/>
  <c r="BQ98" i="20" s="1"/>
  <c r="BP17" i="20"/>
  <c r="BP98" i="20" s="1"/>
  <c r="BO17" i="20"/>
  <c r="BO98" i="20" s="1"/>
  <c r="BN17" i="20"/>
  <c r="BN98" i="20" s="1"/>
  <c r="BM17" i="20"/>
  <c r="BM98" i="20" s="1"/>
  <c r="BL17" i="20"/>
  <c r="BL98" i="20" s="1"/>
  <c r="BK17" i="20"/>
  <c r="BK98" i="20" s="1"/>
  <c r="BJ17" i="20"/>
  <c r="BJ98" i="20" s="1"/>
  <c r="BI17" i="20"/>
  <c r="BI98" i="20" s="1"/>
  <c r="BH17" i="20"/>
  <c r="BH98" i="20" s="1"/>
  <c r="BG17" i="20"/>
  <c r="BG98" i="20" s="1"/>
  <c r="BF17" i="20"/>
  <c r="BF98" i="20" s="1"/>
  <c r="BE17" i="20"/>
  <c r="BE98" i="20" s="1"/>
  <c r="BD17" i="20"/>
  <c r="BD98" i="20" s="1"/>
  <c r="BC17" i="20"/>
  <c r="BC98" i="20" s="1"/>
  <c r="BB17" i="20"/>
  <c r="BB98" i="20" s="1"/>
  <c r="BA17" i="20"/>
  <c r="BA98" i="20" s="1"/>
  <c r="AZ17" i="20"/>
  <c r="AZ98" i="20" s="1"/>
  <c r="AY17" i="20"/>
  <c r="AY98" i="20" s="1"/>
  <c r="AX17" i="20"/>
  <c r="AX98" i="20" s="1"/>
  <c r="AW17" i="20"/>
  <c r="AW98" i="20" s="1"/>
  <c r="AV17" i="20"/>
  <c r="AV98" i="20" s="1"/>
  <c r="AU17" i="20"/>
  <c r="AU98" i="20" s="1"/>
  <c r="AT17" i="20"/>
  <c r="AT98" i="20" s="1"/>
  <c r="AS17" i="20"/>
  <c r="AS98" i="20" s="1"/>
  <c r="AR17" i="20"/>
  <c r="AR98" i="20" s="1"/>
  <c r="AQ17" i="20"/>
  <c r="AQ98" i="20" s="1"/>
  <c r="AP17" i="20"/>
  <c r="AP98" i="20" s="1"/>
  <c r="AO17" i="20"/>
  <c r="AO98" i="20" s="1"/>
  <c r="AN17" i="20"/>
  <c r="AN98" i="20" s="1"/>
  <c r="AM17" i="20"/>
  <c r="AM98" i="20" s="1"/>
  <c r="AL17" i="20"/>
  <c r="AL98" i="20" s="1"/>
  <c r="AK17" i="20"/>
  <c r="AK98" i="20" s="1"/>
  <c r="AJ17" i="20"/>
  <c r="AJ98" i="20" s="1"/>
  <c r="AI17" i="20"/>
  <c r="AI98" i="20" s="1"/>
  <c r="AH17" i="20"/>
  <c r="AH98" i="20" s="1"/>
  <c r="AG17" i="20"/>
  <c r="AG98" i="20" s="1"/>
  <c r="AF17" i="20"/>
  <c r="AF98" i="20" s="1"/>
  <c r="AE17" i="20"/>
  <c r="AE98" i="20" s="1"/>
  <c r="AD17" i="20"/>
  <c r="AD98" i="20" s="1"/>
  <c r="AC17" i="20"/>
  <c r="AC98" i="20" s="1"/>
  <c r="AB17" i="20"/>
  <c r="AB98" i="20" s="1"/>
  <c r="AA17" i="20"/>
  <c r="AA98" i="20" s="1"/>
  <c r="Z17" i="20"/>
  <c r="Z98" i="20" s="1"/>
  <c r="Y17" i="20"/>
  <c r="Y98" i="20" s="1"/>
  <c r="X17" i="20"/>
  <c r="X98" i="20" s="1"/>
  <c r="W17" i="20"/>
  <c r="W98" i="20" s="1"/>
  <c r="V17" i="20"/>
  <c r="V98" i="20" s="1"/>
  <c r="U17" i="20"/>
  <c r="U98" i="20" s="1"/>
  <c r="T17" i="20"/>
  <c r="S17" i="20"/>
  <c r="R17" i="20"/>
  <c r="Q17" i="20"/>
  <c r="P17" i="20"/>
  <c r="O17" i="20"/>
  <c r="N17" i="20"/>
  <c r="M17" i="20"/>
  <c r="L17" i="20"/>
  <c r="K17" i="20"/>
  <c r="J17" i="20"/>
  <c r="I17" i="20"/>
  <c r="I98" i="20" s="1"/>
  <c r="H17" i="20"/>
  <c r="H98" i="20" s="1"/>
  <c r="G17" i="20"/>
  <c r="G98" i="20" s="1"/>
  <c r="F17" i="20"/>
  <c r="F98" i="20" s="1"/>
  <c r="E17" i="20"/>
  <c r="E98" i="20" s="1"/>
  <c r="BX16" i="20"/>
  <c r="BX99" i="20" s="1"/>
  <c r="BW16" i="20"/>
  <c r="BW99" i="20" s="1"/>
  <c r="BV16" i="20"/>
  <c r="BV99" i="20" s="1"/>
  <c r="BU16" i="20"/>
  <c r="BU99" i="20" s="1"/>
  <c r="BT16" i="20"/>
  <c r="BT99" i="20" s="1"/>
  <c r="BS16" i="20"/>
  <c r="BS99" i="20" s="1"/>
  <c r="BR16" i="20"/>
  <c r="BR99" i="20" s="1"/>
  <c r="BQ16" i="20"/>
  <c r="BQ99" i="20" s="1"/>
  <c r="BP16" i="20"/>
  <c r="BP99" i="20" s="1"/>
  <c r="BO16" i="20"/>
  <c r="BO99" i="20" s="1"/>
  <c r="BN16" i="20"/>
  <c r="BN99" i="20" s="1"/>
  <c r="BM16" i="20"/>
  <c r="BM99" i="20" s="1"/>
  <c r="BL16" i="20"/>
  <c r="BL99" i="20" s="1"/>
  <c r="BK16" i="20"/>
  <c r="BK99" i="20" s="1"/>
  <c r="BJ16" i="20"/>
  <c r="BJ99" i="20" s="1"/>
  <c r="BI16" i="20"/>
  <c r="BI99" i="20" s="1"/>
  <c r="BH16" i="20"/>
  <c r="BH99" i="20" s="1"/>
  <c r="BG16" i="20"/>
  <c r="BG99" i="20" s="1"/>
  <c r="BF16" i="20"/>
  <c r="BF99" i="20" s="1"/>
  <c r="BE16" i="20"/>
  <c r="BE99" i="20" s="1"/>
  <c r="BD16" i="20"/>
  <c r="BD99" i="20" s="1"/>
  <c r="BC16" i="20"/>
  <c r="BC99" i="20" s="1"/>
  <c r="BB16" i="20"/>
  <c r="BB99" i="20" s="1"/>
  <c r="BA16" i="20"/>
  <c r="BA99" i="20" s="1"/>
  <c r="AZ16" i="20"/>
  <c r="AZ99" i="20" s="1"/>
  <c r="AY16" i="20"/>
  <c r="AY99" i="20" s="1"/>
  <c r="AX16" i="20"/>
  <c r="AX99" i="20" s="1"/>
  <c r="AW16" i="20"/>
  <c r="AW99" i="20" s="1"/>
  <c r="AV16" i="20"/>
  <c r="AV99" i="20" s="1"/>
  <c r="AU16" i="20"/>
  <c r="AU99" i="20" s="1"/>
  <c r="AT16" i="20"/>
  <c r="AT99" i="20" s="1"/>
  <c r="AS16" i="20"/>
  <c r="AS99" i="20" s="1"/>
  <c r="AR16" i="20"/>
  <c r="AR99" i="20" s="1"/>
  <c r="AQ16" i="20"/>
  <c r="AQ99" i="20" s="1"/>
  <c r="AP16" i="20"/>
  <c r="AP99" i="20" s="1"/>
  <c r="AO16" i="20"/>
  <c r="AO99" i="20" s="1"/>
  <c r="AN16" i="20"/>
  <c r="AN99" i="20" s="1"/>
  <c r="AM16" i="20"/>
  <c r="AM99" i="20" s="1"/>
  <c r="AL16" i="20"/>
  <c r="AL99" i="20" s="1"/>
  <c r="AK16" i="20"/>
  <c r="AK99" i="20" s="1"/>
  <c r="AJ16" i="20"/>
  <c r="AJ99" i="20" s="1"/>
  <c r="AI16" i="20"/>
  <c r="AI99" i="20" s="1"/>
  <c r="AH16" i="20"/>
  <c r="AH99" i="20" s="1"/>
  <c r="AG16" i="20"/>
  <c r="AG99" i="20" s="1"/>
  <c r="AF16" i="20"/>
  <c r="AF99" i="20" s="1"/>
  <c r="AE16" i="20"/>
  <c r="AE99" i="20" s="1"/>
  <c r="AD16" i="20"/>
  <c r="AD99" i="20" s="1"/>
  <c r="AC16" i="20"/>
  <c r="AC99" i="20" s="1"/>
  <c r="AB16" i="20"/>
  <c r="AB99" i="20" s="1"/>
  <c r="AA16" i="20"/>
  <c r="AA99" i="20" s="1"/>
  <c r="Z16" i="20"/>
  <c r="Z99" i="20" s="1"/>
  <c r="Y16" i="20"/>
  <c r="Y99" i="20" s="1"/>
  <c r="X16" i="20"/>
  <c r="X99" i="20" s="1"/>
  <c r="W16" i="20"/>
  <c r="W99" i="20" s="1"/>
  <c r="V16" i="20"/>
  <c r="V99" i="20" s="1"/>
  <c r="U16" i="20"/>
  <c r="U99" i="20" s="1"/>
  <c r="I16" i="20"/>
  <c r="I99" i="20" s="1"/>
  <c r="G16" i="20"/>
  <c r="G99" i="20" s="1"/>
  <c r="F16" i="20"/>
  <c r="F99" i="20" s="1"/>
  <c r="E16" i="20"/>
  <c r="E99" i="20" s="1"/>
  <c r="E100" i="20" s="1"/>
  <c r="O15" i="20"/>
  <c r="CE14" i="20"/>
  <c r="CE15" i="20" s="1"/>
  <c r="K14" i="20"/>
  <c r="K16" i="20" s="1"/>
  <c r="J14" i="20"/>
  <c r="P11" i="20"/>
  <c r="O11" i="20"/>
  <c r="N11" i="20"/>
  <c r="M11" i="20"/>
  <c r="BY10" i="20"/>
  <c r="CB10" i="20" s="1"/>
  <c r="BY9" i="20"/>
  <c r="BY8" i="20"/>
  <c r="CB8" i="20" s="1"/>
  <c r="CA7" i="20"/>
  <c r="BY7" i="20"/>
  <c r="CB7" i="20" s="1"/>
  <c r="CA6" i="20"/>
  <c r="BY6" i="20"/>
  <c r="H5" i="20"/>
  <c r="D216" i="19"/>
  <c r="BX209" i="19"/>
  <c r="BW209" i="19"/>
  <c r="BV209" i="19"/>
  <c r="BU209" i="19"/>
  <c r="BT209" i="19"/>
  <c r="BS209" i="19"/>
  <c r="BR209" i="19"/>
  <c r="BQ209" i="19"/>
  <c r="BP209" i="19"/>
  <c r="BO209" i="19"/>
  <c r="BN209" i="19"/>
  <c r="BM209" i="19"/>
  <c r="BL209" i="19"/>
  <c r="BK209" i="19"/>
  <c r="BJ209" i="19"/>
  <c r="BI209" i="19"/>
  <c r="BH209" i="19"/>
  <c r="BG209" i="19"/>
  <c r="BF209" i="19"/>
  <c r="BE209" i="19"/>
  <c r="BD209" i="19"/>
  <c r="BC209" i="19"/>
  <c r="BB209" i="19"/>
  <c r="BA209" i="19"/>
  <c r="AZ209" i="19"/>
  <c r="AY209" i="19"/>
  <c r="AX209" i="19"/>
  <c r="AW209" i="19"/>
  <c r="AV209" i="19"/>
  <c r="AU209" i="19"/>
  <c r="AT209" i="19"/>
  <c r="AS209" i="19"/>
  <c r="AR209" i="19"/>
  <c r="AQ209" i="19"/>
  <c r="AP209" i="19"/>
  <c r="AO209" i="19"/>
  <c r="AN209" i="19"/>
  <c r="AM209" i="19"/>
  <c r="AL209" i="19"/>
  <c r="AK209" i="19"/>
  <c r="AJ209" i="19"/>
  <c r="AI209" i="19"/>
  <c r="AH209" i="19"/>
  <c r="AG209" i="19"/>
  <c r="AF209" i="19"/>
  <c r="AE209" i="19"/>
  <c r="AD209" i="19"/>
  <c r="AC209" i="19"/>
  <c r="AB209" i="19"/>
  <c r="AA209" i="19"/>
  <c r="Z209" i="19"/>
  <c r="Y209" i="19"/>
  <c r="X209" i="19"/>
  <c r="W209" i="19"/>
  <c r="V209" i="19"/>
  <c r="U209" i="19"/>
  <c r="T209" i="19"/>
  <c r="S209" i="19"/>
  <c r="S212" i="19" s="1"/>
  <c r="R209" i="19"/>
  <c r="R212" i="19" s="1"/>
  <c r="Q209" i="19"/>
  <c r="Q212" i="19" s="1"/>
  <c r="P209" i="19"/>
  <c r="P212" i="19" s="1"/>
  <c r="O209" i="19"/>
  <c r="O212" i="19" s="1"/>
  <c r="N209" i="19"/>
  <c r="N212" i="19" s="1"/>
  <c r="M209" i="19"/>
  <c r="M212" i="19" s="1"/>
  <c r="L209" i="19"/>
  <c r="L212" i="19" s="1"/>
  <c r="K209" i="19"/>
  <c r="K212" i="19" s="1"/>
  <c r="J209" i="19"/>
  <c r="J212" i="19" s="1"/>
  <c r="I209" i="19"/>
  <c r="I212" i="19" s="1"/>
  <c r="H209" i="19"/>
  <c r="G209" i="19"/>
  <c r="F209" i="19"/>
  <c r="E209" i="19"/>
  <c r="BX207" i="19"/>
  <c r="BW207" i="19"/>
  <c r="BW212" i="19" s="1"/>
  <c r="BV207" i="19"/>
  <c r="BV212" i="19" s="1"/>
  <c r="BU207" i="19"/>
  <c r="BU212" i="19" s="1"/>
  <c r="BT207" i="19"/>
  <c r="BT212" i="19" s="1"/>
  <c r="BS207" i="19"/>
  <c r="BS212" i="19" s="1"/>
  <c r="BR207" i="19"/>
  <c r="BR212" i="19" s="1"/>
  <c r="BQ207" i="19"/>
  <c r="BQ212" i="19" s="1"/>
  <c r="BP207" i="19"/>
  <c r="BP212" i="19" s="1"/>
  <c r="BO207" i="19"/>
  <c r="BO212" i="19" s="1"/>
  <c r="BN207" i="19"/>
  <c r="BN212" i="19" s="1"/>
  <c r="BM207" i="19"/>
  <c r="BM212" i="19" s="1"/>
  <c r="BL207" i="19"/>
  <c r="BL212" i="19" s="1"/>
  <c r="BK207" i="19"/>
  <c r="BK212" i="19" s="1"/>
  <c r="BJ207" i="19"/>
  <c r="BJ212" i="19" s="1"/>
  <c r="BI207" i="19"/>
  <c r="BI212" i="19" s="1"/>
  <c r="BH207" i="19"/>
  <c r="BH212" i="19" s="1"/>
  <c r="BG207" i="19"/>
  <c r="BG212" i="19" s="1"/>
  <c r="BF207" i="19"/>
  <c r="BF212" i="19" s="1"/>
  <c r="BE207" i="19"/>
  <c r="BE212" i="19" s="1"/>
  <c r="BD207" i="19"/>
  <c r="BD212" i="19" s="1"/>
  <c r="BC207" i="19"/>
  <c r="BC212" i="19" s="1"/>
  <c r="BB207" i="19"/>
  <c r="BB212" i="19" s="1"/>
  <c r="BA207" i="19"/>
  <c r="BA212" i="19" s="1"/>
  <c r="AZ207" i="19"/>
  <c r="AZ212" i="19" s="1"/>
  <c r="AY207" i="19"/>
  <c r="AY212" i="19" s="1"/>
  <c r="AX207" i="19"/>
  <c r="AX212" i="19" s="1"/>
  <c r="AW207" i="19"/>
  <c r="AW212" i="19" s="1"/>
  <c r="AV207" i="19"/>
  <c r="AV212" i="19" s="1"/>
  <c r="AU207" i="19"/>
  <c r="AU212" i="19" s="1"/>
  <c r="AT207" i="19"/>
  <c r="AT212" i="19" s="1"/>
  <c r="AS207" i="19"/>
  <c r="AS212" i="19" s="1"/>
  <c r="AR207" i="19"/>
  <c r="AR212" i="19" s="1"/>
  <c r="AQ207" i="19"/>
  <c r="AQ212" i="19" s="1"/>
  <c r="AP207" i="19"/>
  <c r="AP212" i="19" s="1"/>
  <c r="AO207" i="19"/>
  <c r="AO212" i="19" s="1"/>
  <c r="AN207" i="19"/>
  <c r="AN212" i="19" s="1"/>
  <c r="AM207" i="19"/>
  <c r="AM212" i="19" s="1"/>
  <c r="AL207" i="19"/>
  <c r="AL212" i="19" s="1"/>
  <c r="AK207" i="19"/>
  <c r="AK212" i="19" s="1"/>
  <c r="AJ207" i="19"/>
  <c r="AJ212" i="19" s="1"/>
  <c r="AI207" i="19"/>
  <c r="AI212" i="19" s="1"/>
  <c r="AH207" i="19"/>
  <c r="AH212" i="19" s="1"/>
  <c r="AG207" i="19"/>
  <c r="AG212" i="19" s="1"/>
  <c r="AF207" i="19"/>
  <c r="AF212" i="19" s="1"/>
  <c r="AE207" i="19"/>
  <c r="AE212" i="19" s="1"/>
  <c r="AD207" i="19"/>
  <c r="AD212" i="19" s="1"/>
  <c r="AC207" i="19"/>
  <c r="AC212" i="19" s="1"/>
  <c r="AB207" i="19"/>
  <c r="AB212" i="19" s="1"/>
  <c r="AA207" i="19"/>
  <c r="AA212" i="19" s="1"/>
  <c r="Z207" i="19"/>
  <c r="Z212" i="19" s="1"/>
  <c r="Y207" i="19"/>
  <c r="Y212" i="19" s="1"/>
  <c r="X207" i="19"/>
  <c r="X212" i="19" s="1"/>
  <c r="W207" i="19"/>
  <c r="W212" i="19" s="1"/>
  <c r="V207" i="19"/>
  <c r="V212" i="19" s="1"/>
  <c r="U207" i="19"/>
  <c r="U212" i="19" s="1"/>
  <c r="T207" i="19"/>
  <c r="H207" i="19"/>
  <c r="H212" i="19" s="1"/>
  <c r="G207" i="19"/>
  <c r="G212" i="19" s="1"/>
  <c r="F207" i="19"/>
  <c r="F212" i="19" s="1"/>
  <c r="E207" i="19"/>
  <c r="E212" i="19" s="1"/>
  <c r="D200" i="19"/>
  <c r="BX193" i="19"/>
  <c r="BW193" i="19"/>
  <c r="BV193" i="19"/>
  <c r="BU193" i="19"/>
  <c r="BT193" i="19"/>
  <c r="BS193" i="19"/>
  <c r="BR193" i="19"/>
  <c r="BQ193" i="19"/>
  <c r="BP193" i="19"/>
  <c r="BO193" i="19"/>
  <c r="BN193" i="19"/>
  <c r="BM193" i="19"/>
  <c r="BL193" i="19"/>
  <c r="BK193" i="19"/>
  <c r="BJ193" i="19"/>
  <c r="BI193" i="19"/>
  <c r="BH193" i="19"/>
  <c r="BG193" i="19"/>
  <c r="BF193" i="19"/>
  <c r="BE193" i="19"/>
  <c r="BD193" i="19"/>
  <c r="BC193" i="19"/>
  <c r="BB193" i="19"/>
  <c r="BA193" i="19"/>
  <c r="AZ193" i="19"/>
  <c r="AY193" i="19"/>
  <c r="AX193" i="19"/>
  <c r="AW193" i="19"/>
  <c r="AV193" i="19"/>
  <c r="AU193" i="19"/>
  <c r="AT193" i="19"/>
  <c r="AS193" i="19"/>
  <c r="AR193" i="19"/>
  <c r="AQ193" i="19"/>
  <c r="AP193" i="19"/>
  <c r="AO193" i="19"/>
  <c r="AN193" i="19"/>
  <c r="AM193" i="19"/>
  <c r="AL193" i="19"/>
  <c r="AK193" i="19"/>
  <c r="AJ193" i="19"/>
  <c r="AI193" i="19"/>
  <c r="AH193" i="19"/>
  <c r="AG193" i="19"/>
  <c r="AF193" i="19"/>
  <c r="AE193" i="19"/>
  <c r="AD193" i="19"/>
  <c r="AB193" i="19"/>
  <c r="AA193" i="19"/>
  <c r="Z193" i="19"/>
  <c r="Y193" i="19"/>
  <c r="X193" i="19"/>
  <c r="W193" i="19"/>
  <c r="V193" i="19"/>
  <c r="U193" i="19"/>
  <c r="T193" i="19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G193" i="19"/>
  <c r="F193" i="19"/>
  <c r="E193" i="19"/>
  <c r="BX191" i="19"/>
  <c r="BW191" i="19"/>
  <c r="BW196" i="19" s="1"/>
  <c r="BV191" i="19"/>
  <c r="BV196" i="19" s="1"/>
  <c r="BU191" i="19"/>
  <c r="BU196" i="19" s="1"/>
  <c r="BT191" i="19"/>
  <c r="BT196" i="19" s="1"/>
  <c r="BS191" i="19"/>
  <c r="BS196" i="19" s="1"/>
  <c r="BR191" i="19"/>
  <c r="BR196" i="19" s="1"/>
  <c r="BQ191" i="19"/>
  <c r="BQ196" i="19" s="1"/>
  <c r="BP191" i="19"/>
  <c r="BP196" i="19" s="1"/>
  <c r="BO191" i="19"/>
  <c r="BO196" i="19" s="1"/>
  <c r="BN191" i="19"/>
  <c r="BN196" i="19" s="1"/>
  <c r="BM191" i="19"/>
  <c r="BM196" i="19" s="1"/>
  <c r="BL191" i="19"/>
  <c r="BL196" i="19" s="1"/>
  <c r="BK191" i="19"/>
  <c r="BK196" i="19" s="1"/>
  <c r="BJ191" i="19"/>
  <c r="BJ196" i="19" s="1"/>
  <c r="BI191" i="19"/>
  <c r="BI196" i="19" s="1"/>
  <c r="BH191" i="19"/>
  <c r="BH196" i="19" s="1"/>
  <c r="BG191" i="19"/>
  <c r="BG196" i="19" s="1"/>
  <c r="BF191" i="19"/>
  <c r="BF196" i="19" s="1"/>
  <c r="BE191" i="19"/>
  <c r="BE196" i="19" s="1"/>
  <c r="BD191" i="19"/>
  <c r="BD196" i="19" s="1"/>
  <c r="BC191" i="19"/>
  <c r="BC196" i="19" s="1"/>
  <c r="BB191" i="19"/>
  <c r="BB196" i="19" s="1"/>
  <c r="BA191" i="19"/>
  <c r="BA196" i="19" s="1"/>
  <c r="AZ191" i="19"/>
  <c r="AZ196" i="19" s="1"/>
  <c r="AY191" i="19"/>
  <c r="AY196" i="19" s="1"/>
  <c r="AX191" i="19"/>
  <c r="AX196" i="19" s="1"/>
  <c r="AW191" i="19"/>
  <c r="AW196" i="19" s="1"/>
  <c r="AV191" i="19"/>
  <c r="AV196" i="19" s="1"/>
  <c r="AU191" i="19"/>
  <c r="AU196" i="19" s="1"/>
  <c r="AT191" i="19"/>
  <c r="AT196" i="19" s="1"/>
  <c r="AS191" i="19"/>
  <c r="AS196" i="19" s="1"/>
  <c r="AR191" i="19"/>
  <c r="AR196" i="19" s="1"/>
  <c r="AQ191" i="19"/>
  <c r="AQ196" i="19" s="1"/>
  <c r="AP191" i="19"/>
  <c r="AP196" i="19" s="1"/>
  <c r="AO191" i="19"/>
  <c r="AO196" i="19" s="1"/>
  <c r="AN191" i="19"/>
  <c r="AN196" i="19" s="1"/>
  <c r="AM191" i="19"/>
  <c r="AM196" i="19" s="1"/>
  <c r="AL191" i="19"/>
  <c r="AL196" i="19" s="1"/>
  <c r="AK191" i="19"/>
  <c r="AK196" i="19" s="1"/>
  <c r="AJ191" i="19"/>
  <c r="AJ196" i="19" s="1"/>
  <c r="AI191" i="19"/>
  <c r="AI196" i="19" s="1"/>
  <c r="AH191" i="19"/>
  <c r="AH196" i="19" s="1"/>
  <c r="AG191" i="19"/>
  <c r="AG196" i="19" s="1"/>
  <c r="AF191" i="19"/>
  <c r="AF196" i="19" s="1"/>
  <c r="AE191" i="19"/>
  <c r="AE196" i="19" s="1"/>
  <c r="AD191" i="19"/>
  <c r="AD196" i="19" s="1"/>
  <c r="AB191" i="19"/>
  <c r="AB196" i="19" s="1"/>
  <c r="AA191" i="19"/>
  <c r="AA196" i="19" s="1"/>
  <c r="Z191" i="19"/>
  <c r="Z196" i="19" s="1"/>
  <c r="Y191" i="19"/>
  <c r="Y196" i="19" s="1"/>
  <c r="X191" i="19"/>
  <c r="X196" i="19" s="1"/>
  <c r="W191" i="19"/>
  <c r="W196" i="19" s="1"/>
  <c r="V191" i="19"/>
  <c r="V196" i="19" s="1"/>
  <c r="U191" i="19"/>
  <c r="U196" i="19" s="1"/>
  <c r="T191" i="19"/>
  <c r="S191" i="19"/>
  <c r="S196" i="19" s="1"/>
  <c r="R191" i="19"/>
  <c r="R196" i="19" s="1"/>
  <c r="Q191" i="19"/>
  <c r="Q196" i="19" s="1"/>
  <c r="P191" i="19"/>
  <c r="P196" i="19" s="1"/>
  <c r="O191" i="19"/>
  <c r="O196" i="19" s="1"/>
  <c r="N191" i="19"/>
  <c r="N196" i="19" s="1"/>
  <c r="M191" i="19"/>
  <c r="M196" i="19" s="1"/>
  <c r="K191" i="19"/>
  <c r="K196" i="19" s="1"/>
  <c r="J191" i="19"/>
  <c r="J196" i="19" s="1"/>
  <c r="I191" i="19"/>
  <c r="I196" i="19" s="1"/>
  <c r="H191" i="19"/>
  <c r="H196" i="19" s="1"/>
  <c r="G191" i="19"/>
  <c r="G196" i="19" s="1"/>
  <c r="F191" i="19"/>
  <c r="F196" i="19" s="1"/>
  <c r="E191" i="19"/>
  <c r="E196" i="19" s="1"/>
  <c r="D184" i="19"/>
  <c r="T178" i="19"/>
  <c r="BX177" i="19"/>
  <c r="BW177" i="19"/>
  <c r="BV177" i="19"/>
  <c r="BU177" i="19"/>
  <c r="BT177" i="19"/>
  <c r="BS177" i="19"/>
  <c r="BR177" i="19"/>
  <c r="BQ177" i="19"/>
  <c r="BP177" i="19"/>
  <c r="BO177" i="19"/>
  <c r="BN177" i="19"/>
  <c r="BM177" i="19"/>
  <c r="BL177" i="19"/>
  <c r="BK177" i="19"/>
  <c r="BJ177" i="19"/>
  <c r="BI177" i="19"/>
  <c r="BH177" i="19"/>
  <c r="BG177" i="19"/>
  <c r="BF177" i="19"/>
  <c r="BE177" i="19"/>
  <c r="BD177" i="19"/>
  <c r="BC177" i="19"/>
  <c r="BB177" i="19"/>
  <c r="BA177" i="19"/>
  <c r="AZ177" i="19"/>
  <c r="AY177" i="19"/>
  <c r="AX177" i="19"/>
  <c r="AW177" i="19"/>
  <c r="AV177" i="19"/>
  <c r="AU177" i="19"/>
  <c r="AT177" i="19"/>
  <c r="AS177" i="19"/>
  <c r="AR177" i="19"/>
  <c r="AQ177" i="19"/>
  <c r="AP177" i="19"/>
  <c r="AO177" i="19"/>
  <c r="AN177" i="19"/>
  <c r="AM177" i="19"/>
  <c r="AL177" i="19"/>
  <c r="AK177" i="19"/>
  <c r="AJ177" i="19"/>
  <c r="AI177" i="19"/>
  <c r="AH177" i="19"/>
  <c r="AG177" i="19"/>
  <c r="AF177" i="19"/>
  <c r="AE177" i="19"/>
  <c r="AD177" i="19"/>
  <c r="AC177" i="19"/>
  <c r="AB177" i="19"/>
  <c r="AA177" i="19"/>
  <c r="Z177" i="19"/>
  <c r="Y177" i="19"/>
  <c r="X177" i="19"/>
  <c r="W177" i="19"/>
  <c r="V177" i="19"/>
  <c r="U177" i="19"/>
  <c r="T177" i="19"/>
  <c r="S177" i="19"/>
  <c r="R177" i="19"/>
  <c r="Q177" i="19"/>
  <c r="P177" i="19"/>
  <c r="O177" i="19"/>
  <c r="N177" i="19"/>
  <c r="M177" i="19"/>
  <c r="L177" i="19"/>
  <c r="K177" i="19"/>
  <c r="K180" i="19" s="1"/>
  <c r="J177" i="19"/>
  <c r="I177" i="19"/>
  <c r="I180" i="19" s="1"/>
  <c r="H177" i="19"/>
  <c r="G177" i="19"/>
  <c r="F177" i="19"/>
  <c r="E177" i="19"/>
  <c r="BX175" i="19"/>
  <c r="BW175" i="19"/>
  <c r="BW180" i="19" s="1"/>
  <c r="BV175" i="19"/>
  <c r="BV180" i="19" s="1"/>
  <c r="BU175" i="19"/>
  <c r="BU180" i="19" s="1"/>
  <c r="BT175" i="19"/>
  <c r="BT180" i="19" s="1"/>
  <c r="BS175" i="19"/>
  <c r="BS180" i="19" s="1"/>
  <c r="BR175" i="19"/>
  <c r="BR180" i="19" s="1"/>
  <c r="BQ175" i="19"/>
  <c r="BQ180" i="19" s="1"/>
  <c r="BP175" i="19"/>
  <c r="BP180" i="19" s="1"/>
  <c r="BO175" i="19"/>
  <c r="BO180" i="19" s="1"/>
  <c r="BN175" i="19"/>
  <c r="BN180" i="19" s="1"/>
  <c r="BM175" i="19"/>
  <c r="BM180" i="19" s="1"/>
  <c r="BL175" i="19"/>
  <c r="BL180" i="19" s="1"/>
  <c r="BK175" i="19"/>
  <c r="BK180" i="19" s="1"/>
  <c r="BJ175" i="19"/>
  <c r="BJ180" i="19" s="1"/>
  <c r="BI175" i="19"/>
  <c r="BI180" i="19" s="1"/>
  <c r="BH175" i="19"/>
  <c r="BH180" i="19" s="1"/>
  <c r="BG175" i="19"/>
  <c r="BG180" i="19" s="1"/>
  <c r="BF175" i="19"/>
  <c r="BF180" i="19" s="1"/>
  <c r="BE175" i="19"/>
  <c r="BE180" i="19" s="1"/>
  <c r="BD175" i="19"/>
  <c r="BD180" i="19" s="1"/>
  <c r="BC175" i="19"/>
  <c r="BC180" i="19" s="1"/>
  <c r="BB175" i="19"/>
  <c r="BB180" i="19" s="1"/>
  <c r="BA175" i="19"/>
  <c r="BA180" i="19" s="1"/>
  <c r="AZ175" i="19"/>
  <c r="AZ180" i="19" s="1"/>
  <c r="AY175" i="19"/>
  <c r="AY180" i="19" s="1"/>
  <c r="AX175" i="19"/>
  <c r="AX180" i="19" s="1"/>
  <c r="AW175" i="19"/>
  <c r="AW180" i="19" s="1"/>
  <c r="AV175" i="19"/>
  <c r="AV180" i="19" s="1"/>
  <c r="AU175" i="19"/>
  <c r="AU180" i="19" s="1"/>
  <c r="AT175" i="19"/>
  <c r="AT180" i="19" s="1"/>
  <c r="AS175" i="19"/>
  <c r="AS180" i="19" s="1"/>
  <c r="AR175" i="19"/>
  <c r="AR180" i="19" s="1"/>
  <c r="AQ175" i="19"/>
  <c r="AQ180" i="19" s="1"/>
  <c r="AP175" i="19"/>
  <c r="AP180" i="19" s="1"/>
  <c r="AO175" i="19"/>
  <c r="AO180" i="19" s="1"/>
  <c r="AN175" i="19"/>
  <c r="AN180" i="19" s="1"/>
  <c r="AM175" i="19"/>
  <c r="AM180" i="19" s="1"/>
  <c r="AL175" i="19"/>
  <c r="AL180" i="19" s="1"/>
  <c r="AK175" i="19"/>
  <c r="AK180" i="19" s="1"/>
  <c r="AJ175" i="19"/>
  <c r="AJ180" i="19" s="1"/>
  <c r="AI175" i="19"/>
  <c r="AI180" i="19" s="1"/>
  <c r="AH175" i="19"/>
  <c r="AH180" i="19" s="1"/>
  <c r="AG175" i="19"/>
  <c r="AG180" i="19" s="1"/>
  <c r="AF175" i="19"/>
  <c r="AF180" i="19" s="1"/>
  <c r="AE175" i="19"/>
  <c r="AE180" i="19" s="1"/>
  <c r="AD175" i="19"/>
  <c r="AD180" i="19" s="1"/>
  <c r="AC175" i="19"/>
  <c r="AC180" i="19" s="1"/>
  <c r="AB175" i="19"/>
  <c r="AB180" i="19" s="1"/>
  <c r="AA175" i="19"/>
  <c r="AA180" i="19" s="1"/>
  <c r="Z175" i="19"/>
  <c r="Z180" i="19" s="1"/>
  <c r="Y175" i="19"/>
  <c r="Y180" i="19" s="1"/>
  <c r="X175" i="19"/>
  <c r="X180" i="19" s="1"/>
  <c r="W175" i="19"/>
  <c r="W180" i="19" s="1"/>
  <c r="V175" i="19"/>
  <c r="V180" i="19" s="1"/>
  <c r="U175" i="19"/>
  <c r="U180" i="19" s="1"/>
  <c r="S175" i="19"/>
  <c r="S180" i="19" s="1"/>
  <c r="R175" i="19"/>
  <c r="R180" i="19" s="1"/>
  <c r="Q175" i="19"/>
  <c r="Q180" i="19" s="1"/>
  <c r="P175" i="19"/>
  <c r="P180" i="19" s="1"/>
  <c r="O175" i="19"/>
  <c r="O180" i="19" s="1"/>
  <c r="N175" i="19"/>
  <c r="N180" i="19" s="1"/>
  <c r="M175" i="19"/>
  <c r="M180" i="19" s="1"/>
  <c r="L175" i="19"/>
  <c r="L180" i="19" s="1"/>
  <c r="J175" i="19"/>
  <c r="J180" i="19" s="1"/>
  <c r="H175" i="19"/>
  <c r="G175" i="19"/>
  <c r="G180" i="19" s="1"/>
  <c r="F175" i="19"/>
  <c r="F180" i="19" s="1"/>
  <c r="E175" i="19"/>
  <c r="E180" i="19" s="1"/>
  <c r="E181" i="19" s="1"/>
  <c r="F181" i="19" s="1"/>
  <c r="G181" i="19" s="1"/>
  <c r="T148" i="19"/>
  <c r="BX147" i="19"/>
  <c r="BW147" i="19"/>
  <c r="BV147" i="19"/>
  <c r="BU147" i="19"/>
  <c r="BT147" i="19"/>
  <c r="BS147" i="19"/>
  <c r="BR147" i="19"/>
  <c r="BQ147" i="19"/>
  <c r="BP147" i="19"/>
  <c r="BO147" i="19"/>
  <c r="BN147" i="19"/>
  <c r="BM147" i="19"/>
  <c r="BL147" i="19"/>
  <c r="BK147" i="19"/>
  <c r="BJ147" i="19"/>
  <c r="BI147" i="19"/>
  <c r="BH147" i="19"/>
  <c r="BG147" i="19"/>
  <c r="BF147" i="19"/>
  <c r="BE147" i="19"/>
  <c r="BD147" i="19"/>
  <c r="BC147" i="19"/>
  <c r="BB147" i="19"/>
  <c r="BA147" i="19"/>
  <c r="AZ147" i="19"/>
  <c r="AY147" i="19"/>
  <c r="AX147" i="19"/>
  <c r="AW147" i="19"/>
  <c r="AV147" i="19"/>
  <c r="AU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AH147" i="19"/>
  <c r="AG147" i="19"/>
  <c r="AF147" i="19"/>
  <c r="AE147" i="19"/>
  <c r="AD147" i="19"/>
  <c r="AB147" i="19"/>
  <c r="AA147" i="19"/>
  <c r="Z147" i="19"/>
  <c r="Y147" i="19"/>
  <c r="X147" i="19"/>
  <c r="W147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BX145" i="19"/>
  <c r="BW145" i="19"/>
  <c r="BW150" i="19" s="1"/>
  <c r="BV145" i="19"/>
  <c r="BV150" i="19" s="1"/>
  <c r="BU145" i="19"/>
  <c r="BU150" i="19" s="1"/>
  <c r="BT145" i="19"/>
  <c r="BT150" i="19" s="1"/>
  <c r="BS145" i="19"/>
  <c r="BS150" i="19" s="1"/>
  <c r="BR145" i="19"/>
  <c r="BR150" i="19" s="1"/>
  <c r="BQ145" i="19"/>
  <c r="BQ150" i="19" s="1"/>
  <c r="BP145" i="19"/>
  <c r="BP150" i="19" s="1"/>
  <c r="BO145" i="19"/>
  <c r="BO150" i="19" s="1"/>
  <c r="BN145" i="19"/>
  <c r="BN150" i="19" s="1"/>
  <c r="BM145" i="19"/>
  <c r="BM150" i="19" s="1"/>
  <c r="BL145" i="19"/>
  <c r="BL150" i="19" s="1"/>
  <c r="BK145" i="19"/>
  <c r="BK150" i="19" s="1"/>
  <c r="BJ145" i="19"/>
  <c r="BJ150" i="19" s="1"/>
  <c r="BI145" i="19"/>
  <c r="BI150" i="19" s="1"/>
  <c r="BH145" i="19"/>
  <c r="BH150" i="19" s="1"/>
  <c r="BG145" i="19"/>
  <c r="BG150" i="19" s="1"/>
  <c r="BF145" i="19"/>
  <c r="BF150" i="19" s="1"/>
  <c r="BE145" i="19"/>
  <c r="BE150" i="19" s="1"/>
  <c r="BD145" i="19"/>
  <c r="BD150" i="19" s="1"/>
  <c r="BC145" i="19"/>
  <c r="BC150" i="19" s="1"/>
  <c r="BB145" i="19"/>
  <c r="BB150" i="19" s="1"/>
  <c r="BA145" i="19"/>
  <c r="BA150" i="19" s="1"/>
  <c r="AZ145" i="19"/>
  <c r="AZ150" i="19" s="1"/>
  <c r="AY145" i="19"/>
  <c r="AY150" i="19" s="1"/>
  <c r="AX145" i="19"/>
  <c r="AX150" i="19" s="1"/>
  <c r="AW145" i="19"/>
  <c r="AW150" i="19" s="1"/>
  <c r="AV145" i="19"/>
  <c r="AV150" i="19" s="1"/>
  <c r="AU145" i="19"/>
  <c r="AU150" i="19" s="1"/>
  <c r="AT145" i="19"/>
  <c r="AT150" i="19" s="1"/>
  <c r="AS145" i="19"/>
  <c r="AS150" i="19" s="1"/>
  <c r="AR145" i="19"/>
  <c r="AR150" i="19" s="1"/>
  <c r="AQ145" i="19"/>
  <c r="AQ150" i="19" s="1"/>
  <c r="AP145" i="19"/>
  <c r="AP150" i="19" s="1"/>
  <c r="AO145" i="19"/>
  <c r="AO150" i="19" s="1"/>
  <c r="AN145" i="19"/>
  <c r="AN150" i="19" s="1"/>
  <c r="AM145" i="19"/>
  <c r="AM150" i="19" s="1"/>
  <c r="AL145" i="19"/>
  <c r="AL150" i="19" s="1"/>
  <c r="AK145" i="19"/>
  <c r="AK150" i="19" s="1"/>
  <c r="AJ145" i="19"/>
  <c r="AJ150" i="19" s="1"/>
  <c r="AI145" i="19"/>
  <c r="AI150" i="19" s="1"/>
  <c r="AH145" i="19"/>
  <c r="AH150" i="19" s="1"/>
  <c r="AG145" i="19"/>
  <c r="AG150" i="19" s="1"/>
  <c r="AF145" i="19"/>
  <c r="AF150" i="19" s="1"/>
  <c r="AE145" i="19"/>
  <c r="AE150" i="19" s="1"/>
  <c r="AD145" i="19"/>
  <c r="AD150" i="19" s="1"/>
  <c r="AB145" i="19"/>
  <c r="AB150" i="19" s="1"/>
  <c r="AA145" i="19"/>
  <c r="AA150" i="19" s="1"/>
  <c r="Z145" i="19"/>
  <c r="Z150" i="19" s="1"/>
  <c r="Y145" i="19"/>
  <c r="Y150" i="19" s="1"/>
  <c r="X145" i="19"/>
  <c r="X150" i="19" s="1"/>
  <c r="W145" i="19"/>
  <c r="W150" i="19" s="1"/>
  <c r="V145" i="19"/>
  <c r="V150" i="19" s="1"/>
  <c r="U145" i="19"/>
  <c r="U150" i="19" s="1"/>
  <c r="T145" i="19"/>
  <c r="T150" i="19" s="1"/>
  <c r="S145" i="19"/>
  <c r="S150" i="19" s="1"/>
  <c r="R145" i="19"/>
  <c r="R150" i="19" s="1"/>
  <c r="Q145" i="19"/>
  <c r="Q150" i="19" s="1"/>
  <c r="P145" i="19"/>
  <c r="P150" i="19" s="1"/>
  <c r="O145" i="19"/>
  <c r="O150" i="19" s="1"/>
  <c r="N145" i="19"/>
  <c r="N150" i="19" s="1"/>
  <c r="M145" i="19"/>
  <c r="M150" i="19" s="1"/>
  <c r="K145" i="19"/>
  <c r="K150" i="19" s="1"/>
  <c r="J145" i="19"/>
  <c r="J150" i="19" s="1"/>
  <c r="I145" i="19"/>
  <c r="I150" i="19" s="1"/>
  <c r="H145" i="19"/>
  <c r="H150" i="19" s="1"/>
  <c r="G145" i="19"/>
  <c r="G150" i="19" s="1"/>
  <c r="F145" i="19"/>
  <c r="F150" i="19" s="1"/>
  <c r="E145" i="19"/>
  <c r="D139" i="19"/>
  <c r="BX132" i="19"/>
  <c r="BW132" i="19"/>
  <c r="BV132" i="19"/>
  <c r="BU132" i="19"/>
  <c r="BT132" i="19"/>
  <c r="BS132" i="19"/>
  <c r="BR132" i="19"/>
  <c r="BQ132" i="19"/>
  <c r="BP132" i="19"/>
  <c r="BO132" i="19"/>
  <c r="BN132" i="19"/>
  <c r="BM132" i="19"/>
  <c r="BL132" i="19"/>
  <c r="BK132" i="19"/>
  <c r="BJ132" i="19"/>
  <c r="BI132" i="19"/>
  <c r="BH132" i="19"/>
  <c r="BG132" i="19"/>
  <c r="BF132" i="19"/>
  <c r="BE132" i="19"/>
  <c r="BD132" i="19"/>
  <c r="BC132" i="19"/>
  <c r="BB132" i="19"/>
  <c r="BA132" i="19"/>
  <c r="AZ132" i="19"/>
  <c r="AY132" i="19"/>
  <c r="AX132" i="19"/>
  <c r="AW132" i="19"/>
  <c r="AV132" i="19"/>
  <c r="AU132" i="19"/>
  <c r="AT132" i="19"/>
  <c r="AS132" i="19"/>
  <c r="AR132" i="19"/>
  <c r="AQ132" i="19"/>
  <c r="AP132" i="19"/>
  <c r="AO132" i="19"/>
  <c r="AN132" i="19"/>
  <c r="AM132" i="19"/>
  <c r="AL132" i="19"/>
  <c r="AK132" i="19"/>
  <c r="AJ132" i="19"/>
  <c r="AI132" i="19"/>
  <c r="AH132" i="19"/>
  <c r="AG132" i="19"/>
  <c r="AF132" i="19"/>
  <c r="AE132" i="19"/>
  <c r="AD132" i="19"/>
  <c r="AC132" i="19"/>
  <c r="AB132" i="19"/>
  <c r="AA132" i="19"/>
  <c r="Z132" i="19"/>
  <c r="Y132" i="19"/>
  <c r="X132" i="19"/>
  <c r="W132" i="19"/>
  <c r="V132" i="19"/>
  <c r="U132" i="19"/>
  <c r="T132" i="19"/>
  <c r="S132" i="19"/>
  <c r="R132" i="19"/>
  <c r="Q132" i="19"/>
  <c r="P132" i="19"/>
  <c r="O132" i="19"/>
  <c r="N132" i="19"/>
  <c r="M132" i="19"/>
  <c r="K132" i="19"/>
  <c r="J132" i="19"/>
  <c r="I132" i="19"/>
  <c r="H132" i="19"/>
  <c r="G132" i="19"/>
  <c r="F132" i="19"/>
  <c r="E132" i="19"/>
  <c r="BX130" i="19"/>
  <c r="BW130" i="19"/>
  <c r="BW135" i="19" s="1"/>
  <c r="BV130" i="19"/>
  <c r="BV135" i="19" s="1"/>
  <c r="BU130" i="19"/>
  <c r="BU135" i="19" s="1"/>
  <c r="BT130" i="19"/>
  <c r="BT135" i="19" s="1"/>
  <c r="BS130" i="19"/>
  <c r="BS135" i="19" s="1"/>
  <c r="BR130" i="19"/>
  <c r="BR135" i="19" s="1"/>
  <c r="BQ130" i="19"/>
  <c r="BQ135" i="19" s="1"/>
  <c r="BP130" i="19"/>
  <c r="BP135" i="19" s="1"/>
  <c r="BO130" i="19"/>
  <c r="BO135" i="19" s="1"/>
  <c r="BN130" i="19"/>
  <c r="BN135" i="19" s="1"/>
  <c r="BM130" i="19"/>
  <c r="BM135" i="19" s="1"/>
  <c r="BL130" i="19"/>
  <c r="BL135" i="19" s="1"/>
  <c r="BK130" i="19"/>
  <c r="BK135" i="19" s="1"/>
  <c r="BJ130" i="19"/>
  <c r="BJ135" i="19" s="1"/>
  <c r="BI130" i="19"/>
  <c r="BI135" i="19" s="1"/>
  <c r="BH130" i="19"/>
  <c r="BH135" i="19" s="1"/>
  <c r="BG130" i="19"/>
  <c r="BG135" i="19" s="1"/>
  <c r="BF130" i="19"/>
  <c r="BF135" i="19" s="1"/>
  <c r="BE130" i="19"/>
  <c r="BE135" i="19" s="1"/>
  <c r="BD130" i="19"/>
  <c r="BD135" i="19" s="1"/>
  <c r="BC130" i="19"/>
  <c r="BC135" i="19" s="1"/>
  <c r="BB130" i="19"/>
  <c r="BB135" i="19" s="1"/>
  <c r="BA130" i="19"/>
  <c r="BA135" i="19" s="1"/>
  <c r="AZ130" i="19"/>
  <c r="AZ135" i="19" s="1"/>
  <c r="AY130" i="19"/>
  <c r="AY135" i="19" s="1"/>
  <c r="AX130" i="19"/>
  <c r="AX135" i="19" s="1"/>
  <c r="AW130" i="19"/>
  <c r="AW135" i="19" s="1"/>
  <c r="AV130" i="19"/>
  <c r="AV135" i="19" s="1"/>
  <c r="AU130" i="19"/>
  <c r="AU135" i="19" s="1"/>
  <c r="AT130" i="19"/>
  <c r="AT135" i="19" s="1"/>
  <c r="AS130" i="19"/>
  <c r="AS135" i="19" s="1"/>
  <c r="AR130" i="19"/>
  <c r="AR135" i="19" s="1"/>
  <c r="AQ130" i="19"/>
  <c r="AQ135" i="19" s="1"/>
  <c r="AP130" i="19"/>
  <c r="AP135" i="19" s="1"/>
  <c r="AO130" i="19"/>
  <c r="AO135" i="19" s="1"/>
  <c r="AN130" i="19"/>
  <c r="AN135" i="19" s="1"/>
  <c r="AM130" i="19"/>
  <c r="AM135" i="19" s="1"/>
  <c r="AL130" i="19"/>
  <c r="AL135" i="19" s="1"/>
  <c r="AK130" i="19"/>
  <c r="AK135" i="19" s="1"/>
  <c r="AJ130" i="19"/>
  <c r="AJ135" i="19" s="1"/>
  <c r="AI130" i="19"/>
  <c r="AI135" i="19" s="1"/>
  <c r="AH130" i="19"/>
  <c r="AH135" i="19" s="1"/>
  <c r="AG130" i="19"/>
  <c r="AG135" i="19" s="1"/>
  <c r="AF130" i="19"/>
  <c r="AF135" i="19" s="1"/>
  <c r="AE130" i="19"/>
  <c r="AE135" i="19" s="1"/>
  <c r="AD130" i="19"/>
  <c r="AD135" i="19" s="1"/>
  <c r="AB130" i="19"/>
  <c r="AB135" i="19" s="1"/>
  <c r="AA130" i="19"/>
  <c r="AA135" i="19" s="1"/>
  <c r="Z130" i="19"/>
  <c r="Z135" i="19" s="1"/>
  <c r="Y130" i="19"/>
  <c r="Y135" i="19" s="1"/>
  <c r="X130" i="19"/>
  <c r="X135" i="19" s="1"/>
  <c r="W130" i="19"/>
  <c r="W135" i="19" s="1"/>
  <c r="V130" i="19"/>
  <c r="V135" i="19" s="1"/>
  <c r="U130" i="19"/>
  <c r="U135" i="19" s="1"/>
  <c r="T130" i="19"/>
  <c r="S130" i="19"/>
  <c r="S135" i="19" s="1"/>
  <c r="R130" i="19"/>
  <c r="R135" i="19" s="1"/>
  <c r="Q130" i="19"/>
  <c r="Q135" i="19" s="1"/>
  <c r="P130" i="19"/>
  <c r="P135" i="19" s="1"/>
  <c r="O130" i="19"/>
  <c r="O135" i="19" s="1"/>
  <c r="N130" i="19"/>
  <c r="N135" i="19" s="1"/>
  <c r="M130" i="19"/>
  <c r="M135" i="19" s="1"/>
  <c r="K130" i="19"/>
  <c r="K135" i="19" s="1"/>
  <c r="I130" i="19"/>
  <c r="I135" i="19" s="1"/>
  <c r="H130" i="19"/>
  <c r="H135" i="19" s="1"/>
  <c r="G130" i="19"/>
  <c r="G135" i="19" s="1"/>
  <c r="F130" i="19"/>
  <c r="F135" i="19" s="1"/>
  <c r="E130" i="19"/>
  <c r="BX114" i="19"/>
  <c r="BW114" i="19"/>
  <c r="BV114" i="19"/>
  <c r="BU114" i="19"/>
  <c r="BT114" i="19"/>
  <c r="BS114" i="19"/>
  <c r="BR114" i="19"/>
  <c r="BQ114" i="19"/>
  <c r="BP114" i="19"/>
  <c r="BO114" i="19"/>
  <c r="BN114" i="19"/>
  <c r="BM114" i="19"/>
  <c r="BL114" i="19"/>
  <c r="BK114" i="19"/>
  <c r="BJ114" i="19"/>
  <c r="BI114" i="19"/>
  <c r="BH114" i="19"/>
  <c r="BG114" i="19"/>
  <c r="BF114" i="19"/>
  <c r="BE114" i="19"/>
  <c r="BD114" i="19"/>
  <c r="BC114" i="19"/>
  <c r="BB114" i="19"/>
  <c r="BA114" i="19"/>
  <c r="AZ114" i="19"/>
  <c r="AY114" i="19"/>
  <c r="AX114" i="19"/>
  <c r="AW114" i="19"/>
  <c r="AV114" i="19"/>
  <c r="AU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AI114" i="19"/>
  <c r="AH114" i="19"/>
  <c r="AG114" i="19"/>
  <c r="AF114" i="19"/>
  <c r="AE114" i="19"/>
  <c r="AD114" i="19"/>
  <c r="AC114" i="19"/>
  <c r="AB114" i="19"/>
  <c r="AA114" i="19"/>
  <c r="Z114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H113" i="19"/>
  <c r="D121" i="19" s="1"/>
  <c r="BX112" i="19"/>
  <c r="BW112" i="19"/>
  <c r="BW118" i="19" s="1"/>
  <c r="BV112" i="19"/>
  <c r="BV118" i="19" s="1"/>
  <c r="BU112" i="19"/>
  <c r="BU118" i="19" s="1"/>
  <c r="BT112" i="19"/>
  <c r="BT118" i="19" s="1"/>
  <c r="BS112" i="19"/>
  <c r="BS118" i="19" s="1"/>
  <c r="BR112" i="19"/>
  <c r="BR118" i="19" s="1"/>
  <c r="BQ112" i="19"/>
  <c r="BQ118" i="19" s="1"/>
  <c r="BP112" i="19"/>
  <c r="BP118" i="19" s="1"/>
  <c r="BO112" i="19"/>
  <c r="BO118" i="19" s="1"/>
  <c r="BN112" i="19"/>
  <c r="BN118" i="19" s="1"/>
  <c r="BM112" i="19"/>
  <c r="BM118" i="19" s="1"/>
  <c r="BL112" i="19"/>
  <c r="BL118" i="19" s="1"/>
  <c r="BK112" i="19"/>
  <c r="BK118" i="19" s="1"/>
  <c r="BJ112" i="19"/>
  <c r="BJ118" i="19" s="1"/>
  <c r="BI112" i="19"/>
  <c r="BI118" i="19" s="1"/>
  <c r="BH112" i="19"/>
  <c r="BH118" i="19" s="1"/>
  <c r="BG112" i="19"/>
  <c r="BG118" i="19" s="1"/>
  <c r="BF112" i="19"/>
  <c r="BF118" i="19" s="1"/>
  <c r="BE112" i="19"/>
  <c r="BE118" i="19" s="1"/>
  <c r="BD112" i="19"/>
  <c r="BD118" i="19" s="1"/>
  <c r="BC112" i="19"/>
  <c r="BC118" i="19" s="1"/>
  <c r="BB112" i="19"/>
  <c r="BB118" i="19" s="1"/>
  <c r="BA112" i="19"/>
  <c r="BA118" i="19" s="1"/>
  <c r="AZ112" i="19"/>
  <c r="AZ118" i="19" s="1"/>
  <c r="AY112" i="19"/>
  <c r="AY118" i="19" s="1"/>
  <c r="AX112" i="19"/>
  <c r="AX118" i="19" s="1"/>
  <c r="AW112" i="19"/>
  <c r="AW118" i="19" s="1"/>
  <c r="AV112" i="19"/>
  <c r="AV118" i="19" s="1"/>
  <c r="AU112" i="19"/>
  <c r="AU118" i="19" s="1"/>
  <c r="AT112" i="19"/>
  <c r="AT118" i="19" s="1"/>
  <c r="AS112" i="19"/>
  <c r="AS118" i="19" s="1"/>
  <c r="AR112" i="19"/>
  <c r="AR118" i="19" s="1"/>
  <c r="AQ112" i="19"/>
  <c r="AQ118" i="19" s="1"/>
  <c r="AP112" i="19"/>
  <c r="AP118" i="19" s="1"/>
  <c r="AO112" i="19"/>
  <c r="AO118" i="19" s="1"/>
  <c r="AN112" i="19"/>
  <c r="AN118" i="19" s="1"/>
  <c r="AM112" i="19"/>
  <c r="AM118" i="19" s="1"/>
  <c r="AL112" i="19"/>
  <c r="AL118" i="19" s="1"/>
  <c r="AK112" i="19"/>
  <c r="AK118" i="19" s="1"/>
  <c r="AJ112" i="19"/>
  <c r="AJ118" i="19" s="1"/>
  <c r="AI112" i="19"/>
  <c r="AI118" i="19" s="1"/>
  <c r="AH112" i="19"/>
  <c r="AH118" i="19" s="1"/>
  <c r="AG112" i="19"/>
  <c r="AG118" i="19" s="1"/>
  <c r="AF112" i="19"/>
  <c r="AF118" i="19" s="1"/>
  <c r="AE112" i="19"/>
  <c r="AE118" i="19" s="1"/>
  <c r="AD112" i="19"/>
  <c r="AD118" i="19" s="1"/>
  <c r="AB112" i="19"/>
  <c r="AB118" i="19" s="1"/>
  <c r="AA112" i="19"/>
  <c r="AA118" i="19" s="1"/>
  <c r="Z112" i="19"/>
  <c r="Z118" i="19" s="1"/>
  <c r="Y112" i="19"/>
  <c r="Y118" i="19" s="1"/>
  <c r="X112" i="19"/>
  <c r="X118" i="19" s="1"/>
  <c r="W112" i="19"/>
  <c r="W118" i="19" s="1"/>
  <c r="V112" i="19"/>
  <c r="V118" i="19" s="1"/>
  <c r="U112" i="19"/>
  <c r="U118" i="19" s="1"/>
  <c r="T112" i="19"/>
  <c r="T118" i="19" s="1"/>
  <c r="S112" i="19"/>
  <c r="S118" i="19" s="1"/>
  <c r="R112" i="19"/>
  <c r="R118" i="19" s="1"/>
  <c r="Q112" i="19"/>
  <c r="Q118" i="19" s="1"/>
  <c r="P112" i="19"/>
  <c r="P118" i="19" s="1"/>
  <c r="O112" i="19"/>
  <c r="O118" i="19" s="1"/>
  <c r="N112" i="19"/>
  <c r="N118" i="19" s="1"/>
  <c r="M112" i="19"/>
  <c r="M118" i="19" s="1"/>
  <c r="K112" i="19"/>
  <c r="K118" i="19" s="1"/>
  <c r="I112" i="19"/>
  <c r="I118" i="19" s="1"/>
  <c r="G112" i="19"/>
  <c r="G118" i="19" s="1"/>
  <c r="F112" i="19"/>
  <c r="F118" i="19" s="1"/>
  <c r="E112" i="19"/>
  <c r="E118" i="19" s="1"/>
  <c r="BW104" i="19"/>
  <c r="BV104" i="19"/>
  <c r="BU104" i="19"/>
  <c r="BT104" i="19"/>
  <c r="BS104" i="19"/>
  <c r="BR104" i="19"/>
  <c r="BQ104" i="19"/>
  <c r="BP104" i="19"/>
  <c r="BO104" i="19"/>
  <c r="BN104" i="19"/>
  <c r="BM104" i="19"/>
  <c r="BL104" i="19"/>
  <c r="BK104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AY104" i="19"/>
  <c r="AX104" i="19"/>
  <c r="AW104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G104" i="19"/>
  <c r="AF104" i="19"/>
  <c r="AE104" i="19"/>
  <c r="AD104" i="19"/>
  <c r="AB104" i="19"/>
  <c r="AA104" i="19"/>
  <c r="Z104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K104" i="19"/>
  <c r="I104" i="19"/>
  <c r="G104" i="19"/>
  <c r="F104" i="19"/>
  <c r="E104" i="19"/>
  <c r="G100" i="19"/>
  <c r="BY96" i="19"/>
  <c r="BY95" i="19"/>
  <c r="BY94" i="19"/>
  <c r="L92" i="19"/>
  <c r="BX90" i="19"/>
  <c r="BW90" i="19"/>
  <c r="BV90" i="19"/>
  <c r="BU90" i="19"/>
  <c r="BT90" i="19"/>
  <c r="BS90" i="19"/>
  <c r="BR90" i="19"/>
  <c r="BQ90" i="19"/>
  <c r="BP90" i="19"/>
  <c r="BO90" i="19"/>
  <c r="BN90" i="19"/>
  <c r="BM90" i="19"/>
  <c r="BL90" i="19"/>
  <c r="BK90" i="19"/>
  <c r="BJ90" i="19"/>
  <c r="BI90" i="19"/>
  <c r="BH90" i="19"/>
  <c r="BG90" i="19"/>
  <c r="BF90" i="19"/>
  <c r="BE90" i="19"/>
  <c r="BD90" i="19"/>
  <c r="BC90" i="19"/>
  <c r="BB90" i="19"/>
  <c r="BA90" i="19"/>
  <c r="AZ90" i="19"/>
  <c r="AY90" i="19"/>
  <c r="AX90" i="19"/>
  <c r="AW90" i="19"/>
  <c r="AV90" i="19"/>
  <c r="AU90" i="19"/>
  <c r="AT90" i="19"/>
  <c r="AS90" i="19"/>
  <c r="AR90" i="19"/>
  <c r="AQ90" i="19"/>
  <c r="AP90" i="19"/>
  <c r="AO90" i="19"/>
  <c r="AN90" i="19"/>
  <c r="AM90" i="19"/>
  <c r="AL90" i="19"/>
  <c r="AK90" i="19"/>
  <c r="AJ90" i="19"/>
  <c r="AI90" i="19"/>
  <c r="AH90" i="19"/>
  <c r="AG90" i="19"/>
  <c r="AF90" i="19"/>
  <c r="AE90" i="19"/>
  <c r="AD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BY89" i="19"/>
  <c r="BY88" i="19"/>
  <c r="BY87" i="19"/>
  <c r="BX87" i="19"/>
  <c r="BW87" i="19"/>
  <c r="BV87" i="19"/>
  <c r="BU87" i="19"/>
  <c r="BT87" i="19"/>
  <c r="BS87" i="19"/>
  <c r="BR87" i="19"/>
  <c r="BQ87" i="19"/>
  <c r="BP87" i="19"/>
  <c r="BO87" i="19"/>
  <c r="BN87" i="19"/>
  <c r="BM87" i="19"/>
  <c r="BL87" i="19"/>
  <c r="BK87" i="19"/>
  <c r="BJ87" i="19"/>
  <c r="BI87" i="19"/>
  <c r="BH87" i="19"/>
  <c r="BG87" i="19"/>
  <c r="BF87" i="19"/>
  <c r="BE87" i="19"/>
  <c r="BD87" i="19"/>
  <c r="BC87" i="19"/>
  <c r="BB87" i="19"/>
  <c r="BA87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BY86" i="19"/>
  <c r="BY85" i="19"/>
  <c r="BY84" i="19"/>
  <c r="BY83" i="19"/>
  <c r="BY81" i="19"/>
  <c r="BY80" i="19"/>
  <c r="BY79" i="19"/>
  <c r="BY78" i="19"/>
  <c r="BY77" i="19"/>
  <c r="BY76" i="19"/>
  <c r="BY75" i="19"/>
  <c r="BY74" i="19"/>
  <c r="BY73" i="19"/>
  <c r="BY72" i="19"/>
  <c r="BY71" i="19"/>
  <c r="BY70" i="19"/>
  <c r="BY69" i="19"/>
  <c r="BY68" i="19"/>
  <c r="BY67" i="19"/>
  <c r="BY66" i="19"/>
  <c r="BY65" i="19"/>
  <c r="BY64" i="19"/>
  <c r="BX63" i="19"/>
  <c r="BW63" i="19"/>
  <c r="BV63" i="19"/>
  <c r="BU63" i="19"/>
  <c r="BT63" i="19"/>
  <c r="BS63" i="19"/>
  <c r="BR63" i="19"/>
  <c r="BQ63" i="19"/>
  <c r="BP63" i="19"/>
  <c r="BO63" i="19"/>
  <c r="BN63" i="19"/>
  <c r="BM63" i="19"/>
  <c r="BL63" i="19"/>
  <c r="BK63" i="19"/>
  <c r="BJ63" i="19"/>
  <c r="BI63" i="19"/>
  <c r="BH63" i="19"/>
  <c r="BG63" i="19"/>
  <c r="BF63" i="19"/>
  <c r="BE63" i="19"/>
  <c r="BD63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E63" i="19"/>
  <c r="AD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P62" i="19"/>
  <c r="BY61" i="19"/>
  <c r="D61" i="19"/>
  <c r="BY60" i="19"/>
  <c r="BY59" i="19"/>
  <c r="L57" i="19"/>
  <c r="BY56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I54" i="19"/>
  <c r="BY54" i="19" s="1"/>
  <c r="J53" i="19"/>
  <c r="I53" i="19"/>
  <c r="H53" i="19"/>
  <c r="BY52" i="19"/>
  <c r="BY51" i="19"/>
  <c r="K50" i="19"/>
  <c r="BY50" i="19" s="1"/>
  <c r="BX49" i="19"/>
  <c r="BW49" i="19"/>
  <c r="BV49" i="19"/>
  <c r="BU49" i="19"/>
  <c r="BT49" i="19"/>
  <c r="BS49" i="19"/>
  <c r="BR49" i="19"/>
  <c r="BQ49" i="19"/>
  <c r="BP49" i="19"/>
  <c r="BO49" i="19"/>
  <c r="BN49" i="19"/>
  <c r="BM49" i="19"/>
  <c r="BL49" i="19"/>
  <c r="BK49" i="19"/>
  <c r="BJ49" i="19"/>
  <c r="BI49" i="19"/>
  <c r="BH49" i="19"/>
  <c r="BG49" i="19"/>
  <c r="BF49" i="19"/>
  <c r="BE49" i="19"/>
  <c r="BD49" i="19"/>
  <c r="BC49" i="19"/>
  <c r="BB49" i="19"/>
  <c r="BA49" i="19"/>
  <c r="AZ49" i="19"/>
  <c r="AY49" i="19"/>
  <c r="AX49" i="19"/>
  <c r="AW49" i="19"/>
  <c r="AV49" i="19"/>
  <c r="AU49" i="19"/>
  <c r="AT49" i="19"/>
  <c r="AS49" i="19"/>
  <c r="AR49" i="19"/>
  <c r="AQ49" i="19"/>
  <c r="AP49" i="19"/>
  <c r="AO49" i="19"/>
  <c r="AN49" i="19"/>
  <c r="AM49" i="19"/>
  <c r="AL49" i="19"/>
  <c r="AK49" i="19"/>
  <c r="AJ49" i="19"/>
  <c r="AI49" i="19"/>
  <c r="AH49" i="19"/>
  <c r="AG49" i="19"/>
  <c r="AF49" i="19"/>
  <c r="AE49" i="19"/>
  <c r="AD49" i="19"/>
  <c r="J49" i="19"/>
  <c r="I49" i="19"/>
  <c r="H49" i="19"/>
  <c r="G49" i="19"/>
  <c r="F49" i="19"/>
  <c r="E49" i="19"/>
  <c r="O48" i="19"/>
  <c r="K48" i="19"/>
  <c r="BY48" i="19" s="1"/>
  <c r="BY47" i="19"/>
  <c r="I46" i="19"/>
  <c r="H46" i="19"/>
  <c r="AC45" i="19"/>
  <c r="AB45" i="19"/>
  <c r="AA45" i="19"/>
  <c r="Z45" i="19"/>
  <c r="Y45" i="19"/>
  <c r="X45" i="19"/>
  <c r="W45" i="19"/>
  <c r="V45" i="19"/>
  <c r="U45" i="19"/>
  <c r="J45" i="19"/>
  <c r="H45" i="19"/>
  <c r="J44" i="19"/>
  <c r="H44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BM42" i="19"/>
  <c r="BL42" i="19"/>
  <c r="BK42" i="19"/>
  <c r="BJ42" i="19"/>
  <c r="BI42" i="19"/>
  <c r="BH42" i="19"/>
  <c r="BG42" i="19"/>
  <c r="BF42" i="19"/>
  <c r="BE42" i="19"/>
  <c r="BD42" i="19"/>
  <c r="BC42" i="19"/>
  <c r="BB42" i="19"/>
  <c r="BA42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H42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BY42" i="19" s="1"/>
  <c r="BY41" i="19"/>
  <c r="BY40" i="19"/>
  <c r="BY39" i="19"/>
  <c r="P38" i="19"/>
  <c r="O38" i="19"/>
  <c r="N38" i="19"/>
  <c r="M38" i="19"/>
  <c r="L38" i="19"/>
  <c r="K38" i="19"/>
  <c r="J38" i="19"/>
  <c r="I38" i="19"/>
  <c r="BY38" i="19" s="1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B37" i="19"/>
  <c r="AA37" i="19"/>
  <c r="Z37" i="19"/>
  <c r="Y37" i="19"/>
  <c r="X37" i="19"/>
  <c r="W37" i="19"/>
  <c r="V37" i="19"/>
  <c r="U37" i="19"/>
  <c r="J37" i="19"/>
  <c r="I37" i="19"/>
  <c r="H37" i="19"/>
  <c r="G37" i="19"/>
  <c r="F37" i="19"/>
  <c r="E37" i="19"/>
  <c r="BY36" i="19"/>
  <c r="BY35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BY33" i="19"/>
  <c r="L32" i="19"/>
  <c r="I32" i="19"/>
  <c r="BY32" i="19" s="1"/>
  <c r="H31" i="19"/>
  <c r="BY31" i="19" s="1"/>
  <c r="BY30" i="19"/>
  <c r="BY29" i="19"/>
  <c r="BY28" i="19"/>
  <c r="P27" i="19"/>
  <c r="O27" i="19"/>
  <c r="N27" i="19"/>
  <c r="M27" i="19"/>
  <c r="L27" i="19"/>
  <c r="K27" i="19"/>
  <c r="BY27" i="19" s="1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K25" i="19"/>
  <c r="BY25" i="19" s="1"/>
  <c r="K24" i="19"/>
  <c r="I24" i="19"/>
  <c r="BY24" i="19" s="1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BY22" i="19"/>
  <c r="BY21" i="19"/>
  <c r="BY20" i="19"/>
  <c r="BY19" i="19"/>
  <c r="J18" i="19"/>
  <c r="H18" i="19"/>
  <c r="BY18" i="19" s="1"/>
  <c r="BY17" i="19"/>
  <c r="BX17" i="19"/>
  <c r="BX98" i="19" s="1"/>
  <c r="BW17" i="19"/>
  <c r="BW98" i="19" s="1"/>
  <c r="BV17" i="19"/>
  <c r="BV98" i="19" s="1"/>
  <c r="BU17" i="19"/>
  <c r="BU98" i="19" s="1"/>
  <c r="BT17" i="19"/>
  <c r="BT98" i="19" s="1"/>
  <c r="BS17" i="19"/>
  <c r="BS98" i="19" s="1"/>
  <c r="BR17" i="19"/>
  <c r="BR98" i="19" s="1"/>
  <c r="BQ17" i="19"/>
  <c r="BQ98" i="19" s="1"/>
  <c r="BP17" i="19"/>
  <c r="BP98" i="19" s="1"/>
  <c r="BO17" i="19"/>
  <c r="BO98" i="19" s="1"/>
  <c r="BN17" i="19"/>
  <c r="BN98" i="19" s="1"/>
  <c r="BM17" i="19"/>
  <c r="BM98" i="19" s="1"/>
  <c r="BL17" i="19"/>
  <c r="BL98" i="19" s="1"/>
  <c r="BK17" i="19"/>
  <c r="BK98" i="19" s="1"/>
  <c r="BJ17" i="19"/>
  <c r="BJ98" i="19" s="1"/>
  <c r="BI17" i="19"/>
  <c r="BI98" i="19" s="1"/>
  <c r="BH17" i="19"/>
  <c r="BH98" i="19" s="1"/>
  <c r="BG17" i="19"/>
  <c r="BG98" i="19" s="1"/>
  <c r="BF17" i="19"/>
  <c r="BF98" i="19" s="1"/>
  <c r="BE17" i="19"/>
  <c r="BE98" i="19" s="1"/>
  <c r="BD17" i="19"/>
  <c r="BD98" i="19" s="1"/>
  <c r="BC17" i="19"/>
  <c r="BC98" i="19" s="1"/>
  <c r="BB17" i="19"/>
  <c r="BB98" i="19" s="1"/>
  <c r="BA17" i="19"/>
  <c r="BA98" i="19" s="1"/>
  <c r="AZ17" i="19"/>
  <c r="AZ98" i="19" s="1"/>
  <c r="AY17" i="19"/>
  <c r="AY98" i="19" s="1"/>
  <c r="AX17" i="19"/>
  <c r="AX98" i="19" s="1"/>
  <c r="AW17" i="19"/>
  <c r="AW98" i="19" s="1"/>
  <c r="AV17" i="19"/>
  <c r="AV98" i="19" s="1"/>
  <c r="AU17" i="19"/>
  <c r="AU98" i="19" s="1"/>
  <c r="AT17" i="19"/>
  <c r="AT98" i="19" s="1"/>
  <c r="AS17" i="19"/>
  <c r="AS98" i="19" s="1"/>
  <c r="AR17" i="19"/>
  <c r="AR98" i="19" s="1"/>
  <c r="AQ17" i="19"/>
  <c r="AQ98" i="19" s="1"/>
  <c r="AP17" i="19"/>
  <c r="AP98" i="19" s="1"/>
  <c r="AO17" i="19"/>
  <c r="AO98" i="19" s="1"/>
  <c r="AN17" i="19"/>
  <c r="AN98" i="19" s="1"/>
  <c r="AM17" i="19"/>
  <c r="AM98" i="19" s="1"/>
  <c r="AL17" i="19"/>
  <c r="AL98" i="19" s="1"/>
  <c r="AK17" i="19"/>
  <c r="AK98" i="19" s="1"/>
  <c r="AJ17" i="19"/>
  <c r="AJ98" i="19" s="1"/>
  <c r="AI17" i="19"/>
  <c r="AI98" i="19" s="1"/>
  <c r="AH17" i="19"/>
  <c r="AH98" i="19" s="1"/>
  <c r="AG17" i="19"/>
  <c r="AG98" i="19" s="1"/>
  <c r="AF17" i="19"/>
  <c r="AF98" i="19" s="1"/>
  <c r="AE17" i="19"/>
  <c r="AE98" i="19" s="1"/>
  <c r="AD17" i="19"/>
  <c r="AD98" i="19" s="1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J98" i="19" s="1"/>
  <c r="I17" i="19"/>
  <c r="I98" i="19" s="1"/>
  <c r="H17" i="19"/>
  <c r="H98" i="19" s="1"/>
  <c r="G17" i="19"/>
  <c r="G98" i="19" s="1"/>
  <c r="F17" i="19"/>
  <c r="F98" i="19" s="1"/>
  <c r="E17" i="19"/>
  <c r="E98" i="19" s="1"/>
  <c r="BX16" i="19"/>
  <c r="BX99" i="19" s="1"/>
  <c r="BW16" i="19"/>
  <c r="BW99" i="19" s="1"/>
  <c r="BV16" i="19"/>
  <c r="BV99" i="19" s="1"/>
  <c r="BU16" i="19"/>
  <c r="BU99" i="19" s="1"/>
  <c r="BT16" i="19"/>
  <c r="BT99" i="19" s="1"/>
  <c r="BS16" i="19"/>
  <c r="BS99" i="19" s="1"/>
  <c r="BR16" i="19"/>
  <c r="BR99" i="19" s="1"/>
  <c r="BQ16" i="19"/>
  <c r="BQ99" i="19" s="1"/>
  <c r="BP16" i="19"/>
  <c r="BP99" i="19" s="1"/>
  <c r="BO16" i="19"/>
  <c r="BO99" i="19" s="1"/>
  <c r="BN16" i="19"/>
  <c r="BN99" i="19" s="1"/>
  <c r="BM16" i="19"/>
  <c r="BM99" i="19" s="1"/>
  <c r="BL16" i="19"/>
  <c r="BL99" i="19" s="1"/>
  <c r="BK16" i="19"/>
  <c r="BK99" i="19" s="1"/>
  <c r="BJ16" i="19"/>
  <c r="BJ99" i="19" s="1"/>
  <c r="BI16" i="19"/>
  <c r="BI99" i="19" s="1"/>
  <c r="BH16" i="19"/>
  <c r="BH99" i="19" s="1"/>
  <c r="BG16" i="19"/>
  <c r="BG99" i="19" s="1"/>
  <c r="BF16" i="19"/>
  <c r="BF99" i="19" s="1"/>
  <c r="BE16" i="19"/>
  <c r="BE99" i="19" s="1"/>
  <c r="BD16" i="19"/>
  <c r="BD99" i="19" s="1"/>
  <c r="BC16" i="19"/>
  <c r="BC99" i="19" s="1"/>
  <c r="BB16" i="19"/>
  <c r="BB99" i="19" s="1"/>
  <c r="BA16" i="19"/>
  <c r="BA99" i="19" s="1"/>
  <c r="AZ16" i="19"/>
  <c r="AZ99" i="19" s="1"/>
  <c r="AY16" i="19"/>
  <c r="AY99" i="19" s="1"/>
  <c r="AX16" i="19"/>
  <c r="AX99" i="19" s="1"/>
  <c r="AW16" i="19"/>
  <c r="AW99" i="19" s="1"/>
  <c r="AV16" i="19"/>
  <c r="AV99" i="19" s="1"/>
  <c r="AU16" i="19"/>
  <c r="AU99" i="19" s="1"/>
  <c r="AT16" i="19"/>
  <c r="AT99" i="19" s="1"/>
  <c r="AS16" i="19"/>
  <c r="AS99" i="19" s="1"/>
  <c r="AR16" i="19"/>
  <c r="AR99" i="19" s="1"/>
  <c r="AQ16" i="19"/>
  <c r="AQ99" i="19" s="1"/>
  <c r="AP16" i="19"/>
  <c r="AP99" i="19" s="1"/>
  <c r="AO16" i="19"/>
  <c r="AO99" i="19" s="1"/>
  <c r="AN16" i="19"/>
  <c r="AN99" i="19" s="1"/>
  <c r="AM16" i="19"/>
  <c r="AM99" i="19" s="1"/>
  <c r="AL16" i="19"/>
  <c r="AL99" i="19" s="1"/>
  <c r="AK16" i="19"/>
  <c r="AK99" i="19" s="1"/>
  <c r="AJ16" i="19"/>
  <c r="AJ99" i="19" s="1"/>
  <c r="AI16" i="19"/>
  <c r="AI99" i="19" s="1"/>
  <c r="AH16" i="19"/>
  <c r="AH99" i="19" s="1"/>
  <c r="AG16" i="19"/>
  <c r="AG99" i="19" s="1"/>
  <c r="AF16" i="19"/>
  <c r="AF99" i="19" s="1"/>
  <c r="AE16" i="19"/>
  <c r="AE99" i="19" s="1"/>
  <c r="AD16" i="19"/>
  <c r="AD99" i="19" s="1"/>
  <c r="I16" i="19"/>
  <c r="I99" i="19" s="1"/>
  <c r="G16" i="19"/>
  <c r="G99" i="19" s="1"/>
  <c r="F16" i="19"/>
  <c r="F99" i="19" s="1"/>
  <c r="E16" i="19"/>
  <c r="E99" i="19" s="1"/>
  <c r="E100" i="19" s="1"/>
  <c r="O15" i="19"/>
  <c r="CE14" i="19"/>
  <c r="CE15" i="19" s="1"/>
  <c r="L14" i="19"/>
  <c r="K14" i="19"/>
  <c r="O11" i="19"/>
  <c r="N11" i="19"/>
  <c r="M11" i="19"/>
  <c r="BY10" i="19"/>
  <c r="CB10" i="19" s="1"/>
  <c r="BY9" i="19"/>
  <c r="BY8" i="19"/>
  <c r="CB8" i="19" s="1"/>
  <c r="CF7" i="19"/>
  <c r="L7" i="19"/>
  <c r="J6" i="19"/>
  <c r="H5" i="19"/>
  <c r="R8" i="18" a="1"/>
  <c r="R8" i="18"/>
  <c r="S8" i="18" s="1"/>
  <c r="W200" i="17"/>
  <c r="V200" i="17"/>
  <c r="U200" i="17"/>
  <c r="T200" i="17"/>
  <c r="S200" i="17"/>
  <c r="D188" i="17"/>
  <c r="BX181" i="17"/>
  <c r="BW181" i="17"/>
  <c r="BV181" i="17"/>
  <c r="BU181" i="17"/>
  <c r="BT181" i="17"/>
  <c r="BS181" i="17"/>
  <c r="BR181" i="17"/>
  <c r="BQ181" i="17"/>
  <c r="BP181" i="17"/>
  <c r="BO181" i="17"/>
  <c r="BN181" i="17"/>
  <c r="BM181" i="17"/>
  <c r="BL181" i="17"/>
  <c r="BK181" i="17"/>
  <c r="BJ181" i="17"/>
  <c r="BI181" i="17"/>
  <c r="BH181" i="17"/>
  <c r="BG181" i="17"/>
  <c r="BF181" i="17"/>
  <c r="BE181" i="17"/>
  <c r="BD181" i="17"/>
  <c r="BC181" i="17"/>
  <c r="BB181" i="17"/>
  <c r="BA181" i="17"/>
  <c r="AZ181" i="17"/>
  <c r="AY181" i="17"/>
  <c r="AX181" i="17"/>
  <c r="AW181" i="17"/>
  <c r="AV181" i="17"/>
  <c r="AU181" i="17"/>
  <c r="AT181" i="17"/>
  <c r="AS181" i="17"/>
  <c r="AR181" i="17"/>
  <c r="AQ181" i="17"/>
  <c r="AP181" i="17"/>
  <c r="AO181" i="17"/>
  <c r="AN181" i="17"/>
  <c r="AM181" i="17"/>
  <c r="AL181" i="17"/>
  <c r="AK181" i="17"/>
  <c r="AJ181" i="17"/>
  <c r="AI181" i="17"/>
  <c r="AH181" i="17"/>
  <c r="AG181" i="17"/>
  <c r="AF181" i="17"/>
  <c r="AE181" i="17"/>
  <c r="AD181" i="17"/>
  <c r="AC181" i="17"/>
  <c r="AB181" i="17"/>
  <c r="AA181" i="17"/>
  <c r="Z181" i="17"/>
  <c r="Y181" i="17"/>
  <c r="X181" i="17"/>
  <c r="W181" i="17"/>
  <c r="V181" i="17"/>
  <c r="U181" i="17"/>
  <c r="T181" i="17"/>
  <c r="S181" i="17"/>
  <c r="S184" i="17" s="1"/>
  <c r="R181" i="17"/>
  <c r="R184" i="17" s="1"/>
  <c r="Q181" i="17"/>
  <c r="Q184" i="17" s="1"/>
  <c r="P181" i="17"/>
  <c r="P184" i="17" s="1"/>
  <c r="O181" i="17"/>
  <c r="O184" i="17" s="1"/>
  <c r="N181" i="17"/>
  <c r="N184" i="17" s="1"/>
  <c r="M181" i="17"/>
  <c r="M184" i="17" s="1"/>
  <c r="L181" i="17"/>
  <c r="L184" i="17" s="1"/>
  <c r="K181" i="17"/>
  <c r="K184" i="17" s="1"/>
  <c r="J181" i="17"/>
  <c r="J184" i="17" s="1"/>
  <c r="I181" i="17"/>
  <c r="I184" i="17" s="1"/>
  <c r="H181" i="17"/>
  <c r="G181" i="17"/>
  <c r="F181" i="17"/>
  <c r="E181" i="17"/>
  <c r="BX179" i="17"/>
  <c r="BW179" i="17"/>
  <c r="BW184" i="17" s="1"/>
  <c r="BV179" i="17"/>
  <c r="BV184" i="17" s="1"/>
  <c r="BU179" i="17"/>
  <c r="BU184" i="17" s="1"/>
  <c r="BT179" i="17"/>
  <c r="BT184" i="17" s="1"/>
  <c r="BS179" i="17"/>
  <c r="BS184" i="17" s="1"/>
  <c r="BR179" i="17"/>
  <c r="BR184" i="17" s="1"/>
  <c r="BQ179" i="17"/>
  <c r="BQ184" i="17" s="1"/>
  <c r="BP179" i="17"/>
  <c r="BP184" i="17" s="1"/>
  <c r="BO179" i="17"/>
  <c r="BO184" i="17" s="1"/>
  <c r="BN179" i="17"/>
  <c r="BN184" i="17" s="1"/>
  <c r="BM179" i="17"/>
  <c r="BM184" i="17" s="1"/>
  <c r="BL179" i="17"/>
  <c r="BL184" i="17" s="1"/>
  <c r="BK179" i="17"/>
  <c r="BK184" i="17" s="1"/>
  <c r="BJ179" i="17"/>
  <c r="BJ184" i="17" s="1"/>
  <c r="BI179" i="17"/>
  <c r="BI184" i="17" s="1"/>
  <c r="BH179" i="17"/>
  <c r="BH184" i="17" s="1"/>
  <c r="BG179" i="17"/>
  <c r="BG184" i="17" s="1"/>
  <c r="BF179" i="17"/>
  <c r="BF184" i="17" s="1"/>
  <c r="BE179" i="17"/>
  <c r="BE184" i="17" s="1"/>
  <c r="BD179" i="17"/>
  <c r="BD184" i="17" s="1"/>
  <c r="BC179" i="17"/>
  <c r="BC184" i="17" s="1"/>
  <c r="BB179" i="17"/>
  <c r="BB184" i="17" s="1"/>
  <c r="BA179" i="17"/>
  <c r="BA184" i="17" s="1"/>
  <c r="AZ179" i="17"/>
  <c r="AZ184" i="17" s="1"/>
  <c r="AY179" i="17"/>
  <c r="AY184" i="17" s="1"/>
  <c r="AX179" i="17"/>
  <c r="AX184" i="17" s="1"/>
  <c r="AW179" i="17"/>
  <c r="AW184" i="17" s="1"/>
  <c r="AV179" i="17"/>
  <c r="AV184" i="17" s="1"/>
  <c r="AU179" i="17"/>
  <c r="AU184" i="17" s="1"/>
  <c r="AT179" i="17"/>
  <c r="AT184" i="17" s="1"/>
  <c r="AS179" i="17"/>
  <c r="AS184" i="17" s="1"/>
  <c r="AR179" i="17"/>
  <c r="AR184" i="17" s="1"/>
  <c r="AQ179" i="17"/>
  <c r="AQ184" i="17" s="1"/>
  <c r="AP179" i="17"/>
  <c r="AP184" i="17" s="1"/>
  <c r="AO179" i="17"/>
  <c r="AO184" i="17" s="1"/>
  <c r="AN179" i="17"/>
  <c r="AN184" i="17" s="1"/>
  <c r="AM179" i="17"/>
  <c r="AM184" i="17" s="1"/>
  <c r="AL179" i="17"/>
  <c r="AL184" i="17" s="1"/>
  <c r="AK179" i="17"/>
  <c r="AK184" i="17" s="1"/>
  <c r="AJ179" i="17"/>
  <c r="AJ184" i="17" s="1"/>
  <c r="AI179" i="17"/>
  <c r="AI184" i="17" s="1"/>
  <c r="AH179" i="17"/>
  <c r="AH184" i="17" s="1"/>
  <c r="AG179" i="17"/>
  <c r="AG184" i="17" s="1"/>
  <c r="AF179" i="17"/>
  <c r="AF184" i="17" s="1"/>
  <c r="AE179" i="17"/>
  <c r="AE184" i="17" s="1"/>
  <c r="AD179" i="17"/>
  <c r="AD184" i="17" s="1"/>
  <c r="AC179" i="17"/>
  <c r="AC184" i="17" s="1"/>
  <c r="AB179" i="17"/>
  <c r="AB184" i="17" s="1"/>
  <c r="AA179" i="17"/>
  <c r="AA184" i="17" s="1"/>
  <c r="Z179" i="17"/>
  <c r="Z184" i="17" s="1"/>
  <c r="Y179" i="17"/>
  <c r="Y184" i="17" s="1"/>
  <c r="X179" i="17"/>
  <c r="X184" i="17" s="1"/>
  <c r="W179" i="17"/>
  <c r="W184" i="17" s="1"/>
  <c r="V179" i="17"/>
  <c r="V184" i="17" s="1"/>
  <c r="U179" i="17"/>
  <c r="U184" i="17" s="1"/>
  <c r="T179" i="17"/>
  <c r="H179" i="17"/>
  <c r="H184" i="17" s="1"/>
  <c r="G179" i="17"/>
  <c r="G184" i="17" s="1"/>
  <c r="F179" i="17"/>
  <c r="F184" i="17" s="1"/>
  <c r="E179" i="17"/>
  <c r="E184" i="17" s="1"/>
  <c r="D172" i="17"/>
  <c r="BX165" i="17"/>
  <c r="BW165" i="17"/>
  <c r="BV165" i="17"/>
  <c r="BU165" i="17"/>
  <c r="BT165" i="17"/>
  <c r="BS165" i="17"/>
  <c r="BR165" i="17"/>
  <c r="BQ165" i="17"/>
  <c r="BP165" i="17"/>
  <c r="BO165" i="17"/>
  <c r="BN165" i="17"/>
  <c r="BM165" i="17"/>
  <c r="BL165" i="17"/>
  <c r="BK165" i="17"/>
  <c r="BJ165" i="17"/>
  <c r="BI165" i="17"/>
  <c r="BH165" i="17"/>
  <c r="BG165" i="17"/>
  <c r="BF165" i="17"/>
  <c r="BE165" i="17"/>
  <c r="BD165" i="17"/>
  <c r="BC165" i="17"/>
  <c r="BB165" i="17"/>
  <c r="BA165" i="17"/>
  <c r="AZ165" i="17"/>
  <c r="AY165" i="17"/>
  <c r="AX165" i="17"/>
  <c r="AW165" i="17"/>
  <c r="AV165" i="17"/>
  <c r="AU165" i="17"/>
  <c r="AT165" i="17"/>
  <c r="AS165" i="17"/>
  <c r="AR165" i="17"/>
  <c r="AQ165" i="17"/>
  <c r="AP165" i="17"/>
  <c r="AO165" i="17"/>
  <c r="AN165" i="17"/>
  <c r="AM165" i="17"/>
  <c r="AL165" i="17"/>
  <c r="AK165" i="17"/>
  <c r="AJ165" i="17"/>
  <c r="AI165" i="17"/>
  <c r="AH165" i="17"/>
  <c r="AG165" i="17"/>
  <c r="AF165" i="17"/>
  <c r="AE165" i="17"/>
  <c r="AD165" i="17"/>
  <c r="AC165" i="17"/>
  <c r="AB165" i="17"/>
  <c r="AA165" i="17"/>
  <c r="Z165" i="17"/>
  <c r="Y165" i="17"/>
  <c r="X165" i="17"/>
  <c r="W165" i="17"/>
  <c r="V165" i="17"/>
  <c r="U165" i="17"/>
  <c r="T165" i="17"/>
  <c r="S165" i="17"/>
  <c r="R165" i="17"/>
  <c r="Q165" i="17"/>
  <c r="P165" i="17"/>
  <c r="O165" i="17"/>
  <c r="N165" i="17"/>
  <c r="M165" i="17"/>
  <c r="L165" i="17"/>
  <c r="K165" i="17"/>
  <c r="J165" i="17"/>
  <c r="I165" i="17"/>
  <c r="H165" i="17"/>
  <c r="G165" i="17"/>
  <c r="F165" i="17"/>
  <c r="E165" i="17"/>
  <c r="BX163" i="17"/>
  <c r="BW163" i="17"/>
  <c r="BW168" i="17" s="1"/>
  <c r="BV163" i="17"/>
  <c r="BV168" i="17" s="1"/>
  <c r="BU163" i="17"/>
  <c r="BU168" i="17" s="1"/>
  <c r="BT163" i="17"/>
  <c r="BT168" i="17" s="1"/>
  <c r="BS163" i="17"/>
  <c r="BS168" i="17" s="1"/>
  <c r="BR163" i="17"/>
  <c r="BR168" i="17" s="1"/>
  <c r="BQ163" i="17"/>
  <c r="BQ168" i="17" s="1"/>
  <c r="BP163" i="17"/>
  <c r="BP168" i="17" s="1"/>
  <c r="BO163" i="17"/>
  <c r="BO168" i="17" s="1"/>
  <c r="BN163" i="17"/>
  <c r="BN168" i="17" s="1"/>
  <c r="BM163" i="17"/>
  <c r="BM168" i="17" s="1"/>
  <c r="BL163" i="17"/>
  <c r="BL168" i="17" s="1"/>
  <c r="BK163" i="17"/>
  <c r="BK168" i="17" s="1"/>
  <c r="BJ163" i="17"/>
  <c r="BJ168" i="17" s="1"/>
  <c r="BI163" i="17"/>
  <c r="BI168" i="17" s="1"/>
  <c r="BH163" i="17"/>
  <c r="BH168" i="17" s="1"/>
  <c r="BG163" i="17"/>
  <c r="BG168" i="17" s="1"/>
  <c r="BF163" i="17"/>
  <c r="BF168" i="17" s="1"/>
  <c r="BE163" i="17"/>
  <c r="BE168" i="17" s="1"/>
  <c r="BD163" i="17"/>
  <c r="BD168" i="17" s="1"/>
  <c r="BC163" i="17"/>
  <c r="BC168" i="17" s="1"/>
  <c r="BB163" i="17"/>
  <c r="BB168" i="17" s="1"/>
  <c r="BA163" i="17"/>
  <c r="BA168" i="17" s="1"/>
  <c r="AZ163" i="17"/>
  <c r="AZ168" i="17" s="1"/>
  <c r="AY163" i="17"/>
  <c r="AY168" i="17" s="1"/>
  <c r="AX163" i="17"/>
  <c r="AX168" i="17" s="1"/>
  <c r="AW163" i="17"/>
  <c r="AW168" i="17" s="1"/>
  <c r="AV163" i="17"/>
  <c r="AV168" i="17" s="1"/>
  <c r="AU163" i="17"/>
  <c r="AU168" i="17" s="1"/>
  <c r="AT163" i="17"/>
  <c r="AT168" i="17" s="1"/>
  <c r="AS163" i="17"/>
  <c r="AS168" i="17" s="1"/>
  <c r="AR163" i="17"/>
  <c r="AR168" i="17" s="1"/>
  <c r="AQ163" i="17"/>
  <c r="AQ168" i="17" s="1"/>
  <c r="AP163" i="17"/>
  <c r="AP168" i="17" s="1"/>
  <c r="AO163" i="17"/>
  <c r="AO168" i="17" s="1"/>
  <c r="AN163" i="17"/>
  <c r="AN168" i="17" s="1"/>
  <c r="AM163" i="17"/>
  <c r="AM168" i="17" s="1"/>
  <c r="AL163" i="17"/>
  <c r="AL168" i="17" s="1"/>
  <c r="AK163" i="17"/>
  <c r="AK168" i="17" s="1"/>
  <c r="AJ163" i="17"/>
  <c r="AJ168" i="17" s="1"/>
  <c r="AI163" i="17"/>
  <c r="AI168" i="17" s="1"/>
  <c r="AH163" i="17"/>
  <c r="AH168" i="17" s="1"/>
  <c r="AG163" i="17"/>
  <c r="AG168" i="17" s="1"/>
  <c r="AF163" i="17"/>
  <c r="AF168" i="17" s="1"/>
  <c r="AE163" i="17"/>
  <c r="AE168" i="17" s="1"/>
  <c r="AD163" i="17"/>
  <c r="AD168" i="17" s="1"/>
  <c r="AC163" i="17"/>
  <c r="AC168" i="17" s="1"/>
  <c r="AB163" i="17"/>
  <c r="AB168" i="17" s="1"/>
  <c r="Z163" i="17"/>
  <c r="Z168" i="17" s="1"/>
  <c r="Y163" i="17"/>
  <c r="Y168" i="17" s="1"/>
  <c r="X163" i="17"/>
  <c r="X168" i="17" s="1"/>
  <c r="W163" i="17"/>
  <c r="W168" i="17" s="1"/>
  <c r="V163" i="17"/>
  <c r="V168" i="17" s="1"/>
  <c r="U163" i="17"/>
  <c r="U168" i="17" s="1"/>
  <c r="T163" i="17"/>
  <c r="S163" i="17"/>
  <c r="S168" i="17" s="1"/>
  <c r="R163" i="17"/>
  <c r="R168" i="17" s="1"/>
  <c r="Q163" i="17"/>
  <c r="Q168" i="17" s="1"/>
  <c r="P163" i="17"/>
  <c r="P168" i="17" s="1"/>
  <c r="O163" i="17"/>
  <c r="O168" i="17" s="1"/>
  <c r="N163" i="17"/>
  <c r="N168" i="17" s="1"/>
  <c r="M163" i="17"/>
  <c r="M168" i="17" s="1"/>
  <c r="L163" i="17"/>
  <c r="L168" i="17" s="1"/>
  <c r="K163" i="17"/>
  <c r="K168" i="17" s="1"/>
  <c r="J163" i="17"/>
  <c r="J168" i="17" s="1"/>
  <c r="I163" i="17"/>
  <c r="I168" i="17" s="1"/>
  <c r="H163" i="17"/>
  <c r="H168" i="17" s="1"/>
  <c r="G163" i="17"/>
  <c r="G168" i="17" s="1"/>
  <c r="F163" i="17"/>
  <c r="F168" i="17" s="1"/>
  <c r="E163" i="17"/>
  <c r="E168" i="17" s="1"/>
  <c r="D156" i="17"/>
  <c r="T150" i="17"/>
  <c r="BX149" i="17"/>
  <c r="BW149" i="17"/>
  <c r="BV149" i="17"/>
  <c r="BU149" i="17"/>
  <c r="BT149" i="17"/>
  <c r="BS149" i="17"/>
  <c r="BR149" i="17"/>
  <c r="BQ149" i="17"/>
  <c r="BP149" i="17"/>
  <c r="BO149" i="17"/>
  <c r="BN149" i="17"/>
  <c r="BM149" i="17"/>
  <c r="BL149" i="17"/>
  <c r="BK149" i="17"/>
  <c r="BJ149" i="17"/>
  <c r="BI149" i="17"/>
  <c r="BH149" i="17"/>
  <c r="BG149" i="17"/>
  <c r="BF149" i="17"/>
  <c r="BE149" i="17"/>
  <c r="BD149" i="17"/>
  <c r="BC149" i="17"/>
  <c r="BB149" i="17"/>
  <c r="BA149" i="17"/>
  <c r="AZ149" i="17"/>
  <c r="AY149" i="17"/>
  <c r="AX149" i="17"/>
  <c r="AW149" i="17"/>
  <c r="AV149" i="17"/>
  <c r="AU149" i="17"/>
  <c r="AT149" i="17"/>
  <c r="AS149" i="17"/>
  <c r="AR149" i="17"/>
  <c r="AQ149" i="17"/>
  <c r="AP149" i="17"/>
  <c r="AO149" i="17"/>
  <c r="AN149" i="17"/>
  <c r="AM149" i="17"/>
  <c r="AL149" i="17"/>
  <c r="AK149" i="17"/>
  <c r="AJ149" i="17"/>
  <c r="AI149" i="17"/>
  <c r="AH149" i="17"/>
  <c r="AG149" i="17"/>
  <c r="AF149" i="17"/>
  <c r="AE149" i="17"/>
  <c r="AD149" i="17"/>
  <c r="AC149" i="17"/>
  <c r="AB149" i="17"/>
  <c r="AA149" i="17"/>
  <c r="Z149" i="17"/>
  <c r="Y149" i="17"/>
  <c r="X149" i="17"/>
  <c r="W149" i="17"/>
  <c r="V149" i="17"/>
  <c r="U149" i="17"/>
  <c r="T149" i="17"/>
  <c r="S149" i="17"/>
  <c r="R149" i="17"/>
  <c r="Q149" i="17"/>
  <c r="P149" i="17"/>
  <c r="O149" i="17"/>
  <c r="N149" i="17"/>
  <c r="M149" i="17"/>
  <c r="L149" i="17"/>
  <c r="K149" i="17"/>
  <c r="K152" i="17" s="1"/>
  <c r="J149" i="17"/>
  <c r="I149" i="17"/>
  <c r="I152" i="17" s="1"/>
  <c r="H149" i="17"/>
  <c r="G149" i="17"/>
  <c r="F149" i="17"/>
  <c r="E149" i="17"/>
  <c r="BX147" i="17"/>
  <c r="BW147" i="17"/>
  <c r="BW152" i="17" s="1"/>
  <c r="BV147" i="17"/>
  <c r="BV152" i="17" s="1"/>
  <c r="BU147" i="17"/>
  <c r="BU152" i="17" s="1"/>
  <c r="BT147" i="17"/>
  <c r="BT152" i="17" s="1"/>
  <c r="BS147" i="17"/>
  <c r="BS152" i="17" s="1"/>
  <c r="BR147" i="17"/>
  <c r="BR152" i="17" s="1"/>
  <c r="BQ147" i="17"/>
  <c r="BQ152" i="17" s="1"/>
  <c r="BP147" i="17"/>
  <c r="BP152" i="17" s="1"/>
  <c r="BO147" i="17"/>
  <c r="BO152" i="17" s="1"/>
  <c r="BN147" i="17"/>
  <c r="BN152" i="17" s="1"/>
  <c r="BM147" i="17"/>
  <c r="BM152" i="17" s="1"/>
  <c r="BL147" i="17"/>
  <c r="BL152" i="17" s="1"/>
  <c r="BK147" i="17"/>
  <c r="BK152" i="17" s="1"/>
  <c r="BJ147" i="17"/>
  <c r="BJ152" i="17" s="1"/>
  <c r="BI147" i="17"/>
  <c r="BI152" i="17" s="1"/>
  <c r="BH147" i="17"/>
  <c r="BH152" i="17" s="1"/>
  <c r="BG147" i="17"/>
  <c r="BG152" i="17" s="1"/>
  <c r="BF147" i="17"/>
  <c r="BF152" i="17" s="1"/>
  <c r="BE147" i="17"/>
  <c r="BE152" i="17" s="1"/>
  <c r="BD147" i="17"/>
  <c r="BD152" i="17" s="1"/>
  <c r="BC147" i="17"/>
  <c r="BC152" i="17" s="1"/>
  <c r="BB147" i="17"/>
  <c r="BB152" i="17" s="1"/>
  <c r="BA147" i="17"/>
  <c r="BA152" i="17" s="1"/>
  <c r="AZ147" i="17"/>
  <c r="AZ152" i="17" s="1"/>
  <c r="AY147" i="17"/>
  <c r="AY152" i="17" s="1"/>
  <c r="AX147" i="17"/>
  <c r="AX152" i="17" s="1"/>
  <c r="AW147" i="17"/>
  <c r="AW152" i="17" s="1"/>
  <c r="AV147" i="17"/>
  <c r="AV152" i="17" s="1"/>
  <c r="AU147" i="17"/>
  <c r="AU152" i="17" s="1"/>
  <c r="AT147" i="17"/>
  <c r="AT152" i="17" s="1"/>
  <c r="AS147" i="17"/>
  <c r="AS152" i="17" s="1"/>
  <c r="AR147" i="17"/>
  <c r="AR152" i="17" s="1"/>
  <c r="AQ147" i="17"/>
  <c r="AQ152" i="17" s="1"/>
  <c r="AP147" i="17"/>
  <c r="AP152" i="17" s="1"/>
  <c r="AO147" i="17"/>
  <c r="AO152" i="17" s="1"/>
  <c r="AN147" i="17"/>
  <c r="AN152" i="17" s="1"/>
  <c r="AM147" i="17"/>
  <c r="AM152" i="17" s="1"/>
  <c r="AL147" i="17"/>
  <c r="AL152" i="17" s="1"/>
  <c r="AK147" i="17"/>
  <c r="AK152" i="17" s="1"/>
  <c r="AJ147" i="17"/>
  <c r="AJ152" i="17" s="1"/>
  <c r="AI147" i="17"/>
  <c r="AI152" i="17" s="1"/>
  <c r="AH147" i="17"/>
  <c r="AH152" i="17" s="1"/>
  <c r="AG147" i="17"/>
  <c r="AG152" i="17" s="1"/>
  <c r="AF147" i="17"/>
  <c r="AF152" i="17" s="1"/>
  <c r="AE147" i="17"/>
  <c r="AE152" i="17" s="1"/>
  <c r="AD147" i="17"/>
  <c r="AD152" i="17" s="1"/>
  <c r="AC147" i="17"/>
  <c r="AC152" i="17" s="1"/>
  <c r="AB147" i="17"/>
  <c r="AB152" i="17" s="1"/>
  <c r="AA147" i="17"/>
  <c r="AA152" i="17" s="1"/>
  <c r="Z147" i="17"/>
  <c r="Z152" i="17" s="1"/>
  <c r="Y147" i="17"/>
  <c r="Y152" i="17" s="1"/>
  <c r="X147" i="17"/>
  <c r="X152" i="17" s="1"/>
  <c r="W147" i="17"/>
  <c r="W152" i="17" s="1"/>
  <c r="V147" i="17"/>
  <c r="V152" i="17" s="1"/>
  <c r="U147" i="17"/>
  <c r="U152" i="17" s="1"/>
  <c r="S147" i="17"/>
  <c r="S152" i="17" s="1"/>
  <c r="O147" i="17"/>
  <c r="O152" i="17" s="1"/>
  <c r="N147" i="17"/>
  <c r="N152" i="17" s="1"/>
  <c r="M147" i="17"/>
  <c r="M152" i="17" s="1"/>
  <c r="J147" i="17"/>
  <c r="J152" i="17" s="1"/>
  <c r="H147" i="17"/>
  <c r="G147" i="17"/>
  <c r="G152" i="17" s="1"/>
  <c r="F147" i="17"/>
  <c r="F152" i="17" s="1"/>
  <c r="E147" i="17"/>
  <c r="E152" i="17" s="1"/>
  <c r="E153" i="17" s="1"/>
  <c r="F153" i="17" s="1"/>
  <c r="G153" i="17" s="1"/>
  <c r="D140" i="17"/>
  <c r="BX133" i="17"/>
  <c r="BW133" i="17"/>
  <c r="BV133" i="17"/>
  <c r="BU133" i="17"/>
  <c r="BT133" i="17"/>
  <c r="BS133" i="17"/>
  <c r="BR133" i="17"/>
  <c r="BQ133" i="17"/>
  <c r="BP133" i="17"/>
  <c r="BO133" i="17"/>
  <c r="BN133" i="17"/>
  <c r="BM133" i="17"/>
  <c r="BL133" i="17"/>
  <c r="BK133" i="17"/>
  <c r="BJ133" i="17"/>
  <c r="BI133" i="17"/>
  <c r="BH133" i="17"/>
  <c r="BG133" i="17"/>
  <c r="BF133" i="17"/>
  <c r="BE133" i="17"/>
  <c r="BD133" i="17"/>
  <c r="BC133" i="17"/>
  <c r="BB133" i="17"/>
  <c r="BA133" i="17"/>
  <c r="AZ133" i="17"/>
  <c r="AY133" i="17"/>
  <c r="AX133" i="17"/>
  <c r="AW133" i="17"/>
  <c r="AV133" i="17"/>
  <c r="AU133" i="17"/>
  <c r="AT133" i="17"/>
  <c r="AS133" i="17"/>
  <c r="AR133" i="17"/>
  <c r="AQ133" i="17"/>
  <c r="AP133" i="17"/>
  <c r="AO133" i="17"/>
  <c r="AN133" i="17"/>
  <c r="AM133" i="17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F133" i="17"/>
  <c r="E133" i="17"/>
  <c r="BX131" i="17"/>
  <c r="BW131" i="17"/>
  <c r="BW136" i="17" s="1"/>
  <c r="BV131" i="17"/>
  <c r="BV136" i="17" s="1"/>
  <c r="BU131" i="17"/>
  <c r="BU136" i="17" s="1"/>
  <c r="BT131" i="17"/>
  <c r="BT136" i="17" s="1"/>
  <c r="BS131" i="17"/>
  <c r="BS136" i="17" s="1"/>
  <c r="BR131" i="17"/>
  <c r="BR136" i="17" s="1"/>
  <c r="BQ131" i="17"/>
  <c r="BQ136" i="17" s="1"/>
  <c r="BP131" i="17"/>
  <c r="BP136" i="17" s="1"/>
  <c r="BO131" i="17"/>
  <c r="BO136" i="17" s="1"/>
  <c r="BN131" i="17"/>
  <c r="BN136" i="17" s="1"/>
  <c r="BM131" i="17"/>
  <c r="BM136" i="17" s="1"/>
  <c r="BL131" i="17"/>
  <c r="BL136" i="17" s="1"/>
  <c r="BK131" i="17"/>
  <c r="BK136" i="17" s="1"/>
  <c r="BJ131" i="17"/>
  <c r="BJ136" i="17" s="1"/>
  <c r="BI131" i="17"/>
  <c r="BI136" i="17" s="1"/>
  <c r="BH131" i="17"/>
  <c r="BH136" i="17" s="1"/>
  <c r="BG131" i="17"/>
  <c r="BG136" i="17" s="1"/>
  <c r="BF131" i="17"/>
  <c r="BF136" i="17" s="1"/>
  <c r="BE131" i="17"/>
  <c r="BE136" i="17" s="1"/>
  <c r="BD131" i="17"/>
  <c r="BD136" i="17" s="1"/>
  <c r="BC131" i="17"/>
  <c r="BC136" i="17" s="1"/>
  <c r="BB131" i="17"/>
  <c r="BB136" i="17" s="1"/>
  <c r="BA131" i="17"/>
  <c r="BA136" i="17" s="1"/>
  <c r="AZ131" i="17"/>
  <c r="AZ136" i="17" s="1"/>
  <c r="AY131" i="17"/>
  <c r="AY136" i="17" s="1"/>
  <c r="AX131" i="17"/>
  <c r="AX136" i="17" s="1"/>
  <c r="AW131" i="17"/>
  <c r="AW136" i="17" s="1"/>
  <c r="AV131" i="17"/>
  <c r="AV136" i="17" s="1"/>
  <c r="AU131" i="17"/>
  <c r="AU136" i="17" s="1"/>
  <c r="AT131" i="17"/>
  <c r="AT136" i="17" s="1"/>
  <c r="AS131" i="17"/>
  <c r="AS136" i="17" s="1"/>
  <c r="AR131" i="17"/>
  <c r="AR136" i="17" s="1"/>
  <c r="AQ131" i="17"/>
  <c r="AQ136" i="17" s="1"/>
  <c r="AP131" i="17"/>
  <c r="AP136" i="17" s="1"/>
  <c r="AO131" i="17"/>
  <c r="AO136" i="17" s="1"/>
  <c r="AN131" i="17"/>
  <c r="AN136" i="17" s="1"/>
  <c r="AM131" i="17"/>
  <c r="AM136" i="17" s="1"/>
  <c r="AL131" i="17"/>
  <c r="AL136" i="17" s="1"/>
  <c r="AK131" i="17"/>
  <c r="AK136" i="17" s="1"/>
  <c r="AJ131" i="17"/>
  <c r="AJ136" i="17" s="1"/>
  <c r="AI131" i="17"/>
  <c r="AI136" i="17" s="1"/>
  <c r="AH131" i="17"/>
  <c r="AH136" i="17" s="1"/>
  <c r="AG131" i="17"/>
  <c r="AG136" i="17" s="1"/>
  <c r="AF131" i="17"/>
  <c r="AF136" i="17" s="1"/>
  <c r="AE131" i="17"/>
  <c r="AE136" i="17" s="1"/>
  <c r="AD131" i="17"/>
  <c r="AD136" i="17" s="1"/>
  <c r="AC131" i="17"/>
  <c r="AC136" i="17" s="1"/>
  <c r="AB131" i="17"/>
  <c r="AB136" i="17" s="1"/>
  <c r="Z131" i="17"/>
  <c r="Z136" i="17" s="1"/>
  <c r="Y131" i="17"/>
  <c r="Y136" i="17" s="1"/>
  <c r="X131" i="17"/>
  <c r="X136" i="17" s="1"/>
  <c r="W131" i="17"/>
  <c r="W136" i="17" s="1"/>
  <c r="V131" i="17"/>
  <c r="V136" i="17" s="1"/>
  <c r="U131" i="17"/>
  <c r="U136" i="17" s="1"/>
  <c r="T131" i="17"/>
  <c r="S131" i="17"/>
  <c r="S136" i="17" s="1"/>
  <c r="R131" i="17"/>
  <c r="R136" i="17" s="1"/>
  <c r="Q131" i="17"/>
  <c r="Q136" i="17" s="1"/>
  <c r="P131" i="17"/>
  <c r="P136" i="17" s="1"/>
  <c r="N131" i="17"/>
  <c r="N136" i="17" s="1"/>
  <c r="K131" i="17"/>
  <c r="K136" i="17" s="1"/>
  <c r="J131" i="17"/>
  <c r="J136" i="17" s="1"/>
  <c r="I131" i="17"/>
  <c r="I136" i="17" s="1"/>
  <c r="H131" i="17"/>
  <c r="H136" i="17" s="1"/>
  <c r="G131" i="17"/>
  <c r="G136" i="17" s="1"/>
  <c r="F131" i="17"/>
  <c r="F136" i="17" s="1"/>
  <c r="E131" i="17"/>
  <c r="BX115" i="17"/>
  <c r="BW115" i="17"/>
  <c r="BV115" i="17"/>
  <c r="BU115" i="17"/>
  <c r="BT115" i="17"/>
  <c r="BS115" i="17"/>
  <c r="BR115" i="17"/>
  <c r="BQ115" i="17"/>
  <c r="BP115" i="17"/>
  <c r="BO115" i="17"/>
  <c r="BN115" i="17"/>
  <c r="BM115" i="17"/>
  <c r="BL115" i="17"/>
  <c r="BK115" i="17"/>
  <c r="BJ115" i="17"/>
  <c r="BI115" i="17"/>
  <c r="BH115" i="17"/>
  <c r="BG115" i="17"/>
  <c r="BF115" i="17"/>
  <c r="BE115" i="17"/>
  <c r="BD115" i="17"/>
  <c r="BC115" i="17"/>
  <c r="BB115" i="17"/>
  <c r="BA115" i="17"/>
  <c r="AZ115" i="17"/>
  <c r="AY115" i="17"/>
  <c r="AX115" i="17"/>
  <c r="AW115" i="17"/>
  <c r="AV115" i="17"/>
  <c r="AU115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AH115" i="17"/>
  <c r="AG115" i="17"/>
  <c r="AF115" i="17"/>
  <c r="AE115" i="17"/>
  <c r="AD115" i="17"/>
  <c r="AC115" i="17"/>
  <c r="AB115" i="17"/>
  <c r="Z115" i="17"/>
  <c r="Y115" i="17"/>
  <c r="X115" i="17"/>
  <c r="W115" i="17"/>
  <c r="V115" i="17"/>
  <c r="U115" i="17"/>
  <c r="T115" i="17"/>
  <c r="S115" i="17"/>
  <c r="R115" i="17"/>
  <c r="Q115" i="17"/>
  <c r="P115" i="17"/>
  <c r="O115" i="17"/>
  <c r="N115" i="17"/>
  <c r="M115" i="17"/>
  <c r="L115" i="17"/>
  <c r="K115" i="17"/>
  <c r="J115" i="17"/>
  <c r="I115" i="17"/>
  <c r="H115" i="17"/>
  <c r="G115" i="17"/>
  <c r="F115" i="17"/>
  <c r="E115" i="17"/>
  <c r="H114" i="17"/>
  <c r="D122" i="17" s="1"/>
  <c r="BX113" i="17"/>
  <c r="BW113" i="17"/>
  <c r="BW119" i="17" s="1"/>
  <c r="BV113" i="17"/>
  <c r="BV119" i="17" s="1"/>
  <c r="BU113" i="17"/>
  <c r="BU119" i="17" s="1"/>
  <c r="BT113" i="17"/>
  <c r="BT119" i="17" s="1"/>
  <c r="BS113" i="17"/>
  <c r="BS119" i="17" s="1"/>
  <c r="BR113" i="17"/>
  <c r="BR119" i="17" s="1"/>
  <c r="BQ113" i="17"/>
  <c r="BQ119" i="17" s="1"/>
  <c r="BP113" i="17"/>
  <c r="BP119" i="17" s="1"/>
  <c r="BO113" i="17"/>
  <c r="BO119" i="17" s="1"/>
  <c r="BN113" i="17"/>
  <c r="BN119" i="17" s="1"/>
  <c r="BM113" i="17"/>
  <c r="BM119" i="17" s="1"/>
  <c r="BL113" i="17"/>
  <c r="BL119" i="17" s="1"/>
  <c r="BK113" i="17"/>
  <c r="BK119" i="17" s="1"/>
  <c r="BJ113" i="17"/>
  <c r="BJ119" i="17" s="1"/>
  <c r="BI113" i="17"/>
  <c r="BI119" i="17" s="1"/>
  <c r="BH113" i="17"/>
  <c r="BH119" i="17" s="1"/>
  <c r="BG113" i="17"/>
  <c r="BG119" i="17" s="1"/>
  <c r="BF113" i="17"/>
  <c r="BF119" i="17" s="1"/>
  <c r="BE113" i="17"/>
  <c r="BE119" i="17" s="1"/>
  <c r="BD113" i="17"/>
  <c r="BD119" i="17" s="1"/>
  <c r="BC113" i="17"/>
  <c r="BC119" i="17" s="1"/>
  <c r="BB113" i="17"/>
  <c r="BB119" i="17" s="1"/>
  <c r="BA113" i="17"/>
  <c r="BA119" i="17" s="1"/>
  <c r="AZ113" i="17"/>
  <c r="AZ119" i="17" s="1"/>
  <c r="AY113" i="17"/>
  <c r="AY119" i="17" s="1"/>
  <c r="AX113" i="17"/>
  <c r="AX119" i="17" s="1"/>
  <c r="AW113" i="17"/>
  <c r="AW119" i="17" s="1"/>
  <c r="AV113" i="17"/>
  <c r="AV119" i="17" s="1"/>
  <c r="AU113" i="17"/>
  <c r="AU119" i="17" s="1"/>
  <c r="AT113" i="17"/>
  <c r="AT119" i="17" s="1"/>
  <c r="AS113" i="17"/>
  <c r="AS119" i="17" s="1"/>
  <c r="AR113" i="17"/>
  <c r="AR119" i="17" s="1"/>
  <c r="AQ113" i="17"/>
  <c r="AQ119" i="17" s="1"/>
  <c r="AP113" i="17"/>
  <c r="AP119" i="17" s="1"/>
  <c r="AO113" i="17"/>
  <c r="AO119" i="17" s="1"/>
  <c r="AN113" i="17"/>
  <c r="AN119" i="17" s="1"/>
  <c r="AM113" i="17"/>
  <c r="AM119" i="17" s="1"/>
  <c r="AL113" i="17"/>
  <c r="AL119" i="17" s="1"/>
  <c r="AK113" i="17"/>
  <c r="AK119" i="17" s="1"/>
  <c r="AJ113" i="17"/>
  <c r="AJ119" i="17" s="1"/>
  <c r="AI113" i="17"/>
  <c r="AI119" i="17" s="1"/>
  <c r="AH113" i="17"/>
  <c r="AH119" i="17" s="1"/>
  <c r="AG113" i="17"/>
  <c r="AG119" i="17" s="1"/>
  <c r="AF113" i="17"/>
  <c r="AF119" i="17" s="1"/>
  <c r="AE113" i="17"/>
  <c r="AE119" i="17" s="1"/>
  <c r="AD113" i="17"/>
  <c r="AD119" i="17" s="1"/>
  <c r="AC113" i="17"/>
  <c r="AC119" i="17" s="1"/>
  <c r="AB113" i="17"/>
  <c r="AB119" i="17" s="1"/>
  <c r="Z113" i="17"/>
  <c r="Z119" i="17" s="1"/>
  <c r="Y113" i="17"/>
  <c r="Y119" i="17" s="1"/>
  <c r="X113" i="17"/>
  <c r="X119" i="17" s="1"/>
  <c r="W113" i="17"/>
  <c r="W119" i="17" s="1"/>
  <c r="V113" i="17"/>
  <c r="V119" i="17" s="1"/>
  <c r="U113" i="17"/>
  <c r="U119" i="17" s="1"/>
  <c r="T113" i="17"/>
  <c r="S113" i="17"/>
  <c r="S119" i="17" s="1"/>
  <c r="R113" i="17"/>
  <c r="R119" i="17" s="1"/>
  <c r="Q113" i="17"/>
  <c r="Q119" i="17" s="1"/>
  <c r="P113" i="17"/>
  <c r="P119" i="17" s="1"/>
  <c r="N113" i="17"/>
  <c r="N119" i="17" s="1"/>
  <c r="K113" i="17"/>
  <c r="K119" i="17" s="1"/>
  <c r="J113" i="17"/>
  <c r="J119" i="17" s="1"/>
  <c r="I113" i="17"/>
  <c r="I119" i="17" s="1"/>
  <c r="G113" i="17"/>
  <c r="G119" i="17" s="1"/>
  <c r="F113" i="17"/>
  <c r="F119" i="17" s="1"/>
  <c r="E113" i="17"/>
  <c r="E119" i="17" s="1"/>
  <c r="BW105" i="17"/>
  <c r="BV105" i="17"/>
  <c r="BU105" i="17"/>
  <c r="BT105" i="17"/>
  <c r="BS105" i="17"/>
  <c r="BR105" i="17"/>
  <c r="BQ105" i="17"/>
  <c r="BP105" i="17"/>
  <c r="BO105" i="17"/>
  <c r="BN105" i="17"/>
  <c r="BM105" i="17"/>
  <c r="BL105" i="17"/>
  <c r="BK105" i="17"/>
  <c r="BJ105" i="17"/>
  <c r="BI105" i="17"/>
  <c r="BH105" i="17"/>
  <c r="BG105" i="17"/>
  <c r="BF105" i="17"/>
  <c r="BE105" i="17"/>
  <c r="BD105" i="17"/>
  <c r="BC105" i="17"/>
  <c r="BB105" i="17"/>
  <c r="BA105" i="17"/>
  <c r="AZ105" i="17"/>
  <c r="AY105" i="17"/>
  <c r="AX105" i="17"/>
  <c r="AW105" i="17"/>
  <c r="AV105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H105" i="17"/>
  <c r="AG105" i="17"/>
  <c r="AF105" i="17"/>
  <c r="AE105" i="17"/>
  <c r="AD105" i="17"/>
  <c r="AC105" i="17"/>
  <c r="AB105" i="17"/>
  <c r="Z105" i="17"/>
  <c r="Y105" i="17"/>
  <c r="X105" i="17"/>
  <c r="W105" i="17"/>
  <c r="V105" i="17"/>
  <c r="U105" i="17"/>
  <c r="T105" i="17"/>
  <c r="S105" i="17"/>
  <c r="R105" i="17"/>
  <c r="Q105" i="17"/>
  <c r="P105" i="17"/>
  <c r="N105" i="17"/>
  <c r="K105" i="17"/>
  <c r="J105" i="17"/>
  <c r="I105" i="17"/>
  <c r="G105" i="17"/>
  <c r="F105" i="17"/>
  <c r="E105" i="17"/>
  <c r="G101" i="17"/>
  <c r="BY95" i="17"/>
  <c r="BY94" i="17"/>
  <c r="AA93" i="17"/>
  <c r="BX90" i="17"/>
  <c r="BW90" i="17"/>
  <c r="BV90" i="17"/>
  <c r="BU90" i="17"/>
  <c r="BT90" i="17"/>
  <c r="BS90" i="17"/>
  <c r="BR90" i="17"/>
  <c r="BQ90" i="17"/>
  <c r="BP90" i="17"/>
  <c r="BO90" i="17"/>
  <c r="BN90" i="17"/>
  <c r="BM90" i="17"/>
  <c r="BL90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T90" i="17"/>
  <c r="AS90" i="17"/>
  <c r="AR90" i="17"/>
  <c r="AQ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C90" i="17"/>
  <c r="AB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BY89" i="17"/>
  <c r="BY88" i="17"/>
  <c r="BY87" i="17"/>
  <c r="BX87" i="17"/>
  <c r="BW87" i="17"/>
  <c r="BV87" i="17"/>
  <c r="BU87" i="17"/>
  <c r="BT87" i="17"/>
  <c r="BS87" i="17"/>
  <c r="BR87" i="17"/>
  <c r="BQ87" i="17"/>
  <c r="BP87" i="17"/>
  <c r="BO87" i="17"/>
  <c r="BN87" i="17"/>
  <c r="BM87" i="17"/>
  <c r="BL87" i="17"/>
  <c r="BK87" i="17"/>
  <c r="BJ87" i="17"/>
  <c r="BI87" i="17"/>
  <c r="BH87" i="17"/>
  <c r="BG87" i="17"/>
  <c r="BF87" i="17"/>
  <c r="BE87" i="17"/>
  <c r="BD87" i="17"/>
  <c r="BC87" i="17"/>
  <c r="BB87" i="17"/>
  <c r="BA87" i="17"/>
  <c r="AZ87" i="17"/>
  <c r="AY87" i="17"/>
  <c r="AX87" i="17"/>
  <c r="AW87" i="17"/>
  <c r="AV87" i="17"/>
  <c r="AU87" i="17"/>
  <c r="AT87" i="17"/>
  <c r="AS87" i="17"/>
  <c r="AR87" i="17"/>
  <c r="AQ87" i="17"/>
  <c r="AP87" i="17"/>
  <c r="AO87" i="17"/>
  <c r="AN87" i="17"/>
  <c r="AM87" i="17"/>
  <c r="AL87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BY85" i="17"/>
  <c r="BY84" i="17"/>
  <c r="BY83" i="17"/>
  <c r="BY81" i="17"/>
  <c r="BY80" i="17"/>
  <c r="BY79" i="17"/>
  <c r="BY78" i="17"/>
  <c r="BY77" i="17"/>
  <c r="BY76" i="17"/>
  <c r="BY75" i="17"/>
  <c r="BY74" i="17"/>
  <c r="BY73" i="17"/>
  <c r="BY72" i="17"/>
  <c r="BY71" i="17"/>
  <c r="BY70" i="17"/>
  <c r="BY69" i="17"/>
  <c r="BY68" i="17"/>
  <c r="BY67" i="17"/>
  <c r="BY66" i="17"/>
  <c r="BY65" i="17"/>
  <c r="BY64" i="17"/>
  <c r="BX63" i="17"/>
  <c r="BW63" i="17"/>
  <c r="BV63" i="17"/>
  <c r="BU63" i="17"/>
  <c r="BT63" i="17"/>
  <c r="BS63" i="17"/>
  <c r="BR63" i="17"/>
  <c r="BQ63" i="17"/>
  <c r="BP63" i="17"/>
  <c r="BO63" i="17"/>
  <c r="BN63" i="17"/>
  <c r="BM63" i="17"/>
  <c r="BL63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O62" i="17"/>
  <c r="N62" i="17"/>
  <c r="M62" i="17"/>
  <c r="U61" i="17"/>
  <c r="BY60" i="17"/>
  <c r="BY59" i="17"/>
  <c r="BY58" i="17"/>
  <c r="BY57" i="17"/>
  <c r="BX55" i="17"/>
  <c r="BW55" i="17"/>
  <c r="BV55" i="17"/>
  <c r="BU55" i="17"/>
  <c r="BT55" i="17"/>
  <c r="BS55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O54" i="17"/>
  <c r="I54" i="17"/>
  <c r="BY54" i="17" s="1"/>
  <c r="AA53" i="17"/>
  <c r="Z53" i="17"/>
  <c r="Y53" i="17"/>
  <c r="X53" i="17"/>
  <c r="W53" i="17"/>
  <c r="V53" i="17"/>
  <c r="U53" i="17"/>
  <c r="T53" i="17"/>
  <c r="S53" i="17"/>
  <c r="R53" i="17"/>
  <c r="Q53" i="17"/>
  <c r="P53" i="17"/>
  <c r="N53" i="17"/>
  <c r="M53" i="17"/>
  <c r="L53" i="17"/>
  <c r="K53" i="17"/>
  <c r="J53" i="17"/>
  <c r="I53" i="17"/>
  <c r="H53" i="17"/>
  <c r="BY53" i="17" s="1"/>
  <c r="BY52" i="17"/>
  <c r="BY51" i="17"/>
  <c r="BY50" i="17"/>
  <c r="BY49" i="17"/>
  <c r="BX49" i="17"/>
  <c r="BW49" i="17"/>
  <c r="BV49" i="17"/>
  <c r="BU49" i="17"/>
  <c r="BT49" i="17"/>
  <c r="BS49" i="17"/>
  <c r="BR49" i="17"/>
  <c r="BQ49" i="17"/>
  <c r="BP49" i="17"/>
  <c r="BO49" i="17"/>
  <c r="BN49" i="17"/>
  <c r="BM49" i="17"/>
  <c r="BL49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R48" i="17"/>
  <c r="K48" i="17"/>
  <c r="Y47" i="17"/>
  <c r="W47" i="17"/>
  <c r="S47" i="17"/>
  <c r="BY47" i="17" s="1"/>
  <c r="K46" i="17"/>
  <c r="I46" i="17"/>
  <c r="H46" i="17"/>
  <c r="AA45" i="17"/>
  <c r="Z45" i="17"/>
  <c r="Y45" i="17"/>
  <c r="X45" i="17"/>
  <c r="W45" i="17"/>
  <c r="V45" i="17"/>
  <c r="U45" i="17"/>
  <c r="T45" i="17"/>
  <c r="S45" i="17"/>
  <c r="R45" i="17"/>
  <c r="Q45" i="17"/>
  <c r="O45" i="17"/>
  <c r="N45" i="17"/>
  <c r="M45" i="17"/>
  <c r="L45" i="17"/>
  <c r="K45" i="17"/>
  <c r="J45" i="17"/>
  <c r="H45" i="17"/>
  <c r="Z44" i="17"/>
  <c r="R44" i="17"/>
  <c r="Q44" i="17"/>
  <c r="J44" i="17"/>
  <c r="H44" i="17"/>
  <c r="BY44" i="17" s="1"/>
  <c r="P43" i="17"/>
  <c r="O43" i="17"/>
  <c r="N43" i="17"/>
  <c r="M43" i="17"/>
  <c r="L43" i="17"/>
  <c r="K43" i="17"/>
  <c r="I43" i="17"/>
  <c r="H43" i="17"/>
  <c r="P42" i="17"/>
  <c r="O42" i="17"/>
  <c r="N42" i="17"/>
  <c r="M42" i="17"/>
  <c r="L42" i="17"/>
  <c r="K42" i="17"/>
  <c r="J42" i="17"/>
  <c r="I42" i="17"/>
  <c r="H42" i="17"/>
  <c r="Z41" i="17"/>
  <c r="Y41" i="17"/>
  <c r="X41" i="17"/>
  <c r="W41" i="17"/>
  <c r="V41" i="17"/>
  <c r="U41" i="17"/>
  <c r="T41" i="17"/>
  <c r="S41" i="17"/>
  <c r="R41" i="17"/>
  <c r="BY41" i="17" s="1"/>
  <c r="BY40" i="17"/>
  <c r="Z39" i="17"/>
  <c r="Y39" i="17"/>
  <c r="X39" i="17"/>
  <c r="W39" i="17"/>
  <c r="V39" i="17"/>
  <c r="U39" i="17"/>
  <c r="T39" i="17"/>
  <c r="S39" i="17"/>
  <c r="R39" i="17"/>
  <c r="BY39" i="17" s="1"/>
  <c r="P38" i="17"/>
  <c r="O38" i="17"/>
  <c r="M38" i="17"/>
  <c r="L38" i="17"/>
  <c r="J38" i="17"/>
  <c r="I38" i="17"/>
  <c r="BX37" i="17"/>
  <c r="BW37" i="17"/>
  <c r="BV37" i="17"/>
  <c r="BU37" i="17"/>
  <c r="BT37" i="17"/>
  <c r="BS37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O37" i="17"/>
  <c r="N37" i="17"/>
  <c r="M37" i="17"/>
  <c r="L37" i="17"/>
  <c r="K37" i="17"/>
  <c r="J37" i="17"/>
  <c r="I37" i="17"/>
  <c r="H37" i="17"/>
  <c r="G37" i="17"/>
  <c r="F37" i="17"/>
  <c r="E37" i="17"/>
  <c r="BY36" i="17"/>
  <c r="BX34" i="17"/>
  <c r="BW34" i="17"/>
  <c r="BV34" i="17"/>
  <c r="BU34" i="17"/>
  <c r="BT34" i="17"/>
  <c r="BS34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Q32" i="17"/>
  <c r="I32" i="17"/>
  <c r="BY32" i="17" s="1"/>
  <c r="Z31" i="17"/>
  <c r="Y31" i="17"/>
  <c r="X31" i="17"/>
  <c r="W31" i="17"/>
  <c r="V31" i="17"/>
  <c r="U31" i="17"/>
  <c r="T31" i="17"/>
  <c r="S31" i="17"/>
  <c r="O31" i="17"/>
  <c r="N31" i="17"/>
  <c r="H31" i="17"/>
  <c r="BY31" i="17" s="1"/>
  <c r="T30" i="17"/>
  <c r="S30" i="17"/>
  <c r="R30" i="17"/>
  <c r="BY30" i="17" s="1"/>
  <c r="BY29" i="17"/>
  <c r="BY28" i="17"/>
  <c r="R27" i="17"/>
  <c r="P27" i="17"/>
  <c r="O27" i="17"/>
  <c r="N27" i="17"/>
  <c r="M27" i="17"/>
  <c r="L27" i="17"/>
  <c r="BX26" i="17"/>
  <c r="BW26" i="17"/>
  <c r="BV26" i="17"/>
  <c r="BU26" i="17"/>
  <c r="BT26" i="17"/>
  <c r="BS26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R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P25" i="17"/>
  <c r="BY25" i="17" s="1"/>
  <c r="R24" i="17"/>
  <c r="R147" i="17" s="1"/>
  <c r="R152" i="17" s="1"/>
  <c r="Q24" i="17"/>
  <c r="Q147" i="17" s="1"/>
  <c r="Q152" i="17" s="1"/>
  <c r="L24" i="17"/>
  <c r="L147" i="17" s="1"/>
  <c r="L152" i="17" s="1"/>
  <c r="I24" i="17"/>
  <c r="CE23" i="17"/>
  <c r="BX23" i="17"/>
  <c r="BW23" i="17"/>
  <c r="BV23" i="17"/>
  <c r="BU23" i="17"/>
  <c r="BT23" i="17"/>
  <c r="BS23" i="17"/>
  <c r="BR23" i="17"/>
  <c r="BQ23" i="17"/>
  <c r="BP23" i="17"/>
  <c r="BO23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O23" i="17"/>
  <c r="N23" i="17"/>
  <c r="M23" i="17"/>
  <c r="L23" i="17"/>
  <c r="K23" i="17"/>
  <c r="J23" i="17"/>
  <c r="I23" i="17"/>
  <c r="H23" i="17"/>
  <c r="G23" i="17"/>
  <c r="F23" i="17"/>
  <c r="E23" i="17"/>
  <c r="BY22" i="17"/>
  <c r="BY21" i="17"/>
  <c r="BY20" i="17"/>
  <c r="BY19" i="17"/>
  <c r="J18" i="17"/>
  <c r="H18" i="17"/>
  <c r="BY18" i="17" s="1"/>
  <c r="BY17" i="17"/>
  <c r="BX17" i="17"/>
  <c r="BX98" i="17" s="1"/>
  <c r="BW17" i="17"/>
  <c r="BW98" i="17" s="1"/>
  <c r="BV17" i="17"/>
  <c r="BV98" i="17" s="1"/>
  <c r="BU17" i="17"/>
  <c r="BU98" i="17" s="1"/>
  <c r="BT17" i="17"/>
  <c r="BT98" i="17" s="1"/>
  <c r="BS17" i="17"/>
  <c r="BS98" i="17" s="1"/>
  <c r="BR17" i="17"/>
  <c r="BR98" i="17" s="1"/>
  <c r="BQ17" i="17"/>
  <c r="BQ98" i="17" s="1"/>
  <c r="BP17" i="17"/>
  <c r="BP98" i="17" s="1"/>
  <c r="BO17" i="17"/>
  <c r="BO98" i="17" s="1"/>
  <c r="BN17" i="17"/>
  <c r="BN98" i="17" s="1"/>
  <c r="BM17" i="17"/>
  <c r="BM98" i="17" s="1"/>
  <c r="BL17" i="17"/>
  <c r="BL98" i="17" s="1"/>
  <c r="BK17" i="17"/>
  <c r="BK98" i="17" s="1"/>
  <c r="BJ17" i="17"/>
  <c r="BJ98" i="17" s="1"/>
  <c r="BI17" i="17"/>
  <c r="BI98" i="17" s="1"/>
  <c r="BH17" i="17"/>
  <c r="BH98" i="17" s="1"/>
  <c r="BG17" i="17"/>
  <c r="BG98" i="17" s="1"/>
  <c r="BF17" i="17"/>
  <c r="BF98" i="17" s="1"/>
  <c r="BE17" i="17"/>
  <c r="BE98" i="17" s="1"/>
  <c r="BD17" i="17"/>
  <c r="BD98" i="17" s="1"/>
  <c r="BC17" i="17"/>
  <c r="BC98" i="17" s="1"/>
  <c r="BB17" i="17"/>
  <c r="BB98" i="17" s="1"/>
  <c r="BA17" i="17"/>
  <c r="BA98" i="17" s="1"/>
  <c r="AZ17" i="17"/>
  <c r="AZ98" i="17" s="1"/>
  <c r="AY17" i="17"/>
  <c r="AY98" i="17" s="1"/>
  <c r="AX17" i="17"/>
  <c r="AX98" i="17" s="1"/>
  <c r="AW17" i="17"/>
  <c r="AW98" i="17" s="1"/>
  <c r="AV17" i="17"/>
  <c r="AV98" i="17" s="1"/>
  <c r="AU17" i="17"/>
  <c r="AU98" i="17" s="1"/>
  <c r="AT17" i="17"/>
  <c r="AT98" i="17" s="1"/>
  <c r="AS17" i="17"/>
  <c r="AS98" i="17" s="1"/>
  <c r="AR17" i="17"/>
  <c r="AR98" i="17" s="1"/>
  <c r="AQ17" i="17"/>
  <c r="AQ98" i="17" s="1"/>
  <c r="AP17" i="17"/>
  <c r="AP98" i="17" s="1"/>
  <c r="AO17" i="17"/>
  <c r="AO98" i="17" s="1"/>
  <c r="AN17" i="17"/>
  <c r="AN98" i="17" s="1"/>
  <c r="AM17" i="17"/>
  <c r="AM98" i="17" s="1"/>
  <c r="AL17" i="17"/>
  <c r="AL98" i="17" s="1"/>
  <c r="AK17" i="17"/>
  <c r="AK98" i="17" s="1"/>
  <c r="AJ17" i="17"/>
  <c r="AJ98" i="17" s="1"/>
  <c r="AI17" i="17"/>
  <c r="AI98" i="17" s="1"/>
  <c r="AH17" i="17"/>
  <c r="AH98" i="17" s="1"/>
  <c r="AG17" i="17"/>
  <c r="AG98" i="17" s="1"/>
  <c r="AF17" i="17"/>
  <c r="AF98" i="17" s="1"/>
  <c r="AE17" i="17"/>
  <c r="AE98" i="17" s="1"/>
  <c r="AD17" i="17"/>
  <c r="AD98" i="17" s="1"/>
  <c r="AC17" i="17"/>
  <c r="AC98" i="17" s="1"/>
  <c r="AB17" i="17"/>
  <c r="AB98" i="17" s="1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O98" i="17" s="1"/>
  <c r="N17" i="17"/>
  <c r="N98" i="17" s="1"/>
  <c r="M17" i="17"/>
  <c r="M98" i="17" s="1"/>
  <c r="L17" i="17"/>
  <c r="L98" i="17" s="1"/>
  <c r="K17" i="17"/>
  <c r="K98" i="17" s="1"/>
  <c r="J17" i="17"/>
  <c r="J98" i="17" s="1"/>
  <c r="I17" i="17"/>
  <c r="I98" i="17" s="1"/>
  <c r="H17" i="17"/>
  <c r="H98" i="17" s="1"/>
  <c r="H99" i="17" s="1"/>
  <c r="I99" i="17" s="1"/>
  <c r="J99" i="17" s="1"/>
  <c r="K99" i="17" s="1"/>
  <c r="L99" i="17" s="1"/>
  <c r="M99" i="17" s="1"/>
  <c r="N99" i="17" s="1"/>
  <c r="G17" i="17"/>
  <c r="G98" i="17" s="1"/>
  <c r="F17" i="17"/>
  <c r="F98" i="17" s="1"/>
  <c r="E17" i="17"/>
  <c r="E98" i="17" s="1"/>
  <c r="BX16" i="17"/>
  <c r="BX100" i="17" s="1"/>
  <c r="BW16" i="17"/>
  <c r="BW100" i="17" s="1"/>
  <c r="BV16" i="17"/>
  <c r="BV100" i="17" s="1"/>
  <c r="BU16" i="17"/>
  <c r="BU100" i="17" s="1"/>
  <c r="BT16" i="17"/>
  <c r="BT100" i="17" s="1"/>
  <c r="BS16" i="17"/>
  <c r="BS100" i="17" s="1"/>
  <c r="BR16" i="17"/>
  <c r="BR100" i="17" s="1"/>
  <c r="BQ16" i="17"/>
  <c r="BQ100" i="17" s="1"/>
  <c r="BP16" i="17"/>
  <c r="BP100" i="17" s="1"/>
  <c r="BO16" i="17"/>
  <c r="BO100" i="17" s="1"/>
  <c r="BN16" i="17"/>
  <c r="BN100" i="17" s="1"/>
  <c r="BM16" i="17"/>
  <c r="BM100" i="17" s="1"/>
  <c r="BL16" i="17"/>
  <c r="BL100" i="17" s="1"/>
  <c r="BK16" i="17"/>
  <c r="BK100" i="17" s="1"/>
  <c r="BJ16" i="17"/>
  <c r="BJ100" i="17" s="1"/>
  <c r="BI16" i="17"/>
  <c r="BI100" i="17" s="1"/>
  <c r="BH16" i="17"/>
  <c r="BH100" i="17" s="1"/>
  <c r="BG16" i="17"/>
  <c r="BG100" i="17" s="1"/>
  <c r="BF16" i="17"/>
  <c r="BF100" i="17" s="1"/>
  <c r="BE16" i="17"/>
  <c r="BE100" i="17" s="1"/>
  <c r="BD16" i="17"/>
  <c r="BD100" i="17" s="1"/>
  <c r="BC16" i="17"/>
  <c r="BC100" i="17" s="1"/>
  <c r="BB16" i="17"/>
  <c r="BB100" i="17" s="1"/>
  <c r="BA16" i="17"/>
  <c r="BA100" i="17" s="1"/>
  <c r="AZ16" i="17"/>
  <c r="AZ100" i="17" s="1"/>
  <c r="AY16" i="17"/>
  <c r="AY100" i="17" s="1"/>
  <c r="AX16" i="17"/>
  <c r="AX100" i="17" s="1"/>
  <c r="AW16" i="17"/>
  <c r="AW100" i="17" s="1"/>
  <c r="AV16" i="17"/>
  <c r="AV100" i="17" s="1"/>
  <c r="AU16" i="17"/>
  <c r="AU100" i="17" s="1"/>
  <c r="AT16" i="17"/>
  <c r="AT100" i="17" s="1"/>
  <c r="AS16" i="17"/>
  <c r="AS100" i="17" s="1"/>
  <c r="AR16" i="17"/>
  <c r="AR100" i="17" s="1"/>
  <c r="AQ16" i="17"/>
  <c r="AQ100" i="17" s="1"/>
  <c r="AP16" i="17"/>
  <c r="AP100" i="17" s="1"/>
  <c r="AO16" i="17"/>
  <c r="AO100" i="17" s="1"/>
  <c r="AN16" i="17"/>
  <c r="AN100" i="17" s="1"/>
  <c r="AM16" i="17"/>
  <c r="AM100" i="17" s="1"/>
  <c r="AL16" i="17"/>
  <c r="AL100" i="17" s="1"/>
  <c r="AK16" i="17"/>
  <c r="AK100" i="17" s="1"/>
  <c r="AJ16" i="17"/>
  <c r="AJ100" i="17" s="1"/>
  <c r="AI16" i="17"/>
  <c r="AI100" i="17" s="1"/>
  <c r="AH16" i="17"/>
  <c r="AH100" i="17" s="1"/>
  <c r="AG16" i="17"/>
  <c r="AG100" i="17" s="1"/>
  <c r="AF16" i="17"/>
  <c r="AF100" i="17" s="1"/>
  <c r="AE16" i="17"/>
  <c r="AE100" i="17" s="1"/>
  <c r="AD16" i="17"/>
  <c r="AD100" i="17" s="1"/>
  <c r="AC16" i="17"/>
  <c r="AC100" i="17" s="1"/>
  <c r="AB16" i="17"/>
  <c r="AB100" i="17" s="1"/>
  <c r="J16" i="17"/>
  <c r="J100" i="17" s="1"/>
  <c r="I16" i="17"/>
  <c r="I100" i="17" s="1"/>
  <c r="G16" i="17"/>
  <c r="G100" i="17" s="1"/>
  <c r="F16" i="17"/>
  <c r="F100" i="17" s="1"/>
  <c r="E16" i="17"/>
  <c r="E100" i="17" s="1"/>
  <c r="E101" i="17" s="1"/>
  <c r="P15" i="17"/>
  <c r="CE14" i="17"/>
  <c r="CE15" i="17" s="1"/>
  <c r="Q14" i="17"/>
  <c r="P14" i="17"/>
  <c r="O14" i="17"/>
  <c r="M14" i="17"/>
  <c r="K14" i="17"/>
  <c r="CH11" i="17"/>
  <c r="P11" i="17"/>
  <c r="P16" i="17" s="1"/>
  <c r="O11" i="17"/>
  <c r="N11" i="17"/>
  <c r="N16" i="17" s="1"/>
  <c r="N100" i="17" s="1"/>
  <c r="M11" i="17"/>
  <c r="Z10" i="17"/>
  <c r="Y10" i="17"/>
  <c r="X10" i="17"/>
  <c r="W10" i="17"/>
  <c r="V10" i="17"/>
  <c r="U9" i="17"/>
  <c r="BY8" i="17"/>
  <c r="CB8" i="17" s="1"/>
  <c r="CA7" i="17"/>
  <c r="BY7" i="17"/>
  <c r="CB7" i="17" s="1"/>
  <c r="CA6" i="17"/>
  <c r="O6" i="17"/>
  <c r="M6" i="17"/>
  <c r="L6" i="17"/>
  <c r="H5" i="17"/>
  <c r="W200" i="16"/>
  <c r="V200" i="16"/>
  <c r="U200" i="16"/>
  <c r="T200" i="16"/>
  <c r="S200" i="16"/>
  <c r="D188" i="16"/>
  <c r="BX181" i="16"/>
  <c r="BW181" i="16"/>
  <c r="BV181" i="16"/>
  <c r="BU181" i="16"/>
  <c r="BT181" i="16"/>
  <c r="BS181" i="16"/>
  <c r="BR181" i="16"/>
  <c r="BQ181" i="16"/>
  <c r="BP181" i="16"/>
  <c r="BO181" i="16"/>
  <c r="BN181" i="16"/>
  <c r="BM181" i="16"/>
  <c r="BL181" i="16"/>
  <c r="BK181" i="16"/>
  <c r="BJ181" i="16"/>
  <c r="BI181" i="16"/>
  <c r="BH181" i="16"/>
  <c r="BG181" i="16"/>
  <c r="BF181" i="16"/>
  <c r="BE181" i="16"/>
  <c r="BD181" i="16"/>
  <c r="BC181" i="16"/>
  <c r="BB181" i="16"/>
  <c r="BA181" i="16"/>
  <c r="AZ181" i="16"/>
  <c r="AY181" i="16"/>
  <c r="AX181" i="16"/>
  <c r="AW181" i="16"/>
  <c r="AV181" i="16"/>
  <c r="AU181" i="16"/>
  <c r="AT181" i="16"/>
  <c r="AS181" i="16"/>
  <c r="AR181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W181" i="16"/>
  <c r="V181" i="16"/>
  <c r="U181" i="16"/>
  <c r="T181" i="16"/>
  <c r="S181" i="16"/>
  <c r="S184" i="16" s="1"/>
  <c r="R181" i="16"/>
  <c r="R184" i="16" s="1"/>
  <c r="Q181" i="16"/>
  <c r="Q184" i="16" s="1"/>
  <c r="P181" i="16"/>
  <c r="P184" i="16" s="1"/>
  <c r="O181" i="16"/>
  <c r="O184" i="16" s="1"/>
  <c r="N181" i="16"/>
  <c r="N184" i="16" s="1"/>
  <c r="M181" i="16"/>
  <c r="M184" i="16" s="1"/>
  <c r="L181" i="16"/>
  <c r="L184" i="16" s="1"/>
  <c r="K181" i="16"/>
  <c r="K184" i="16" s="1"/>
  <c r="J181" i="16"/>
  <c r="J184" i="16" s="1"/>
  <c r="I181" i="16"/>
  <c r="I184" i="16" s="1"/>
  <c r="H181" i="16"/>
  <c r="G181" i="16"/>
  <c r="F181" i="16"/>
  <c r="E181" i="16"/>
  <c r="BX179" i="16"/>
  <c r="BW179" i="16"/>
  <c r="BW184" i="16" s="1"/>
  <c r="BV179" i="16"/>
  <c r="BV184" i="16" s="1"/>
  <c r="BU179" i="16"/>
  <c r="BU184" i="16" s="1"/>
  <c r="BT179" i="16"/>
  <c r="BT184" i="16" s="1"/>
  <c r="BS179" i="16"/>
  <c r="BS184" i="16" s="1"/>
  <c r="BR179" i="16"/>
  <c r="BR184" i="16" s="1"/>
  <c r="BQ179" i="16"/>
  <c r="BQ184" i="16" s="1"/>
  <c r="BP179" i="16"/>
  <c r="BP184" i="16" s="1"/>
  <c r="BO179" i="16"/>
  <c r="BO184" i="16" s="1"/>
  <c r="BN179" i="16"/>
  <c r="BN184" i="16" s="1"/>
  <c r="BM179" i="16"/>
  <c r="BM184" i="16" s="1"/>
  <c r="BL179" i="16"/>
  <c r="BL184" i="16" s="1"/>
  <c r="BK179" i="16"/>
  <c r="BK184" i="16" s="1"/>
  <c r="BJ179" i="16"/>
  <c r="BJ184" i="16" s="1"/>
  <c r="BI179" i="16"/>
  <c r="BI184" i="16" s="1"/>
  <c r="BH179" i="16"/>
  <c r="BH184" i="16" s="1"/>
  <c r="BG179" i="16"/>
  <c r="BG184" i="16" s="1"/>
  <c r="BF179" i="16"/>
  <c r="BF184" i="16" s="1"/>
  <c r="BE179" i="16"/>
  <c r="BE184" i="16" s="1"/>
  <c r="BD179" i="16"/>
  <c r="BD184" i="16" s="1"/>
  <c r="BC179" i="16"/>
  <c r="BC184" i="16" s="1"/>
  <c r="BB179" i="16"/>
  <c r="BB184" i="16" s="1"/>
  <c r="BA179" i="16"/>
  <c r="BA184" i="16" s="1"/>
  <c r="AZ179" i="16"/>
  <c r="AZ184" i="16" s="1"/>
  <c r="AY179" i="16"/>
  <c r="AY184" i="16" s="1"/>
  <c r="AX179" i="16"/>
  <c r="AX184" i="16" s="1"/>
  <c r="AW179" i="16"/>
  <c r="AW184" i="16" s="1"/>
  <c r="AV179" i="16"/>
  <c r="AV184" i="16" s="1"/>
  <c r="AU179" i="16"/>
  <c r="AU184" i="16" s="1"/>
  <c r="AT179" i="16"/>
  <c r="AT184" i="16" s="1"/>
  <c r="AS179" i="16"/>
  <c r="AS184" i="16" s="1"/>
  <c r="AR179" i="16"/>
  <c r="AR184" i="16" s="1"/>
  <c r="AQ179" i="16"/>
  <c r="AQ184" i="16" s="1"/>
  <c r="AP179" i="16"/>
  <c r="AP184" i="16" s="1"/>
  <c r="AO179" i="16"/>
  <c r="AO184" i="16" s="1"/>
  <c r="AN179" i="16"/>
  <c r="AN184" i="16" s="1"/>
  <c r="AM179" i="16"/>
  <c r="AM184" i="16" s="1"/>
  <c r="AL179" i="16"/>
  <c r="AL184" i="16" s="1"/>
  <c r="AK179" i="16"/>
  <c r="AK184" i="16" s="1"/>
  <c r="AJ179" i="16"/>
  <c r="AJ184" i="16" s="1"/>
  <c r="AI179" i="16"/>
  <c r="AI184" i="16" s="1"/>
  <c r="AH179" i="16"/>
  <c r="AH184" i="16" s="1"/>
  <c r="AG179" i="16"/>
  <c r="AG184" i="16" s="1"/>
  <c r="AF179" i="16"/>
  <c r="AF184" i="16" s="1"/>
  <c r="AE179" i="16"/>
  <c r="AE184" i="16" s="1"/>
  <c r="AD179" i="16"/>
  <c r="AD184" i="16" s="1"/>
  <c r="AC179" i="16"/>
  <c r="AC184" i="16" s="1"/>
  <c r="AB179" i="16"/>
  <c r="AB184" i="16" s="1"/>
  <c r="AA179" i="16"/>
  <c r="AA184" i="16" s="1"/>
  <c r="Z179" i="16"/>
  <c r="Z184" i="16" s="1"/>
  <c r="Y179" i="16"/>
  <c r="Y184" i="16" s="1"/>
  <c r="X179" i="16"/>
  <c r="X184" i="16" s="1"/>
  <c r="W179" i="16"/>
  <c r="W184" i="16" s="1"/>
  <c r="V179" i="16"/>
  <c r="V184" i="16" s="1"/>
  <c r="U179" i="16"/>
  <c r="U184" i="16" s="1"/>
  <c r="T179" i="16"/>
  <c r="H179" i="16"/>
  <c r="H184" i="16" s="1"/>
  <c r="G179" i="16"/>
  <c r="G184" i="16" s="1"/>
  <c r="F179" i="16"/>
  <c r="F184" i="16" s="1"/>
  <c r="E179" i="16"/>
  <c r="E184" i="16" s="1"/>
  <c r="D172" i="16"/>
  <c r="BX165" i="16"/>
  <c r="BW165" i="16"/>
  <c r="BV165" i="16"/>
  <c r="BU165" i="16"/>
  <c r="BT165" i="16"/>
  <c r="BS165" i="16"/>
  <c r="BR165" i="16"/>
  <c r="BQ165" i="16"/>
  <c r="BP165" i="16"/>
  <c r="BO165" i="16"/>
  <c r="BN165" i="16"/>
  <c r="BM165" i="16"/>
  <c r="BL165" i="16"/>
  <c r="BK165" i="16"/>
  <c r="BJ165" i="16"/>
  <c r="BI165" i="16"/>
  <c r="BH165" i="16"/>
  <c r="BG165" i="16"/>
  <c r="BF165" i="16"/>
  <c r="BE165" i="16"/>
  <c r="BD165" i="16"/>
  <c r="BC165" i="16"/>
  <c r="BB165" i="16"/>
  <c r="BA165" i="16"/>
  <c r="AZ165" i="16"/>
  <c r="AY165" i="16"/>
  <c r="AX165" i="16"/>
  <c r="AW165" i="16"/>
  <c r="AV165" i="16"/>
  <c r="AU165" i="16"/>
  <c r="AT165" i="16"/>
  <c r="AS165" i="16"/>
  <c r="AR165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BX163" i="16"/>
  <c r="BW163" i="16"/>
  <c r="BW168" i="16" s="1"/>
  <c r="BV163" i="16"/>
  <c r="BV168" i="16" s="1"/>
  <c r="BU163" i="16"/>
  <c r="BU168" i="16" s="1"/>
  <c r="BT163" i="16"/>
  <c r="BT168" i="16" s="1"/>
  <c r="BS163" i="16"/>
  <c r="BS168" i="16" s="1"/>
  <c r="BR163" i="16"/>
  <c r="BR168" i="16" s="1"/>
  <c r="BQ163" i="16"/>
  <c r="BQ168" i="16" s="1"/>
  <c r="BP163" i="16"/>
  <c r="BP168" i="16" s="1"/>
  <c r="BO163" i="16"/>
  <c r="BO168" i="16" s="1"/>
  <c r="BN163" i="16"/>
  <c r="BN168" i="16" s="1"/>
  <c r="BM163" i="16"/>
  <c r="BM168" i="16" s="1"/>
  <c r="BL163" i="16"/>
  <c r="BL168" i="16" s="1"/>
  <c r="BK163" i="16"/>
  <c r="BK168" i="16" s="1"/>
  <c r="BJ163" i="16"/>
  <c r="BJ168" i="16" s="1"/>
  <c r="BI163" i="16"/>
  <c r="BI168" i="16" s="1"/>
  <c r="BH163" i="16"/>
  <c r="BH168" i="16" s="1"/>
  <c r="BG163" i="16"/>
  <c r="BG168" i="16" s="1"/>
  <c r="BF163" i="16"/>
  <c r="BF168" i="16" s="1"/>
  <c r="BE163" i="16"/>
  <c r="BE168" i="16" s="1"/>
  <c r="BD163" i="16"/>
  <c r="BD168" i="16" s="1"/>
  <c r="BC163" i="16"/>
  <c r="BC168" i="16" s="1"/>
  <c r="BB163" i="16"/>
  <c r="BB168" i="16" s="1"/>
  <c r="BA163" i="16"/>
  <c r="BA168" i="16" s="1"/>
  <c r="AZ163" i="16"/>
  <c r="AZ168" i="16" s="1"/>
  <c r="AY163" i="16"/>
  <c r="AY168" i="16" s="1"/>
  <c r="AX163" i="16"/>
  <c r="AX168" i="16" s="1"/>
  <c r="AW163" i="16"/>
  <c r="AW168" i="16" s="1"/>
  <c r="AV163" i="16"/>
  <c r="AV168" i="16" s="1"/>
  <c r="AU163" i="16"/>
  <c r="AU168" i="16" s="1"/>
  <c r="AT163" i="16"/>
  <c r="AT168" i="16" s="1"/>
  <c r="AS163" i="16"/>
  <c r="AS168" i="16" s="1"/>
  <c r="AR163" i="16"/>
  <c r="AR168" i="16" s="1"/>
  <c r="AQ163" i="16"/>
  <c r="AQ168" i="16" s="1"/>
  <c r="AP163" i="16"/>
  <c r="AP168" i="16" s="1"/>
  <c r="AO163" i="16"/>
  <c r="AO168" i="16" s="1"/>
  <c r="AN163" i="16"/>
  <c r="AN168" i="16" s="1"/>
  <c r="AM163" i="16"/>
  <c r="AM168" i="16" s="1"/>
  <c r="AL163" i="16"/>
  <c r="AL168" i="16" s="1"/>
  <c r="AK163" i="16"/>
  <c r="AK168" i="16" s="1"/>
  <c r="AJ163" i="16"/>
  <c r="AJ168" i="16" s="1"/>
  <c r="AI163" i="16"/>
  <c r="AI168" i="16" s="1"/>
  <c r="AH163" i="16"/>
  <c r="AH168" i="16" s="1"/>
  <c r="AG163" i="16"/>
  <c r="AG168" i="16" s="1"/>
  <c r="AF163" i="16"/>
  <c r="AF168" i="16" s="1"/>
  <c r="AE163" i="16"/>
  <c r="AE168" i="16" s="1"/>
  <c r="AD163" i="16"/>
  <c r="AD168" i="16" s="1"/>
  <c r="AC163" i="16"/>
  <c r="AC168" i="16" s="1"/>
  <c r="AB163" i="16"/>
  <c r="AB168" i="16" s="1"/>
  <c r="Z163" i="16"/>
  <c r="Z168" i="16" s="1"/>
  <c r="Y163" i="16"/>
  <c r="Y168" i="16" s="1"/>
  <c r="X163" i="16"/>
  <c r="X168" i="16" s="1"/>
  <c r="W163" i="16"/>
  <c r="W168" i="16" s="1"/>
  <c r="V163" i="16"/>
  <c r="V168" i="16" s="1"/>
  <c r="U163" i="16"/>
  <c r="U168" i="16" s="1"/>
  <c r="T163" i="16"/>
  <c r="S163" i="16"/>
  <c r="S168" i="16" s="1"/>
  <c r="R163" i="16"/>
  <c r="R168" i="16" s="1"/>
  <c r="Q163" i="16"/>
  <c r="Q168" i="16" s="1"/>
  <c r="P163" i="16"/>
  <c r="P168" i="16" s="1"/>
  <c r="O163" i="16"/>
  <c r="O168" i="16" s="1"/>
  <c r="N163" i="16"/>
  <c r="N168" i="16" s="1"/>
  <c r="M163" i="16"/>
  <c r="M168" i="16" s="1"/>
  <c r="L163" i="16"/>
  <c r="L168" i="16" s="1"/>
  <c r="K163" i="16"/>
  <c r="K168" i="16" s="1"/>
  <c r="J163" i="16"/>
  <c r="J168" i="16" s="1"/>
  <c r="I163" i="16"/>
  <c r="I168" i="16" s="1"/>
  <c r="H163" i="16"/>
  <c r="H168" i="16" s="1"/>
  <c r="G163" i="16"/>
  <c r="G168" i="16" s="1"/>
  <c r="F163" i="16"/>
  <c r="F168" i="16" s="1"/>
  <c r="E163" i="16"/>
  <c r="E168" i="16" s="1"/>
  <c r="D156" i="16"/>
  <c r="T150" i="16"/>
  <c r="BX149" i="16"/>
  <c r="BW149" i="16"/>
  <c r="BV149" i="16"/>
  <c r="BU149" i="16"/>
  <c r="BT149" i="16"/>
  <c r="BS149" i="16"/>
  <c r="BR149" i="16"/>
  <c r="BQ149" i="16"/>
  <c r="BP149" i="16"/>
  <c r="BO149" i="16"/>
  <c r="BN149" i="16"/>
  <c r="BM149" i="16"/>
  <c r="BL149" i="16"/>
  <c r="BK149" i="16"/>
  <c r="BJ149" i="16"/>
  <c r="BI149" i="16"/>
  <c r="BH149" i="16"/>
  <c r="BG149" i="16"/>
  <c r="BF149" i="16"/>
  <c r="BE149" i="16"/>
  <c r="BD149" i="16"/>
  <c r="BC149" i="16"/>
  <c r="BB149" i="16"/>
  <c r="BA149" i="16"/>
  <c r="AZ149" i="16"/>
  <c r="AY149" i="16"/>
  <c r="AX149" i="16"/>
  <c r="AW149" i="16"/>
  <c r="AV149" i="16"/>
  <c r="AU149" i="16"/>
  <c r="AT149" i="16"/>
  <c r="AS149" i="16"/>
  <c r="AR149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K152" i="16" s="1"/>
  <c r="J149" i="16"/>
  <c r="I149" i="16"/>
  <c r="I152" i="16" s="1"/>
  <c r="H149" i="16"/>
  <c r="G149" i="16"/>
  <c r="F149" i="16"/>
  <c r="E149" i="16"/>
  <c r="BX147" i="16"/>
  <c r="BW147" i="16"/>
  <c r="BW152" i="16" s="1"/>
  <c r="BV147" i="16"/>
  <c r="BV152" i="16" s="1"/>
  <c r="BU147" i="16"/>
  <c r="BU152" i="16" s="1"/>
  <c r="BT147" i="16"/>
  <c r="BT152" i="16" s="1"/>
  <c r="BS147" i="16"/>
  <c r="BS152" i="16" s="1"/>
  <c r="BR147" i="16"/>
  <c r="BR152" i="16" s="1"/>
  <c r="BQ147" i="16"/>
  <c r="BQ152" i="16" s="1"/>
  <c r="BP147" i="16"/>
  <c r="BP152" i="16" s="1"/>
  <c r="BO147" i="16"/>
  <c r="BO152" i="16" s="1"/>
  <c r="BN147" i="16"/>
  <c r="BN152" i="16" s="1"/>
  <c r="BM147" i="16"/>
  <c r="BM152" i="16" s="1"/>
  <c r="BL147" i="16"/>
  <c r="BL152" i="16" s="1"/>
  <c r="BK147" i="16"/>
  <c r="BK152" i="16" s="1"/>
  <c r="BJ147" i="16"/>
  <c r="BJ152" i="16" s="1"/>
  <c r="BI147" i="16"/>
  <c r="BI152" i="16" s="1"/>
  <c r="BH147" i="16"/>
  <c r="BH152" i="16" s="1"/>
  <c r="BG147" i="16"/>
  <c r="BG152" i="16" s="1"/>
  <c r="BF147" i="16"/>
  <c r="BF152" i="16" s="1"/>
  <c r="BE147" i="16"/>
  <c r="BE152" i="16" s="1"/>
  <c r="BD147" i="16"/>
  <c r="BD152" i="16" s="1"/>
  <c r="BC147" i="16"/>
  <c r="BC152" i="16" s="1"/>
  <c r="BB147" i="16"/>
  <c r="BB152" i="16" s="1"/>
  <c r="BA147" i="16"/>
  <c r="BA152" i="16" s="1"/>
  <c r="AZ147" i="16"/>
  <c r="AZ152" i="16" s="1"/>
  <c r="AY147" i="16"/>
  <c r="AY152" i="16" s="1"/>
  <c r="AX147" i="16"/>
  <c r="AX152" i="16" s="1"/>
  <c r="AW147" i="16"/>
  <c r="AW152" i="16" s="1"/>
  <c r="AV147" i="16"/>
  <c r="AV152" i="16" s="1"/>
  <c r="AU147" i="16"/>
  <c r="AU152" i="16" s="1"/>
  <c r="AT147" i="16"/>
  <c r="AT152" i="16" s="1"/>
  <c r="AS147" i="16"/>
  <c r="AS152" i="16" s="1"/>
  <c r="AR147" i="16"/>
  <c r="AR152" i="16" s="1"/>
  <c r="AQ147" i="16"/>
  <c r="AQ152" i="16" s="1"/>
  <c r="AP147" i="16"/>
  <c r="AP152" i="16" s="1"/>
  <c r="AO147" i="16"/>
  <c r="AO152" i="16" s="1"/>
  <c r="AN147" i="16"/>
  <c r="AN152" i="16" s="1"/>
  <c r="AM147" i="16"/>
  <c r="AM152" i="16" s="1"/>
  <c r="AL147" i="16"/>
  <c r="AL152" i="16" s="1"/>
  <c r="AK147" i="16"/>
  <c r="AK152" i="16" s="1"/>
  <c r="AJ147" i="16"/>
  <c r="AJ152" i="16" s="1"/>
  <c r="AI147" i="16"/>
  <c r="AI152" i="16" s="1"/>
  <c r="AH147" i="16"/>
  <c r="AH152" i="16" s="1"/>
  <c r="AG147" i="16"/>
  <c r="AG152" i="16" s="1"/>
  <c r="AF147" i="16"/>
  <c r="AF152" i="16" s="1"/>
  <c r="AE147" i="16"/>
  <c r="AE152" i="16" s="1"/>
  <c r="AD147" i="16"/>
  <c r="AD152" i="16" s="1"/>
  <c r="AC147" i="16"/>
  <c r="AC152" i="16" s="1"/>
  <c r="AB147" i="16"/>
  <c r="AB152" i="16" s="1"/>
  <c r="AA147" i="16"/>
  <c r="AA152" i="16" s="1"/>
  <c r="Z147" i="16"/>
  <c r="Z152" i="16" s="1"/>
  <c r="Y147" i="16"/>
  <c r="Y152" i="16" s="1"/>
  <c r="X147" i="16"/>
  <c r="X152" i="16" s="1"/>
  <c r="W147" i="16"/>
  <c r="W152" i="16" s="1"/>
  <c r="V147" i="16"/>
  <c r="V152" i="16" s="1"/>
  <c r="U147" i="16"/>
  <c r="U152" i="16" s="1"/>
  <c r="S147" i="16"/>
  <c r="S152" i="16" s="1"/>
  <c r="O147" i="16"/>
  <c r="O152" i="16" s="1"/>
  <c r="N147" i="16"/>
  <c r="N152" i="16" s="1"/>
  <c r="M147" i="16"/>
  <c r="M152" i="16" s="1"/>
  <c r="J147" i="16"/>
  <c r="J152" i="16" s="1"/>
  <c r="H147" i="16"/>
  <c r="G147" i="16"/>
  <c r="G152" i="16" s="1"/>
  <c r="F147" i="16"/>
  <c r="F152" i="16" s="1"/>
  <c r="E147" i="16"/>
  <c r="E152" i="16" s="1"/>
  <c r="E153" i="16" s="1"/>
  <c r="F153" i="16" s="1"/>
  <c r="G153" i="16" s="1"/>
  <c r="D140" i="16"/>
  <c r="BX133" i="16"/>
  <c r="BW133" i="16"/>
  <c r="BV133" i="16"/>
  <c r="BU133" i="16"/>
  <c r="BT133" i="16"/>
  <c r="BS133" i="16"/>
  <c r="BR133" i="16"/>
  <c r="BQ133" i="16"/>
  <c r="BP133" i="16"/>
  <c r="BO133" i="16"/>
  <c r="BN133" i="16"/>
  <c r="BM133" i="16"/>
  <c r="BL133" i="16"/>
  <c r="BK133" i="16"/>
  <c r="BJ133" i="16"/>
  <c r="BI133" i="16"/>
  <c r="BH133" i="16"/>
  <c r="BG133" i="16"/>
  <c r="BF133" i="16"/>
  <c r="BE133" i="16"/>
  <c r="BD133" i="16"/>
  <c r="BC133" i="16"/>
  <c r="BB133" i="16"/>
  <c r="BA133" i="16"/>
  <c r="AZ133" i="16"/>
  <c r="AY133" i="16"/>
  <c r="AX133" i="16"/>
  <c r="AW133" i="16"/>
  <c r="AV133" i="16"/>
  <c r="AU133" i="16"/>
  <c r="AT133" i="16"/>
  <c r="AS133" i="16"/>
  <c r="AR133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Z133" i="16"/>
  <c r="Y133" i="16"/>
  <c r="X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BX131" i="16"/>
  <c r="BW131" i="16"/>
  <c r="BW136" i="16" s="1"/>
  <c r="BV131" i="16"/>
  <c r="BV136" i="16" s="1"/>
  <c r="BU131" i="16"/>
  <c r="BU136" i="16" s="1"/>
  <c r="BT131" i="16"/>
  <c r="BT136" i="16" s="1"/>
  <c r="BS131" i="16"/>
  <c r="BS136" i="16" s="1"/>
  <c r="BR131" i="16"/>
  <c r="BR136" i="16" s="1"/>
  <c r="BQ131" i="16"/>
  <c r="BQ136" i="16" s="1"/>
  <c r="BP131" i="16"/>
  <c r="BP136" i="16" s="1"/>
  <c r="BO131" i="16"/>
  <c r="BO136" i="16" s="1"/>
  <c r="BN131" i="16"/>
  <c r="BN136" i="16" s="1"/>
  <c r="BM131" i="16"/>
  <c r="BM136" i="16" s="1"/>
  <c r="BL131" i="16"/>
  <c r="BL136" i="16" s="1"/>
  <c r="BK131" i="16"/>
  <c r="BK136" i="16" s="1"/>
  <c r="BJ131" i="16"/>
  <c r="BJ136" i="16" s="1"/>
  <c r="BI131" i="16"/>
  <c r="BI136" i="16" s="1"/>
  <c r="BH131" i="16"/>
  <c r="BH136" i="16" s="1"/>
  <c r="BG131" i="16"/>
  <c r="BG136" i="16" s="1"/>
  <c r="BF131" i="16"/>
  <c r="BF136" i="16" s="1"/>
  <c r="BE131" i="16"/>
  <c r="BE136" i="16" s="1"/>
  <c r="BD131" i="16"/>
  <c r="BD136" i="16" s="1"/>
  <c r="BC131" i="16"/>
  <c r="BC136" i="16" s="1"/>
  <c r="BB131" i="16"/>
  <c r="BB136" i="16" s="1"/>
  <c r="BA131" i="16"/>
  <c r="BA136" i="16" s="1"/>
  <c r="AZ131" i="16"/>
  <c r="AZ136" i="16" s="1"/>
  <c r="AY131" i="16"/>
  <c r="AY136" i="16" s="1"/>
  <c r="AX131" i="16"/>
  <c r="AX136" i="16" s="1"/>
  <c r="AW131" i="16"/>
  <c r="AW136" i="16" s="1"/>
  <c r="AV131" i="16"/>
  <c r="AV136" i="16" s="1"/>
  <c r="AU131" i="16"/>
  <c r="AU136" i="16" s="1"/>
  <c r="AT131" i="16"/>
  <c r="AT136" i="16" s="1"/>
  <c r="AS131" i="16"/>
  <c r="AS136" i="16" s="1"/>
  <c r="AR131" i="16"/>
  <c r="AR136" i="16" s="1"/>
  <c r="AQ131" i="16"/>
  <c r="AQ136" i="16" s="1"/>
  <c r="AP131" i="16"/>
  <c r="AP136" i="16" s="1"/>
  <c r="AO131" i="16"/>
  <c r="AO136" i="16" s="1"/>
  <c r="AN131" i="16"/>
  <c r="AN136" i="16" s="1"/>
  <c r="AM131" i="16"/>
  <c r="AM136" i="16" s="1"/>
  <c r="AL131" i="16"/>
  <c r="AL136" i="16" s="1"/>
  <c r="AK131" i="16"/>
  <c r="AK136" i="16" s="1"/>
  <c r="AJ131" i="16"/>
  <c r="AJ136" i="16" s="1"/>
  <c r="AI131" i="16"/>
  <c r="AI136" i="16" s="1"/>
  <c r="AH131" i="16"/>
  <c r="AH136" i="16" s="1"/>
  <c r="AG131" i="16"/>
  <c r="AG136" i="16" s="1"/>
  <c r="AF131" i="16"/>
  <c r="AF136" i="16" s="1"/>
  <c r="AE131" i="16"/>
  <c r="AE136" i="16" s="1"/>
  <c r="AD131" i="16"/>
  <c r="AD136" i="16" s="1"/>
  <c r="AC131" i="16"/>
  <c r="AC136" i="16" s="1"/>
  <c r="AB131" i="16"/>
  <c r="AB136" i="16" s="1"/>
  <c r="Z131" i="16"/>
  <c r="Z136" i="16" s="1"/>
  <c r="Y131" i="16"/>
  <c r="Y136" i="16" s="1"/>
  <c r="X131" i="16"/>
  <c r="X136" i="16" s="1"/>
  <c r="W131" i="16"/>
  <c r="W136" i="16" s="1"/>
  <c r="V131" i="16"/>
  <c r="V136" i="16" s="1"/>
  <c r="U131" i="16"/>
  <c r="U136" i="16" s="1"/>
  <c r="T131" i="16"/>
  <c r="S131" i="16"/>
  <c r="S136" i="16" s="1"/>
  <c r="R131" i="16"/>
  <c r="R136" i="16" s="1"/>
  <c r="Q131" i="16"/>
  <c r="Q136" i="16" s="1"/>
  <c r="N131" i="16"/>
  <c r="N136" i="16" s="1"/>
  <c r="K131" i="16"/>
  <c r="K136" i="16" s="1"/>
  <c r="J131" i="16"/>
  <c r="J136" i="16" s="1"/>
  <c r="I131" i="16"/>
  <c r="I136" i="16" s="1"/>
  <c r="H131" i="16"/>
  <c r="H136" i="16" s="1"/>
  <c r="G131" i="16"/>
  <c r="G136" i="16" s="1"/>
  <c r="F131" i="16"/>
  <c r="F136" i="16" s="1"/>
  <c r="E131" i="16"/>
  <c r="BX115" i="16"/>
  <c r="BW115" i="16"/>
  <c r="BV115" i="16"/>
  <c r="BU115" i="16"/>
  <c r="BT115" i="16"/>
  <c r="BS115" i="16"/>
  <c r="BR115" i="16"/>
  <c r="BQ115" i="16"/>
  <c r="BP115" i="16"/>
  <c r="BO115" i="16"/>
  <c r="BN115" i="16"/>
  <c r="BM115" i="16"/>
  <c r="BL115" i="16"/>
  <c r="BK115" i="16"/>
  <c r="BJ115" i="16"/>
  <c r="BI115" i="16"/>
  <c r="BH115" i="16"/>
  <c r="BG115" i="16"/>
  <c r="BF115" i="16"/>
  <c r="BE115" i="16"/>
  <c r="BD115" i="16"/>
  <c r="BC115" i="16"/>
  <c r="BB115" i="16"/>
  <c r="BA115" i="16"/>
  <c r="AZ115" i="16"/>
  <c r="AY115" i="16"/>
  <c r="AX115" i="16"/>
  <c r="AW115" i="16"/>
  <c r="AV115" i="16"/>
  <c r="AU115" i="16"/>
  <c r="AT115" i="16"/>
  <c r="AS115" i="16"/>
  <c r="AR115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Z115" i="16"/>
  <c r="Y115" i="16"/>
  <c r="X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H114" i="16"/>
  <c r="D122" i="16" s="1"/>
  <c r="BX113" i="16"/>
  <c r="BW113" i="16"/>
  <c r="BW119" i="16" s="1"/>
  <c r="BV113" i="16"/>
  <c r="BV119" i="16" s="1"/>
  <c r="BU113" i="16"/>
  <c r="BU119" i="16" s="1"/>
  <c r="BT113" i="16"/>
  <c r="BT119" i="16" s="1"/>
  <c r="BS113" i="16"/>
  <c r="BS119" i="16" s="1"/>
  <c r="BR113" i="16"/>
  <c r="BR119" i="16" s="1"/>
  <c r="BQ113" i="16"/>
  <c r="BQ119" i="16" s="1"/>
  <c r="BP113" i="16"/>
  <c r="BP119" i="16" s="1"/>
  <c r="BO113" i="16"/>
  <c r="BO119" i="16" s="1"/>
  <c r="BN113" i="16"/>
  <c r="BN119" i="16" s="1"/>
  <c r="BM113" i="16"/>
  <c r="BM119" i="16" s="1"/>
  <c r="BL113" i="16"/>
  <c r="BL119" i="16" s="1"/>
  <c r="BK113" i="16"/>
  <c r="BK119" i="16" s="1"/>
  <c r="BJ113" i="16"/>
  <c r="BJ119" i="16" s="1"/>
  <c r="BI113" i="16"/>
  <c r="BI119" i="16" s="1"/>
  <c r="BH113" i="16"/>
  <c r="BH119" i="16" s="1"/>
  <c r="BG113" i="16"/>
  <c r="BG119" i="16" s="1"/>
  <c r="BF113" i="16"/>
  <c r="BF119" i="16" s="1"/>
  <c r="BE113" i="16"/>
  <c r="BE119" i="16" s="1"/>
  <c r="BD113" i="16"/>
  <c r="BD119" i="16" s="1"/>
  <c r="BC113" i="16"/>
  <c r="BC119" i="16" s="1"/>
  <c r="BB113" i="16"/>
  <c r="BB119" i="16" s="1"/>
  <c r="BA113" i="16"/>
  <c r="BA119" i="16" s="1"/>
  <c r="AZ113" i="16"/>
  <c r="AZ119" i="16" s="1"/>
  <c r="AY113" i="16"/>
  <c r="AY119" i="16" s="1"/>
  <c r="AX113" i="16"/>
  <c r="AX119" i="16" s="1"/>
  <c r="AW113" i="16"/>
  <c r="AW119" i="16" s="1"/>
  <c r="AV113" i="16"/>
  <c r="AV119" i="16" s="1"/>
  <c r="AU113" i="16"/>
  <c r="AU119" i="16" s="1"/>
  <c r="AT113" i="16"/>
  <c r="AT119" i="16" s="1"/>
  <c r="AS113" i="16"/>
  <c r="AS119" i="16" s="1"/>
  <c r="AR113" i="16"/>
  <c r="AR119" i="16" s="1"/>
  <c r="AQ113" i="16"/>
  <c r="AQ119" i="16" s="1"/>
  <c r="AP113" i="16"/>
  <c r="AP119" i="16" s="1"/>
  <c r="AO113" i="16"/>
  <c r="AO119" i="16" s="1"/>
  <c r="AN113" i="16"/>
  <c r="AN119" i="16" s="1"/>
  <c r="AM113" i="16"/>
  <c r="AM119" i="16" s="1"/>
  <c r="AL113" i="16"/>
  <c r="AL119" i="16" s="1"/>
  <c r="AK113" i="16"/>
  <c r="AK119" i="16" s="1"/>
  <c r="AJ113" i="16"/>
  <c r="AJ119" i="16" s="1"/>
  <c r="AI113" i="16"/>
  <c r="AI119" i="16" s="1"/>
  <c r="AH113" i="16"/>
  <c r="AH119" i="16" s="1"/>
  <c r="AG113" i="16"/>
  <c r="AG119" i="16" s="1"/>
  <c r="AF113" i="16"/>
  <c r="AF119" i="16" s="1"/>
  <c r="AE113" i="16"/>
  <c r="AE119" i="16" s="1"/>
  <c r="AD113" i="16"/>
  <c r="AD119" i="16" s="1"/>
  <c r="AC113" i="16"/>
  <c r="AC119" i="16" s="1"/>
  <c r="AB113" i="16"/>
  <c r="AB119" i="16" s="1"/>
  <c r="Z113" i="16"/>
  <c r="Z119" i="16" s="1"/>
  <c r="Y113" i="16"/>
  <c r="Y119" i="16" s="1"/>
  <c r="X113" i="16"/>
  <c r="X119" i="16" s="1"/>
  <c r="W113" i="16"/>
  <c r="W119" i="16" s="1"/>
  <c r="V113" i="16"/>
  <c r="V119" i="16" s="1"/>
  <c r="U113" i="16"/>
  <c r="U119" i="16" s="1"/>
  <c r="T113" i="16"/>
  <c r="S113" i="16"/>
  <c r="S119" i="16" s="1"/>
  <c r="R113" i="16"/>
  <c r="R119" i="16" s="1"/>
  <c r="Q113" i="16"/>
  <c r="Q119" i="16" s="1"/>
  <c r="N113" i="16"/>
  <c r="N119" i="16" s="1"/>
  <c r="K113" i="16"/>
  <c r="K119" i="16" s="1"/>
  <c r="J113" i="16"/>
  <c r="J119" i="16" s="1"/>
  <c r="I113" i="16"/>
  <c r="I119" i="16" s="1"/>
  <c r="H113" i="16"/>
  <c r="G113" i="16"/>
  <c r="G119" i="16" s="1"/>
  <c r="F113" i="16"/>
  <c r="F119" i="16" s="1"/>
  <c r="E113" i="16"/>
  <c r="E119" i="16" s="1"/>
  <c r="BW105" i="16"/>
  <c r="BV105" i="16"/>
  <c r="BU105" i="16"/>
  <c r="BT105" i="16"/>
  <c r="BS105" i="16"/>
  <c r="BR105" i="16"/>
  <c r="BQ105" i="16"/>
  <c r="BP105" i="16"/>
  <c r="BO105" i="16"/>
  <c r="BN105" i="16"/>
  <c r="BM105" i="16"/>
  <c r="BL105" i="16"/>
  <c r="BK105" i="16"/>
  <c r="BJ105" i="16"/>
  <c r="BI105" i="16"/>
  <c r="BH105" i="16"/>
  <c r="BG105" i="16"/>
  <c r="BF105" i="16"/>
  <c r="BE105" i="16"/>
  <c r="BD105" i="16"/>
  <c r="BC105" i="16"/>
  <c r="BB105" i="16"/>
  <c r="BA105" i="16"/>
  <c r="AZ105" i="16"/>
  <c r="AY105" i="16"/>
  <c r="AX105" i="16"/>
  <c r="AW105" i="16"/>
  <c r="AV105" i="16"/>
  <c r="AU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Z105" i="16"/>
  <c r="Y105" i="16"/>
  <c r="X105" i="16"/>
  <c r="W105" i="16"/>
  <c r="V105" i="16"/>
  <c r="U105" i="16"/>
  <c r="T105" i="16"/>
  <c r="S105" i="16"/>
  <c r="R105" i="16"/>
  <c r="Q105" i="16"/>
  <c r="N105" i="16"/>
  <c r="K105" i="16"/>
  <c r="J105" i="16"/>
  <c r="I105" i="16"/>
  <c r="H105" i="16"/>
  <c r="G105" i="16"/>
  <c r="F105" i="16"/>
  <c r="E105" i="16"/>
  <c r="G101" i="16"/>
  <c r="BY95" i="16"/>
  <c r="BY94" i="16"/>
  <c r="AA93" i="16"/>
  <c r="BX90" i="16"/>
  <c r="BW90" i="16"/>
  <c r="BV90" i="16"/>
  <c r="BU90" i="16"/>
  <c r="BT90" i="16"/>
  <c r="BS90" i="16"/>
  <c r="BR90" i="16"/>
  <c r="BQ90" i="16"/>
  <c r="BP90" i="16"/>
  <c r="BO90" i="16"/>
  <c r="BN90" i="16"/>
  <c r="BM90" i="16"/>
  <c r="BL90" i="16"/>
  <c r="BK90" i="16"/>
  <c r="BJ90" i="16"/>
  <c r="BI90" i="16"/>
  <c r="BH90" i="16"/>
  <c r="BG90" i="16"/>
  <c r="BF90" i="16"/>
  <c r="BE90" i="16"/>
  <c r="BD90" i="16"/>
  <c r="BC90" i="16"/>
  <c r="BB90" i="16"/>
  <c r="BA90" i="16"/>
  <c r="AZ90" i="16"/>
  <c r="AY90" i="16"/>
  <c r="AX90" i="16"/>
  <c r="AW90" i="16"/>
  <c r="AV90" i="16"/>
  <c r="AU90" i="16"/>
  <c r="AT90" i="16"/>
  <c r="AS90" i="16"/>
  <c r="AR90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BY89" i="16"/>
  <c r="BY88" i="16"/>
  <c r="BY87" i="16"/>
  <c r="BX87" i="16"/>
  <c r="BW87" i="16"/>
  <c r="BV87" i="16"/>
  <c r="BU87" i="16"/>
  <c r="BT87" i="16"/>
  <c r="BS87" i="16"/>
  <c r="BR87" i="16"/>
  <c r="BQ87" i="16"/>
  <c r="BP87" i="16"/>
  <c r="BO87" i="16"/>
  <c r="BN87" i="16"/>
  <c r="BM87" i="16"/>
  <c r="BL87" i="16"/>
  <c r="BK87" i="16"/>
  <c r="BJ87" i="16"/>
  <c r="BI87" i="16"/>
  <c r="BH87" i="16"/>
  <c r="BG87" i="16"/>
  <c r="BF87" i="16"/>
  <c r="BE87" i="16"/>
  <c r="BD87" i="16"/>
  <c r="BC87" i="16"/>
  <c r="BB87" i="16"/>
  <c r="BA87" i="16"/>
  <c r="AZ87" i="16"/>
  <c r="AY87" i="16"/>
  <c r="AX87" i="16"/>
  <c r="AW87" i="16"/>
  <c r="AV87" i="16"/>
  <c r="AU87" i="16"/>
  <c r="AT87" i="16"/>
  <c r="AS87" i="16"/>
  <c r="AR87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BY85" i="16"/>
  <c r="BY84" i="16"/>
  <c r="BY83" i="16"/>
  <c r="BY81" i="16"/>
  <c r="BY80" i="16"/>
  <c r="BY79" i="16"/>
  <c r="BY78" i="16"/>
  <c r="BY77" i="16"/>
  <c r="BY76" i="16"/>
  <c r="BY75" i="16"/>
  <c r="BY74" i="16"/>
  <c r="BY73" i="16"/>
  <c r="BY72" i="16"/>
  <c r="BY71" i="16"/>
  <c r="BY70" i="16"/>
  <c r="BY69" i="16"/>
  <c r="BY68" i="16"/>
  <c r="BY67" i="16"/>
  <c r="BY66" i="16"/>
  <c r="BY65" i="16"/>
  <c r="BY64" i="16"/>
  <c r="BX63" i="16"/>
  <c r="BW63" i="16"/>
  <c r="BV63" i="16"/>
  <c r="BU63" i="16"/>
  <c r="BT63" i="16"/>
  <c r="BS63" i="16"/>
  <c r="BR63" i="16"/>
  <c r="BQ63" i="16"/>
  <c r="BP63" i="16"/>
  <c r="BO63" i="16"/>
  <c r="BN63" i="16"/>
  <c r="BM63" i="16"/>
  <c r="BL63" i="16"/>
  <c r="BK63" i="16"/>
  <c r="BJ63" i="16"/>
  <c r="BI63" i="16"/>
  <c r="BH63" i="16"/>
  <c r="BG63" i="16"/>
  <c r="BF63" i="16"/>
  <c r="BE63" i="16"/>
  <c r="BD63" i="16"/>
  <c r="BC63" i="16"/>
  <c r="BB63" i="16"/>
  <c r="BA63" i="16"/>
  <c r="AZ63" i="16"/>
  <c r="AY63" i="16"/>
  <c r="AX63" i="16"/>
  <c r="AW63" i="16"/>
  <c r="AV63" i="16"/>
  <c r="AU63" i="16"/>
  <c r="AT63" i="16"/>
  <c r="AS63" i="16"/>
  <c r="AR63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O62" i="16"/>
  <c r="N62" i="16"/>
  <c r="M62" i="16"/>
  <c r="U61" i="16"/>
  <c r="BY60" i="16"/>
  <c r="BY59" i="16"/>
  <c r="BY58" i="16"/>
  <c r="BX55" i="16"/>
  <c r="BW55" i="16"/>
  <c r="BV55" i="16"/>
  <c r="BU55" i="16"/>
  <c r="BT55" i="16"/>
  <c r="BS55" i="16"/>
  <c r="BR55" i="16"/>
  <c r="BQ55" i="16"/>
  <c r="BP55" i="16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AY55" i="16"/>
  <c r="AX55" i="16"/>
  <c r="AW55" i="16"/>
  <c r="AV55" i="16"/>
  <c r="AU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O54" i="16"/>
  <c r="I54" i="16"/>
  <c r="BY54" i="16" s="1"/>
  <c r="AA53" i="16"/>
  <c r="Z53" i="16"/>
  <c r="Y53" i="16"/>
  <c r="X53" i="16"/>
  <c r="W53" i="16"/>
  <c r="V53" i="16"/>
  <c r="U53" i="16"/>
  <c r="T53" i="16"/>
  <c r="S53" i="16"/>
  <c r="R53" i="16"/>
  <c r="Q53" i="16"/>
  <c r="P53" i="16"/>
  <c r="N53" i="16"/>
  <c r="M53" i="16"/>
  <c r="L53" i="16"/>
  <c r="K53" i="16"/>
  <c r="J53" i="16"/>
  <c r="I53" i="16"/>
  <c r="H53" i="16"/>
  <c r="BY53" i="16" s="1"/>
  <c r="BY52" i="16"/>
  <c r="BY51" i="16"/>
  <c r="BY50" i="16"/>
  <c r="BY49" i="16"/>
  <c r="BX49" i="16"/>
  <c r="BW49" i="16"/>
  <c r="BV49" i="16"/>
  <c r="BU49" i="16"/>
  <c r="BT49" i="16"/>
  <c r="BS49" i="16"/>
  <c r="BR49" i="16"/>
  <c r="BQ49" i="16"/>
  <c r="BP49" i="16"/>
  <c r="BO49" i="16"/>
  <c r="BN49" i="16"/>
  <c r="BM49" i="16"/>
  <c r="BL49" i="16"/>
  <c r="BK49" i="16"/>
  <c r="BJ49" i="16"/>
  <c r="BI49" i="16"/>
  <c r="BH49" i="16"/>
  <c r="BG49" i="16"/>
  <c r="BF49" i="16"/>
  <c r="BE49" i="16"/>
  <c r="BD49" i="16"/>
  <c r="BC49" i="16"/>
  <c r="BB49" i="16"/>
  <c r="BA49" i="16"/>
  <c r="AZ49" i="16"/>
  <c r="AY49" i="16"/>
  <c r="AX49" i="16"/>
  <c r="AW49" i="16"/>
  <c r="AV49" i="16"/>
  <c r="AU49" i="16"/>
  <c r="AT49" i="16"/>
  <c r="AS49" i="16"/>
  <c r="AR49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R48" i="16"/>
  <c r="K48" i="16"/>
  <c r="Y47" i="16"/>
  <c r="W47" i="16"/>
  <c r="S47" i="16"/>
  <c r="BY47" i="16" s="1"/>
  <c r="K46" i="16"/>
  <c r="I46" i="16"/>
  <c r="H46" i="16"/>
  <c r="AA45" i="16"/>
  <c r="Z45" i="16"/>
  <c r="Y45" i="16"/>
  <c r="X45" i="16"/>
  <c r="W45" i="16"/>
  <c r="V45" i="16"/>
  <c r="U45" i="16"/>
  <c r="T45" i="16"/>
  <c r="S45" i="16"/>
  <c r="R45" i="16"/>
  <c r="Q45" i="16"/>
  <c r="O45" i="16"/>
  <c r="N45" i="16"/>
  <c r="M45" i="16"/>
  <c r="L45" i="16"/>
  <c r="K45" i="16"/>
  <c r="J45" i="16"/>
  <c r="H45" i="16"/>
  <c r="Z44" i="16"/>
  <c r="R44" i="16"/>
  <c r="Q44" i="16"/>
  <c r="J44" i="16"/>
  <c r="H44" i="16"/>
  <c r="BY44" i="16" s="1"/>
  <c r="P43" i="16"/>
  <c r="O43" i="16"/>
  <c r="N43" i="16"/>
  <c r="M43" i="16"/>
  <c r="L43" i="16"/>
  <c r="K43" i="16"/>
  <c r="I43" i="16"/>
  <c r="H43" i="16"/>
  <c r="P42" i="16"/>
  <c r="O42" i="16"/>
  <c r="N42" i="16"/>
  <c r="M42" i="16"/>
  <c r="L42" i="16"/>
  <c r="K42" i="16"/>
  <c r="J42" i="16"/>
  <c r="I42" i="16"/>
  <c r="H42" i="16"/>
  <c r="Z41" i="16"/>
  <c r="Y41" i="16"/>
  <c r="X41" i="16"/>
  <c r="W41" i="16"/>
  <c r="V41" i="16"/>
  <c r="U41" i="16"/>
  <c r="T41" i="16"/>
  <c r="S41" i="16"/>
  <c r="R41" i="16"/>
  <c r="BY41" i="16" s="1"/>
  <c r="BY40" i="16"/>
  <c r="Z39" i="16"/>
  <c r="Y39" i="16"/>
  <c r="X39" i="16"/>
  <c r="W39" i="16"/>
  <c r="V39" i="16"/>
  <c r="U39" i="16"/>
  <c r="T39" i="16"/>
  <c r="S39" i="16"/>
  <c r="R39" i="16"/>
  <c r="BY39" i="16" s="1"/>
  <c r="P38" i="16"/>
  <c r="O38" i="16"/>
  <c r="M38" i="16"/>
  <c r="L38" i="16"/>
  <c r="J38" i="16"/>
  <c r="I38" i="16"/>
  <c r="BX37" i="16"/>
  <c r="BW37" i="16"/>
  <c r="BV37" i="16"/>
  <c r="BU37" i="16"/>
  <c r="BT37" i="16"/>
  <c r="BS37" i="16"/>
  <c r="BR37" i="16"/>
  <c r="BQ37" i="16"/>
  <c r="BP37" i="16"/>
  <c r="BO37" i="16"/>
  <c r="BN37" i="16"/>
  <c r="BM37" i="16"/>
  <c r="BL37" i="16"/>
  <c r="BK37" i="16"/>
  <c r="BJ37" i="16"/>
  <c r="BI37" i="16"/>
  <c r="BH37" i="16"/>
  <c r="BG37" i="16"/>
  <c r="BF37" i="16"/>
  <c r="BE37" i="16"/>
  <c r="BD37" i="16"/>
  <c r="BC37" i="16"/>
  <c r="BB37" i="16"/>
  <c r="BA37" i="16"/>
  <c r="AZ37" i="16"/>
  <c r="AY37" i="16"/>
  <c r="AX37" i="16"/>
  <c r="AW37" i="16"/>
  <c r="AV37" i="16"/>
  <c r="AU37" i="16"/>
  <c r="AT37" i="16"/>
  <c r="AS37" i="16"/>
  <c r="AR37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O37" i="16"/>
  <c r="N37" i="16"/>
  <c r="M37" i="16"/>
  <c r="L37" i="16"/>
  <c r="K37" i="16"/>
  <c r="J37" i="16"/>
  <c r="I37" i="16"/>
  <c r="H37" i="16"/>
  <c r="G37" i="16"/>
  <c r="F37" i="16"/>
  <c r="E37" i="16"/>
  <c r="BY36" i="16"/>
  <c r="BX34" i="16"/>
  <c r="BW34" i="16"/>
  <c r="BV34" i="16"/>
  <c r="BU34" i="16"/>
  <c r="BT34" i="16"/>
  <c r="BS34" i="16"/>
  <c r="BR34" i="16"/>
  <c r="BQ34" i="16"/>
  <c r="BP34" i="16"/>
  <c r="BO34" i="16"/>
  <c r="BN34" i="16"/>
  <c r="BM34" i="16"/>
  <c r="BL34" i="16"/>
  <c r="BK34" i="16"/>
  <c r="BJ34" i="16"/>
  <c r="BI34" i="16"/>
  <c r="BH34" i="16"/>
  <c r="BG34" i="16"/>
  <c r="BF34" i="16"/>
  <c r="BE34" i="16"/>
  <c r="BD34" i="16"/>
  <c r="BC34" i="16"/>
  <c r="BB34" i="16"/>
  <c r="BA34" i="16"/>
  <c r="AZ34" i="16"/>
  <c r="AY34" i="16"/>
  <c r="AX34" i="16"/>
  <c r="AW34" i="16"/>
  <c r="AV34" i="16"/>
  <c r="AU34" i="16"/>
  <c r="AT34" i="16"/>
  <c r="AS34" i="16"/>
  <c r="AR34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Q32" i="16"/>
  <c r="I32" i="16"/>
  <c r="BY32" i="16" s="1"/>
  <c r="Z31" i="16"/>
  <c r="Y31" i="16"/>
  <c r="X31" i="16"/>
  <c r="W31" i="16"/>
  <c r="V31" i="16"/>
  <c r="U31" i="16"/>
  <c r="T31" i="16"/>
  <c r="S31" i="16"/>
  <c r="O31" i="16"/>
  <c r="N31" i="16"/>
  <c r="H31" i="16"/>
  <c r="BY31" i="16" s="1"/>
  <c r="U30" i="16"/>
  <c r="T30" i="16"/>
  <c r="S30" i="16"/>
  <c r="BY30" i="16" s="1"/>
  <c r="BY29" i="16"/>
  <c r="BY28" i="16"/>
  <c r="CG27" i="16"/>
  <c r="R27" i="16"/>
  <c r="P27" i="16"/>
  <c r="O27" i="16"/>
  <c r="N27" i="16"/>
  <c r="M27" i="16"/>
  <c r="L27" i="16"/>
  <c r="BX26" i="16"/>
  <c r="BW26" i="16"/>
  <c r="BV26" i="16"/>
  <c r="BU26" i="16"/>
  <c r="BT26" i="16"/>
  <c r="BS26" i="16"/>
  <c r="BR26" i="16"/>
  <c r="BQ26" i="16"/>
  <c r="BP26" i="16"/>
  <c r="BO26" i="16"/>
  <c r="BN26" i="16"/>
  <c r="BM26" i="16"/>
  <c r="BL26" i="16"/>
  <c r="BK26" i="16"/>
  <c r="BJ26" i="16"/>
  <c r="BI26" i="16"/>
  <c r="BH26" i="16"/>
  <c r="BG26" i="16"/>
  <c r="BF26" i="16"/>
  <c r="BE26" i="16"/>
  <c r="BD26" i="16"/>
  <c r="BC26" i="16"/>
  <c r="BB26" i="16"/>
  <c r="BA26" i="16"/>
  <c r="AZ26" i="16"/>
  <c r="AY26" i="16"/>
  <c r="AX26" i="16"/>
  <c r="AW26" i="16"/>
  <c r="AV26" i="16"/>
  <c r="AU26" i="16"/>
  <c r="AT26" i="16"/>
  <c r="AS26" i="16"/>
  <c r="AR26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R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P25" i="16"/>
  <c r="BY25" i="16" s="1"/>
  <c r="CG24" i="16"/>
  <c r="R24" i="16"/>
  <c r="R147" i="16" s="1"/>
  <c r="R152" i="16" s="1"/>
  <c r="Q24" i="16"/>
  <c r="Q147" i="16" s="1"/>
  <c r="Q152" i="16" s="1"/>
  <c r="L24" i="16"/>
  <c r="L147" i="16" s="1"/>
  <c r="L152" i="16" s="1"/>
  <c r="I24" i="16"/>
  <c r="CE23" i="16"/>
  <c r="BX23" i="16"/>
  <c r="BW23" i="16"/>
  <c r="BV23" i="16"/>
  <c r="BU23" i="16"/>
  <c r="BT23" i="16"/>
  <c r="BS23" i="16"/>
  <c r="BR23" i="16"/>
  <c r="BQ23" i="16"/>
  <c r="BP23" i="16"/>
  <c r="BO23" i="16"/>
  <c r="BN23" i="16"/>
  <c r="BM23" i="16"/>
  <c r="BL23" i="16"/>
  <c r="BK23" i="16"/>
  <c r="BJ23" i="16"/>
  <c r="BI23" i="16"/>
  <c r="BH23" i="16"/>
  <c r="BG23" i="16"/>
  <c r="BF23" i="16"/>
  <c r="BE23" i="16"/>
  <c r="BD23" i="16"/>
  <c r="BC23" i="16"/>
  <c r="BB23" i="16"/>
  <c r="BA23" i="16"/>
  <c r="AZ23" i="16"/>
  <c r="AY23" i="16"/>
  <c r="AX23" i="16"/>
  <c r="AW23" i="16"/>
  <c r="AV23" i="16"/>
  <c r="AU23" i="16"/>
  <c r="AT23" i="16"/>
  <c r="AS23" i="16"/>
  <c r="AR23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O23" i="16"/>
  <c r="N23" i="16"/>
  <c r="M23" i="16"/>
  <c r="L23" i="16"/>
  <c r="K23" i="16"/>
  <c r="J23" i="16"/>
  <c r="I23" i="16"/>
  <c r="H23" i="16"/>
  <c r="G23" i="16"/>
  <c r="F23" i="16"/>
  <c r="E23" i="16"/>
  <c r="BY22" i="16"/>
  <c r="BY21" i="16"/>
  <c r="BY20" i="16"/>
  <c r="BY19" i="16"/>
  <c r="J18" i="16"/>
  <c r="H18" i="16"/>
  <c r="BY18" i="16" s="1"/>
  <c r="BY17" i="16"/>
  <c r="BX17" i="16"/>
  <c r="BX98" i="16" s="1"/>
  <c r="BW17" i="16"/>
  <c r="BW98" i="16" s="1"/>
  <c r="BV17" i="16"/>
  <c r="BV98" i="16" s="1"/>
  <c r="BU17" i="16"/>
  <c r="BU98" i="16" s="1"/>
  <c r="BT17" i="16"/>
  <c r="BT98" i="16" s="1"/>
  <c r="BS17" i="16"/>
  <c r="BS98" i="16" s="1"/>
  <c r="BR17" i="16"/>
  <c r="BR98" i="16" s="1"/>
  <c r="BQ17" i="16"/>
  <c r="BQ98" i="16" s="1"/>
  <c r="BP17" i="16"/>
  <c r="BP98" i="16" s="1"/>
  <c r="BO17" i="16"/>
  <c r="BO98" i="16" s="1"/>
  <c r="BN17" i="16"/>
  <c r="BN98" i="16" s="1"/>
  <c r="BM17" i="16"/>
  <c r="BM98" i="16" s="1"/>
  <c r="BL17" i="16"/>
  <c r="BL98" i="16" s="1"/>
  <c r="BK17" i="16"/>
  <c r="BK98" i="16" s="1"/>
  <c r="BJ17" i="16"/>
  <c r="BJ98" i="16" s="1"/>
  <c r="BI17" i="16"/>
  <c r="BI98" i="16" s="1"/>
  <c r="BH17" i="16"/>
  <c r="BH98" i="16" s="1"/>
  <c r="BG17" i="16"/>
  <c r="BG98" i="16" s="1"/>
  <c r="BF17" i="16"/>
  <c r="BF98" i="16" s="1"/>
  <c r="BE17" i="16"/>
  <c r="BE98" i="16" s="1"/>
  <c r="BD17" i="16"/>
  <c r="BD98" i="16" s="1"/>
  <c r="BC17" i="16"/>
  <c r="BC98" i="16" s="1"/>
  <c r="BB17" i="16"/>
  <c r="BB98" i="16" s="1"/>
  <c r="BA17" i="16"/>
  <c r="BA98" i="16" s="1"/>
  <c r="AZ17" i="16"/>
  <c r="AZ98" i="16" s="1"/>
  <c r="AY17" i="16"/>
  <c r="AY98" i="16" s="1"/>
  <c r="AX17" i="16"/>
  <c r="AX98" i="16" s="1"/>
  <c r="AW17" i="16"/>
  <c r="AW98" i="16" s="1"/>
  <c r="AV17" i="16"/>
  <c r="AV98" i="16" s="1"/>
  <c r="AU17" i="16"/>
  <c r="AU98" i="16" s="1"/>
  <c r="AT17" i="16"/>
  <c r="AT98" i="16" s="1"/>
  <c r="AS17" i="16"/>
  <c r="AS98" i="16" s="1"/>
  <c r="AR17" i="16"/>
  <c r="AR98" i="16" s="1"/>
  <c r="AQ17" i="16"/>
  <c r="AQ98" i="16" s="1"/>
  <c r="AP17" i="16"/>
  <c r="AP98" i="16" s="1"/>
  <c r="AO17" i="16"/>
  <c r="AO98" i="16" s="1"/>
  <c r="AN17" i="16"/>
  <c r="AN98" i="16" s="1"/>
  <c r="AM17" i="16"/>
  <c r="AM98" i="16" s="1"/>
  <c r="AL17" i="16"/>
  <c r="AL98" i="16" s="1"/>
  <c r="AK17" i="16"/>
  <c r="AK98" i="16" s="1"/>
  <c r="AJ17" i="16"/>
  <c r="AJ98" i="16" s="1"/>
  <c r="AI17" i="16"/>
  <c r="AI98" i="16" s="1"/>
  <c r="AH17" i="16"/>
  <c r="AH98" i="16" s="1"/>
  <c r="AG17" i="16"/>
  <c r="AG98" i="16" s="1"/>
  <c r="AF17" i="16"/>
  <c r="AF98" i="16" s="1"/>
  <c r="AE17" i="16"/>
  <c r="AE98" i="16" s="1"/>
  <c r="AD17" i="16"/>
  <c r="AD98" i="16" s="1"/>
  <c r="AC17" i="16"/>
  <c r="AC98" i="16" s="1"/>
  <c r="AB17" i="16"/>
  <c r="AB98" i="16" s="1"/>
  <c r="AA17" i="16"/>
  <c r="Z17" i="16"/>
  <c r="Y17" i="16"/>
  <c r="X17" i="16"/>
  <c r="W17" i="16"/>
  <c r="V17" i="16"/>
  <c r="U17" i="16"/>
  <c r="T17" i="16"/>
  <c r="S17" i="16"/>
  <c r="R17" i="16"/>
  <c r="Q17" i="16"/>
  <c r="P17" i="16"/>
  <c r="O17" i="16"/>
  <c r="O98" i="16" s="1"/>
  <c r="N17" i="16"/>
  <c r="N98" i="16" s="1"/>
  <c r="M17" i="16"/>
  <c r="M98" i="16" s="1"/>
  <c r="L17" i="16"/>
  <c r="L98" i="16" s="1"/>
  <c r="K17" i="16"/>
  <c r="K98" i="16" s="1"/>
  <c r="J17" i="16"/>
  <c r="J98" i="16" s="1"/>
  <c r="I17" i="16"/>
  <c r="I98" i="16" s="1"/>
  <c r="H17" i="16"/>
  <c r="H98" i="16" s="1"/>
  <c r="H99" i="16" s="1"/>
  <c r="I99" i="16" s="1"/>
  <c r="J99" i="16" s="1"/>
  <c r="K99" i="16" s="1"/>
  <c r="L99" i="16" s="1"/>
  <c r="M99" i="16" s="1"/>
  <c r="N99" i="16" s="1"/>
  <c r="G17" i="16"/>
  <c r="G98" i="16" s="1"/>
  <c r="F17" i="16"/>
  <c r="F98" i="16" s="1"/>
  <c r="E17" i="16"/>
  <c r="E98" i="16" s="1"/>
  <c r="BX16" i="16"/>
  <c r="BX100" i="16" s="1"/>
  <c r="BW16" i="16"/>
  <c r="BW100" i="16" s="1"/>
  <c r="BV16" i="16"/>
  <c r="BV100" i="16" s="1"/>
  <c r="BU16" i="16"/>
  <c r="BU100" i="16" s="1"/>
  <c r="BT16" i="16"/>
  <c r="BT100" i="16" s="1"/>
  <c r="BS16" i="16"/>
  <c r="BS100" i="16" s="1"/>
  <c r="BR16" i="16"/>
  <c r="BR100" i="16" s="1"/>
  <c r="BQ16" i="16"/>
  <c r="BQ100" i="16" s="1"/>
  <c r="BP16" i="16"/>
  <c r="BP100" i="16" s="1"/>
  <c r="BO16" i="16"/>
  <c r="BO100" i="16" s="1"/>
  <c r="BN16" i="16"/>
  <c r="BN100" i="16" s="1"/>
  <c r="BM16" i="16"/>
  <c r="BM100" i="16" s="1"/>
  <c r="BL16" i="16"/>
  <c r="BL100" i="16" s="1"/>
  <c r="BK16" i="16"/>
  <c r="BK100" i="16" s="1"/>
  <c r="BJ16" i="16"/>
  <c r="BJ100" i="16" s="1"/>
  <c r="BI16" i="16"/>
  <c r="BI100" i="16" s="1"/>
  <c r="BH16" i="16"/>
  <c r="BH100" i="16" s="1"/>
  <c r="BG16" i="16"/>
  <c r="BG100" i="16" s="1"/>
  <c r="BF16" i="16"/>
  <c r="BF100" i="16" s="1"/>
  <c r="BE16" i="16"/>
  <c r="BE100" i="16" s="1"/>
  <c r="BD16" i="16"/>
  <c r="BD100" i="16" s="1"/>
  <c r="BC16" i="16"/>
  <c r="BC100" i="16" s="1"/>
  <c r="BB16" i="16"/>
  <c r="BB100" i="16" s="1"/>
  <c r="BA16" i="16"/>
  <c r="BA100" i="16" s="1"/>
  <c r="AZ16" i="16"/>
  <c r="AZ100" i="16" s="1"/>
  <c r="AY16" i="16"/>
  <c r="AY100" i="16" s="1"/>
  <c r="AX16" i="16"/>
  <c r="AX100" i="16" s="1"/>
  <c r="AW16" i="16"/>
  <c r="AW100" i="16" s="1"/>
  <c r="AV16" i="16"/>
  <c r="AV100" i="16" s="1"/>
  <c r="AU16" i="16"/>
  <c r="AU100" i="16" s="1"/>
  <c r="AT16" i="16"/>
  <c r="AT100" i="16" s="1"/>
  <c r="AS16" i="16"/>
  <c r="AS100" i="16" s="1"/>
  <c r="AR16" i="16"/>
  <c r="AR100" i="16" s="1"/>
  <c r="AQ16" i="16"/>
  <c r="AQ100" i="16" s="1"/>
  <c r="AP16" i="16"/>
  <c r="AP100" i="16" s="1"/>
  <c r="AO16" i="16"/>
  <c r="AO100" i="16" s="1"/>
  <c r="AN16" i="16"/>
  <c r="AN100" i="16" s="1"/>
  <c r="AM16" i="16"/>
  <c r="AM100" i="16" s="1"/>
  <c r="AL16" i="16"/>
  <c r="AL100" i="16" s="1"/>
  <c r="AK16" i="16"/>
  <c r="AK100" i="16" s="1"/>
  <c r="AJ16" i="16"/>
  <c r="AJ100" i="16" s="1"/>
  <c r="AI16" i="16"/>
  <c r="AI100" i="16" s="1"/>
  <c r="AH16" i="16"/>
  <c r="AH100" i="16" s="1"/>
  <c r="AG16" i="16"/>
  <c r="AG100" i="16" s="1"/>
  <c r="AF16" i="16"/>
  <c r="AF100" i="16" s="1"/>
  <c r="AE16" i="16"/>
  <c r="AE100" i="16" s="1"/>
  <c r="AD16" i="16"/>
  <c r="AD100" i="16" s="1"/>
  <c r="AC16" i="16"/>
  <c r="AC100" i="16" s="1"/>
  <c r="AB16" i="16"/>
  <c r="AB100" i="16" s="1"/>
  <c r="J16" i="16"/>
  <c r="J100" i="16" s="1"/>
  <c r="I16" i="16"/>
  <c r="I100" i="16" s="1"/>
  <c r="G16" i="16"/>
  <c r="G100" i="16" s="1"/>
  <c r="F16" i="16"/>
  <c r="F100" i="16" s="1"/>
  <c r="E16" i="16"/>
  <c r="E100" i="16" s="1"/>
  <c r="E101" i="16" s="1"/>
  <c r="Q15" i="16"/>
  <c r="CE14" i="16"/>
  <c r="CE15" i="16" s="1"/>
  <c r="Q14" i="16"/>
  <c r="P14" i="16"/>
  <c r="O14" i="16"/>
  <c r="M14" i="16"/>
  <c r="K14" i="16"/>
  <c r="CH11" i="16"/>
  <c r="P11" i="16"/>
  <c r="O11" i="16"/>
  <c r="N11" i="16"/>
  <c r="N16" i="16" s="1"/>
  <c r="N100" i="16" s="1"/>
  <c r="M11" i="16"/>
  <c r="Z10" i="16"/>
  <c r="Y10" i="16"/>
  <c r="X10" i="16"/>
  <c r="W10" i="16"/>
  <c r="V10" i="16"/>
  <c r="U9" i="16"/>
  <c r="BY8" i="16"/>
  <c r="CB8" i="16" s="1"/>
  <c r="CA7" i="16"/>
  <c r="BY7" i="16"/>
  <c r="CB7" i="16" s="1"/>
  <c r="CA6" i="16"/>
  <c r="P6" i="16"/>
  <c r="O6" i="16"/>
  <c r="M6" i="16"/>
  <c r="L6" i="16"/>
  <c r="H5" i="16"/>
  <c r="D188" i="15"/>
  <c r="BX181" i="15"/>
  <c r="BW181" i="15"/>
  <c r="BV181" i="15"/>
  <c r="BU181" i="15"/>
  <c r="BT181" i="15"/>
  <c r="BS181" i="15"/>
  <c r="BR181" i="15"/>
  <c r="BQ181" i="15"/>
  <c r="BP181" i="15"/>
  <c r="BO181" i="15"/>
  <c r="BN181" i="15"/>
  <c r="BM181" i="15"/>
  <c r="BL181" i="15"/>
  <c r="BK181" i="15"/>
  <c r="BJ181" i="15"/>
  <c r="BI181" i="15"/>
  <c r="BH181" i="15"/>
  <c r="BG181" i="15"/>
  <c r="BF181" i="15"/>
  <c r="BE181" i="15"/>
  <c r="BD181" i="15"/>
  <c r="BC181" i="15"/>
  <c r="BB181" i="15"/>
  <c r="BA181" i="15"/>
  <c r="AZ181" i="15"/>
  <c r="AY181" i="15"/>
  <c r="AX181" i="15"/>
  <c r="AW181" i="15"/>
  <c r="AV181" i="15"/>
  <c r="AU181" i="15"/>
  <c r="AT181" i="15"/>
  <c r="AS181" i="15"/>
  <c r="AR181" i="15"/>
  <c r="AQ181" i="15"/>
  <c r="AP181" i="15"/>
  <c r="AO181" i="15"/>
  <c r="AN181" i="15"/>
  <c r="AM181" i="15"/>
  <c r="AL181" i="15"/>
  <c r="AK181" i="15"/>
  <c r="AJ181" i="15"/>
  <c r="AI181" i="15"/>
  <c r="AH181" i="15"/>
  <c r="AG181" i="15"/>
  <c r="AF181" i="15"/>
  <c r="AE181" i="15"/>
  <c r="AD181" i="15"/>
  <c r="AC181" i="15"/>
  <c r="AB181" i="15"/>
  <c r="AA181" i="15"/>
  <c r="Z181" i="15"/>
  <c r="Y181" i="15"/>
  <c r="X181" i="15"/>
  <c r="W181" i="15"/>
  <c r="V181" i="15"/>
  <c r="U181" i="15"/>
  <c r="T181" i="15"/>
  <c r="S181" i="15"/>
  <c r="S184" i="15" s="1"/>
  <c r="R181" i="15"/>
  <c r="R184" i="15" s="1"/>
  <c r="Q181" i="15"/>
  <c r="Q184" i="15" s="1"/>
  <c r="P181" i="15"/>
  <c r="P184" i="15" s="1"/>
  <c r="O181" i="15"/>
  <c r="O184" i="15" s="1"/>
  <c r="N181" i="15"/>
  <c r="N184" i="15" s="1"/>
  <c r="M181" i="15"/>
  <c r="M184" i="15" s="1"/>
  <c r="L181" i="15"/>
  <c r="L184" i="15" s="1"/>
  <c r="K181" i="15"/>
  <c r="K184" i="15" s="1"/>
  <c r="J181" i="15"/>
  <c r="J184" i="15" s="1"/>
  <c r="I181" i="15"/>
  <c r="I184" i="15" s="1"/>
  <c r="H181" i="15"/>
  <c r="G181" i="15"/>
  <c r="F181" i="15"/>
  <c r="E181" i="15"/>
  <c r="BX179" i="15"/>
  <c r="BW179" i="15"/>
  <c r="BW184" i="15" s="1"/>
  <c r="BV179" i="15"/>
  <c r="BV184" i="15" s="1"/>
  <c r="BU179" i="15"/>
  <c r="BU184" i="15" s="1"/>
  <c r="BT179" i="15"/>
  <c r="BT184" i="15" s="1"/>
  <c r="BS179" i="15"/>
  <c r="BS184" i="15" s="1"/>
  <c r="BR179" i="15"/>
  <c r="BR184" i="15" s="1"/>
  <c r="BQ179" i="15"/>
  <c r="BQ184" i="15" s="1"/>
  <c r="BP179" i="15"/>
  <c r="BP184" i="15" s="1"/>
  <c r="BO179" i="15"/>
  <c r="BO184" i="15" s="1"/>
  <c r="BN179" i="15"/>
  <c r="BN184" i="15" s="1"/>
  <c r="BM179" i="15"/>
  <c r="BM184" i="15" s="1"/>
  <c r="BL179" i="15"/>
  <c r="BL184" i="15" s="1"/>
  <c r="BK179" i="15"/>
  <c r="BK184" i="15" s="1"/>
  <c r="BJ179" i="15"/>
  <c r="BJ184" i="15" s="1"/>
  <c r="BI179" i="15"/>
  <c r="BI184" i="15" s="1"/>
  <c r="BH179" i="15"/>
  <c r="BH184" i="15" s="1"/>
  <c r="BG179" i="15"/>
  <c r="BG184" i="15" s="1"/>
  <c r="BF179" i="15"/>
  <c r="BF184" i="15" s="1"/>
  <c r="BE179" i="15"/>
  <c r="BE184" i="15" s="1"/>
  <c r="BD179" i="15"/>
  <c r="BD184" i="15" s="1"/>
  <c r="BC179" i="15"/>
  <c r="BC184" i="15" s="1"/>
  <c r="BB179" i="15"/>
  <c r="BB184" i="15" s="1"/>
  <c r="BA179" i="15"/>
  <c r="BA184" i="15" s="1"/>
  <c r="AZ179" i="15"/>
  <c r="AZ184" i="15" s="1"/>
  <c r="AY179" i="15"/>
  <c r="AY184" i="15" s="1"/>
  <c r="AX179" i="15"/>
  <c r="AX184" i="15" s="1"/>
  <c r="AW179" i="15"/>
  <c r="AW184" i="15" s="1"/>
  <c r="AV179" i="15"/>
  <c r="AV184" i="15" s="1"/>
  <c r="AU179" i="15"/>
  <c r="AU184" i="15" s="1"/>
  <c r="AT179" i="15"/>
  <c r="AT184" i="15" s="1"/>
  <c r="AS179" i="15"/>
  <c r="AS184" i="15" s="1"/>
  <c r="AR179" i="15"/>
  <c r="AR184" i="15" s="1"/>
  <c r="AQ179" i="15"/>
  <c r="AQ184" i="15" s="1"/>
  <c r="AP179" i="15"/>
  <c r="AP184" i="15" s="1"/>
  <c r="AO179" i="15"/>
  <c r="AO184" i="15" s="1"/>
  <c r="AN179" i="15"/>
  <c r="AN184" i="15" s="1"/>
  <c r="AM179" i="15"/>
  <c r="AM184" i="15" s="1"/>
  <c r="AL179" i="15"/>
  <c r="AL184" i="15" s="1"/>
  <c r="AK179" i="15"/>
  <c r="AK184" i="15" s="1"/>
  <c r="AJ179" i="15"/>
  <c r="AJ184" i="15" s="1"/>
  <c r="AI179" i="15"/>
  <c r="AI184" i="15" s="1"/>
  <c r="AH179" i="15"/>
  <c r="AH184" i="15" s="1"/>
  <c r="AG179" i="15"/>
  <c r="AG184" i="15" s="1"/>
  <c r="AF179" i="15"/>
  <c r="AF184" i="15" s="1"/>
  <c r="AE179" i="15"/>
  <c r="AE184" i="15" s="1"/>
  <c r="AD179" i="15"/>
  <c r="AD184" i="15" s="1"/>
  <c r="AC179" i="15"/>
  <c r="AC184" i="15" s="1"/>
  <c r="AB179" i="15"/>
  <c r="AB184" i="15" s="1"/>
  <c r="AA179" i="15"/>
  <c r="AA184" i="15" s="1"/>
  <c r="Z179" i="15"/>
  <c r="Z184" i="15" s="1"/>
  <c r="Y179" i="15"/>
  <c r="Y184" i="15" s="1"/>
  <c r="X179" i="15"/>
  <c r="X184" i="15" s="1"/>
  <c r="W179" i="15"/>
  <c r="W184" i="15" s="1"/>
  <c r="V179" i="15"/>
  <c r="V184" i="15" s="1"/>
  <c r="U179" i="15"/>
  <c r="U184" i="15" s="1"/>
  <c r="T179" i="15"/>
  <c r="H179" i="15"/>
  <c r="H184" i="15" s="1"/>
  <c r="G179" i="15"/>
  <c r="G184" i="15" s="1"/>
  <c r="F179" i="15"/>
  <c r="F184" i="15" s="1"/>
  <c r="E179" i="15"/>
  <c r="E184" i="15" s="1"/>
  <c r="D172" i="15"/>
  <c r="BX165" i="15"/>
  <c r="BW165" i="15"/>
  <c r="BV165" i="15"/>
  <c r="BU165" i="15"/>
  <c r="BT165" i="15"/>
  <c r="BS165" i="15"/>
  <c r="BR165" i="15"/>
  <c r="BQ165" i="15"/>
  <c r="BP165" i="15"/>
  <c r="BO165" i="15"/>
  <c r="BN165" i="15"/>
  <c r="BM165" i="15"/>
  <c r="BL165" i="15"/>
  <c r="BK165" i="15"/>
  <c r="BJ165" i="15"/>
  <c r="BI165" i="15"/>
  <c r="BH165" i="15"/>
  <c r="BG165" i="15"/>
  <c r="BF165" i="15"/>
  <c r="BE165" i="15"/>
  <c r="BD165" i="15"/>
  <c r="BC165" i="15"/>
  <c r="BB165" i="15"/>
  <c r="BA165" i="15"/>
  <c r="AZ165" i="15"/>
  <c r="AY165" i="15"/>
  <c r="AX165" i="15"/>
  <c r="AW165" i="15"/>
  <c r="AV165" i="15"/>
  <c r="AU165" i="15"/>
  <c r="AT165" i="15"/>
  <c r="AS165" i="15"/>
  <c r="AR165" i="15"/>
  <c r="AQ165" i="15"/>
  <c r="AP165" i="15"/>
  <c r="AO165" i="15"/>
  <c r="AN165" i="15"/>
  <c r="AM165" i="15"/>
  <c r="AL165" i="15"/>
  <c r="AK165" i="15"/>
  <c r="AJ165" i="15"/>
  <c r="AI165" i="15"/>
  <c r="AH165" i="15"/>
  <c r="AG165" i="15"/>
  <c r="AF165" i="15"/>
  <c r="AE165" i="15"/>
  <c r="AD165" i="15"/>
  <c r="AC165" i="15"/>
  <c r="AB165" i="15"/>
  <c r="AA165" i="15"/>
  <c r="Z165" i="15"/>
  <c r="Y165" i="15"/>
  <c r="X165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BX163" i="15"/>
  <c r="BW163" i="15"/>
  <c r="BW168" i="15" s="1"/>
  <c r="BV163" i="15"/>
  <c r="BV168" i="15" s="1"/>
  <c r="BU163" i="15"/>
  <c r="BU168" i="15" s="1"/>
  <c r="BT163" i="15"/>
  <c r="BT168" i="15" s="1"/>
  <c r="BS163" i="15"/>
  <c r="BS168" i="15" s="1"/>
  <c r="BR163" i="15"/>
  <c r="BR168" i="15" s="1"/>
  <c r="BQ163" i="15"/>
  <c r="BQ168" i="15" s="1"/>
  <c r="BP163" i="15"/>
  <c r="BP168" i="15" s="1"/>
  <c r="BO163" i="15"/>
  <c r="BO168" i="15" s="1"/>
  <c r="BN163" i="15"/>
  <c r="BN168" i="15" s="1"/>
  <c r="BM163" i="15"/>
  <c r="BM168" i="15" s="1"/>
  <c r="BL163" i="15"/>
  <c r="BL168" i="15" s="1"/>
  <c r="BK163" i="15"/>
  <c r="BK168" i="15" s="1"/>
  <c r="BJ163" i="15"/>
  <c r="BJ168" i="15" s="1"/>
  <c r="BI163" i="15"/>
  <c r="BI168" i="15" s="1"/>
  <c r="BH163" i="15"/>
  <c r="BH168" i="15" s="1"/>
  <c r="BG163" i="15"/>
  <c r="BG168" i="15" s="1"/>
  <c r="BF163" i="15"/>
  <c r="BF168" i="15" s="1"/>
  <c r="BE163" i="15"/>
  <c r="BE168" i="15" s="1"/>
  <c r="BD163" i="15"/>
  <c r="BD168" i="15" s="1"/>
  <c r="BC163" i="15"/>
  <c r="BC168" i="15" s="1"/>
  <c r="BB163" i="15"/>
  <c r="BB168" i="15" s="1"/>
  <c r="BA163" i="15"/>
  <c r="BA168" i="15" s="1"/>
  <c r="AZ163" i="15"/>
  <c r="AZ168" i="15" s="1"/>
  <c r="AY163" i="15"/>
  <c r="AY168" i="15" s="1"/>
  <c r="AX163" i="15"/>
  <c r="AX168" i="15" s="1"/>
  <c r="AW163" i="15"/>
  <c r="AW168" i="15" s="1"/>
  <c r="AV163" i="15"/>
  <c r="AV168" i="15" s="1"/>
  <c r="AU163" i="15"/>
  <c r="AU168" i="15" s="1"/>
  <c r="AT163" i="15"/>
  <c r="AT168" i="15" s="1"/>
  <c r="AS163" i="15"/>
  <c r="AS168" i="15" s="1"/>
  <c r="AR163" i="15"/>
  <c r="AR168" i="15" s="1"/>
  <c r="AQ163" i="15"/>
  <c r="AQ168" i="15" s="1"/>
  <c r="AP163" i="15"/>
  <c r="AP168" i="15" s="1"/>
  <c r="AO163" i="15"/>
  <c r="AO168" i="15" s="1"/>
  <c r="AN163" i="15"/>
  <c r="AN168" i="15" s="1"/>
  <c r="AM163" i="15"/>
  <c r="AM168" i="15" s="1"/>
  <c r="AL163" i="15"/>
  <c r="AL168" i="15" s="1"/>
  <c r="AK163" i="15"/>
  <c r="AK168" i="15" s="1"/>
  <c r="AJ163" i="15"/>
  <c r="AJ168" i="15" s="1"/>
  <c r="AI163" i="15"/>
  <c r="AI168" i="15" s="1"/>
  <c r="AH163" i="15"/>
  <c r="AH168" i="15" s="1"/>
  <c r="AG163" i="15"/>
  <c r="AG168" i="15" s="1"/>
  <c r="AF163" i="15"/>
  <c r="AF168" i="15" s="1"/>
  <c r="AE163" i="15"/>
  <c r="AE168" i="15" s="1"/>
  <c r="AD163" i="15"/>
  <c r="AD168" i="15" s="1"/>
  <c r="AC163" i="15"/>
  <c r="AC168" i="15" s="1"/>
  <c r="AB163" i="15"/>
  <c r="AB168" i="15" s="1"/>
  <c r="Z163" i="15"/>
  <c r="Z168" i="15" s="1"/>
  <c r="Y163" i="15"/>
  <c r="Y168" i="15" s="1"/>
  <c r="X163" i="15"/>
  <c r="X168" i="15" s="1"/>
  <c r="W163" i="15"/>
  <c r="W168" i="15" s="1"/>
  <c r="V163" i="15"/>
  <c r="V168" i="15" s="1"/>
  <c r="U163" i="15"/>
  <c r="U168" i="15" s="1"/>
  <c r="T163" i="15"/>
  <c r="S163" i="15"/>
  <c r="S168" i="15" s="1"/>
  <c r="R163" i="15"/>
  <c r="R168" i="15" s="1"/>
  <c r="Q163" i="15"/>
  <c r="Q168" i="15" s="1"/>
  <c r="P163" i="15"/>
  <c r="P168" i="15" s="1"/>
  <c r="O163" i="15"/>
  <c r="O168" i="15" s="1"/>
  <c r="N163" i="15"/>
  <c r="N168" i="15" s="1"/>
  <c r="M163" i="15"/>
  <c r="M168" i="15" s="1"/>
  <c r="L163" i="15"/>
  <c r="L168" i="15" s="1"/>
  <c r="K163" i="15"/>
  <c r="K168" i="15" s="1"/>
  <c r="J163" i="15"/>
  <c r="J168" i="15" s="1"/>
  <c r="I163" i="15"/>
  <c r="I168" i="15" s="1"/>
  <c r="H163" i="15"/>
  <c r="H168" i="15" s="1"/>
  <c r="G163" i="15"/>
  <c r="G168" i="15" s="1"/>
  <c r="F163" i="15"/>
  <c r="F168" i="15" s="1"/>
  <c r="E163" i="15"/>
  <c r="E168" i="15" s="1"/>
  <c r="D156" i="15"/>
  <c r="T150" i="15"/>
  <c r="BX149" i="15"/>
  <c r="BW149" i="15"/>
  <c r="BV149" i="15"/>
  <c r="BU149" i="15"/>
  <c r="BT149" i="15"/>
  <c r="BS149" i="15"/>
  <c r="BR149" i="15"/>
  <c r="BQ149" i="15"/>
  <c r="BP149" i="15"/>
  <c r="BO149" i="15"/>
  <c r="BN149" i="15"/>
  <c r="BM149" i="15"/>
  <c r="BL149" i="15"/>
  <c r="BK149" i="15"/>
  <c r="BJ149" i="15"/>
  <c r="BI149" i="15"/>
  <c r="BH149" i="15"/>
  <c r="BG149" i="15"/>
  <c r="BF149" i="15"/>
  <c r="BE149" i="15"/>
  <c r="BD149" i="15"/>
  <c r="BC149" i="15"/>
  <c r="BB149" i="15"/>
  <c r="BA149" i="15"/>
  <c r="AZ149" i="15"/>
  <c r="AY149" i="15"/>
  <c r="AX149" i="15"/>
  <c r="AW149" i="15"/>
  <c r="AV149" i="15"/>
  <c r="AU149" i="15"/>
  <c r="AT149" i="15"/>
  <c r="AS149" i="15"/>
  <c r="AR149" i="15"/>
  <c r="AQ149" i="15"/>
  <c r="AP149" i="15"/>
  <c r="AO149" i="15"/>
  <c r="AN149" i="15"/>
  <c r="AM149" i="15"/>
  <c r="AL149" i="15"/>
  <c r="AK149" i="15"/>
  <c r="AJ149" i="15"/>
  <c r="AI149" i="15"/>
  <c r="AH149" i="15"/>
  <c r="AG149" i="15"/>
  <c r="AF149" i="15"/>
  <c r="AE149" i="15"/>
  <c r="AD149" i="15"/>
  <c r="AC149" i="15"/>
  <c r="AB149" i="15"/>
  <c r="AA149" i="15"/>
  <c r="Z149" i="15"/>
  <c r="Y149" i="15"/>
  <c r="X149" i="15"/>
  <c r="W149" i="15"/>
  <c r="V149" i="15"/>
  <c r="U149" i="15"/>
  <c r="T149" i="15"/>
  <c r="S149" i="15"/>
  <c r="R149" i="15"/>
  <c r="Q149" i="15"/>
  <c r="P149" i="15"/>
  <c r="O149" i="15"/>
  <c r="N149" i="15"/>
  <c r="M149" i="15"/>
  <c r="L149" i="15"/>
  <c r="K149" i="15"/>
  <c r="K152" i="15" s="1"/>
  <c r="J149" i="15"/>
  <c r="I149" i="15"/>
  <c r="I152" i="15" s="1"/>
  <c r="H149" i="15"/>
  <c r="G149" i="15"/>
  <c r="F149" i="15"/>
  <c r="E149" i="15"/>
  <c r="BX147" i="15"/>
  <c r="BW147" i="15"/>
  <c r="BW152" i="15" s="1"/>
  <c r="BV147" i="15"/>
  <c r="BV152" i="15" s="1"/>
  <c r="BU147" i="15"/>
  <c r="BU152" i="15" s="1"/>
  <c r="BT147" i="15"/>
  <c r="BT152" i="15" s="1"/>
  <c r="BS147" i="15"/>
  <c r="BS152" i="15" s="1"/>
  <c r="BR147" i="15"/>
  <c r="BR152" i="15" s="1"/>
  <c r="BQ147" i="15"/>
  <c r="BQ152" i="15" s="1"/>
  <c r="BP147" i="15"/>
  <c r="BP152" i="15" s="1"/>
  <c r="BO147" i="15"/>
  <c r="BO152" i="15" s="1"/>
  <c r="BN147" i="15"/>
  <c r="BN152" i="15" s="1"/>
  <c r="BM147" i="15"/>
  <c r="BM152" i="15" s="1"/>
  <c r="BL147" i="15"/>
  <c r="BL152" i="15" s="1"/>
  <c r="BK147" i="15"/>
  <c r="BK152" i="15" s="1"/>
  <c r="BJ147" i="15"/>
  <c r="BJ152" i="15" s="1"/>
  <c r="BI147" i="15"/>
  <c r="BI152" i="15" s="1"/>
  <c r="BH147" i="15"/>
  <c r="BH152" i="15" s="1"/>
  <c r="BG147" i="15"/>
  <c r="BG152" i="15" s="1"/>
  <c r="BF147" i="15"/>
  <c r="BF152" i="15" s="1"/>
  <c r="BE147" i="15"/>
  <c r="BE152" i="15" s="1"/>
  <c r="BD147" i="15"/>
  <c r="BD152" i="15" s="1"/>
  <c r="BC147" i="15"/>
  <c r="BC152" i="15" s="1"/>
  <c r="BB147" i="15"/>
  <c r="BB152" i="15" s="1"/>
  <c r="BA147" i="15"/>
  <c r="BA152" i="15" s="1"/>
  <c r="AZ147" i="15"/>
  <c r="AZ152" i="15" s="1"/>
  <c r="AY147" i="15"/>
  <c r="AY152" i="15" s="1"/>
  <c r="AX147" i="15"/>
  <c r="AX152" i="15" s="1"/>
  <c r="AW147" i="15"/>
  <c r="AW152" i="15" s="1"/>
  <c r="AV147" i="15"/>
  <c r="AV152" i="15" s="1"/>
  <c r="AU147" i="15"/>
  <c r="AU152" i="15" s="1"/>
  <c r="AT147" i="15"/>
  <c r="AT152" i="15" s="1"/>
  <c r="AS147" i="15"/>
  <c r="AS152" i="15" s="1"/>
  <c r="AR147" i="15"/>
  <c r="AR152" i="15" s="1"/>
  <c r="AQ147" i="15"/>
  <c r="AQ152" i="15" s="1"/>
  <c r="AP147" i="15"/>
  <c r="AP152" i="15" s="1"/>
  <c r="AO147" i="15"/>
  <c r="AO152" i="15" s="1"/>
  <c r="AN147" i="15"/>
  <c r="AN152" i="15" s="1"/>
  <c r="AM147" i="15"/>
  <c r="AM152" i="15" s="1"/>
  <c r="AL147" i="15"/>
  <c r="AL152" i="15" s="1"/>
  <c r="AK147" i="15"/>
  <c r="AK152" i="15" s="1"/>
  <c r="AJ147" i="15"/>
  <c r="AJ152" i="15" s="1"/>
  <c r="AI147" i="15"/>
  <c r="AI152" i="15" s="1"/>
  <c r="AH147" i="15"/>
  <c r="AH152" i="15" s="1"/>
  <c r="AG147" i="15"/>
  <c r="AG152" i="15" s="1"/>
  <c r="AF147" i="15"/>
  <c r="AF152" i="15" s="1"/>
  <c r="AE147" i="15"/>
  <c r="AE152" i="15" s="1"/>
  <c r="AD147" i="15"/>
  <c r="AD152" i="15" s="1"/>
  <c r="AC147" i="15"/>
  <c r="AC152" i="15" s="1"/>
  <c r="AB147" i="15"/>
  <c r="AB152" i="15" s="1"/>
  <c r="AA147" i="15"/>
  <c r="AA152" i="15" s="1"/>
  <c r="Z147" i="15"/>
  <c r="Z152" i="15" s="1"/>
  <c r="Y147" i="15"/>
  <c r="Y152" i="15" s="1"/>
  <c r="X147" i="15"/>
  <c r="X152" i="15" s="1"/>
  <c r="W147" i="15"/>
  <c r="W152" i="15" s="1"/>
  <c r="V147" i="15"/>
  <c r="V152" i="15" s="1"/>
  <c r="U147" i="15"/>
  <c r="U152" i="15" s="1"/>
  <c r="S147" i="15"/>
  <c r="S152" i="15" s="1"/>
  <c r="N147" i="15"/>
  <c r="N152" i="15" s="1"/>
  <c r="M147" i="15"/>
  <c r="M152" i="15" s="1"/>
  <c r="J147" i="15"/>
  <c r="J152" i="15" s="1"/>
  <c r="H147" i="15"/>
  <c r="G147" i="15"/>
  <c r="G152" i="15" s="1"/>
  <c r="F147" i="15"/>
  <c r="F152" i="15" s="1"/>
  <c r="E147" i="15"/>
  <c r="E152" i="15" s="1"/>
  <c r="E153" i="15" s="1"/>
  <c r="F153" i="15" s="1"/>
  <c r="G153" i="15" s="1"/>
  <c r="D140" i="15"/>
  <c r="BX133" i="15"/>
  <c r="BW133" i="15"/>
  <c r="BV133" i="15"/>
  <c r="BU133" i="15"/>
  <c r="BT133" i="15"/>
  <c r="BS133" i="15"/>
  <c r="BR133" i="15"/>
  <c r="BQ133" i="15"/>
  <c r="BP133" i="15"/>
  <c r="BO133" i="15"/>
  <c r="BN133" i="15"/>
  <c r="BM133" i="15"/>
  <c r="BL133" i="15"/>
  <c r="BK133" i="15"/>
  <c r="BJ133" i="15"/>
  <c r="BI133" i="15"/>
  <c r="BH133" i="15"/>
  <c r="BG133" i="15"/>
  <c r="BF133" i="15"/>
  <c r="BE133" i="15"/>
  <c r="BD133" i="15"/>
  <c r="BC133" i="15"/>
  <c r="BB133" i="15"/>
  <c r="BA133" i="15"/>
  <c r="AZ133" i="15"/>
  <c r="AY133" i="15"/>
  <c r="AX133" i="15"/>
  <c r="AW133" i="15"/>
  <c r="AV133" i="15"/>
  <c r="AU133" i="15"/>
  <c r="AT133" i="15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33" i="15"/>
  <c r="AF133" i="15"/>
  <c r="AE133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BX131" i="15"/>
  <c r="BW131" i="15"/>
  <c r="BW136" i="15" s="1"/>
  <c r="BV131" i="15"/>
  <c r="BV136" i="15" s="1"/>
  <c r="BU131" i="15"/>
  <c r="BU136" i="15" s="1"/>
  <c r="BT131" i="15"/>
  <c r="BT136" i="15" s="1"/>
  <c r="BS131" i="15"/>
  <c r="BS136" i="15" s="1"/>
  <c r="BR131" i="15"/>
  <c r="BR136" i="15" s="1"/>
  <c r="BQ131" i="15"/>
  <c r="BQ136" i="15" s="1"/>
  <c r="BP131" i="15"/>
  <c r="BP136" i="15" s="1"/>
  <c r="BO131" i="15"/>
  <c r="BO136" i="15" s="1"/>
  <c r="BN131" i="15"/>
  <c r="BN136" i="15" s="1"/>
  <c r="BM131" i="15"/>
  <c r="BM136" i="15" s="1"/>
  <c r="BL131" i="15"/>
  <c r="BL136" i="15" s="1"/>
  <c r="BK131" i="15"/>
  <c r="BK136" i="15" s="1"/>
  <c r="BJ131" i="15"/>
  <c r="BJ136" i="15" s="1"/>
  <c r="BI131" i="15"/>
  <c r="BI136" i="15" s="1"/>
  <c r="BH131" i="15"/>
  <c r="BH136" i="15" s="1"/>
  <c r="BG131" i="15"/>
  <c r="BG136" i="15" s="1"/>
  <c r="BF131" i="15"/>
  <c r="BF136" i="15" s="1"/>
  <c r="BE131" i="15"/>
  <c r="BE136" i="15" s="1"/>
  <c r="BD131" i="15"/>
  <c r="BD136" i="15" s="1"/>
  <c r="BC131" i="15"/>
  <c r="BC136" i="15" s="1"/>
  <c r="BB131" i="15"/>
  <c r="BB136" i="15" s="1"/>
  <c r="BA131" i="15"/>
  <c r="BA136" i="15" s="1"/>
  <c r="AZ131" i="15"/>
  <c r="AZ136" i="15" s="1"/>
  <c r="AY131" i="15"/>
  <c r="AY136" i="15" s="1"/>
  <c r="AX131" i="15"/>
  <c r="AX136" i="15" s="1"/>
  <c r="AW131" i="15"/>
  <c r="AW136" i="15" s="1"/>
  <c r="AV131" i="15"/>
  <c r="AV136" i="15" s="1"/>
  <c r="AU131" i="15"/>
  <c r="AU136" i="15" s="1"/>
  <c r="AT131" i="15"/>
  <c r="AT136" i="15" s="1"/>
  <c r="AS131" i="15"/>
  <c r="AS136" i="15" s="1"/>
  <c r="AR131" i="15"/>
  <c r="AR136" i="15" s="1"/>
  <c r="AQ131" i="15"/>
  <c r="AQ136" i="15" s="1"/>
  <c r="AP131" i="15"/>
  <c r="AP136" i="15" s="1"/>
  <c r="AO131" i="15"/>
  <c r="AO136" i="15" s="1"/>
  <c r="AN131" i="15"/>
  <c r="AN136" i="15" s="1"/>
  <c r="AM131" i="15"/>
  <c r="AM136" i="15" s="1"/>
  <c r="AL131" i="15"/>
  <c r="AL136" i="15" s="1"/>
  <c r="AK131" i="15"/>
  <c r="AK136" i="15" s="1"/>
  <c r="AJ131" i="15"/>
  <c r="AJ136" i="15" s="1"/>
  <c r="AI131" i="15"/>
  <c r="AI136" i="15" s="1"/>
  <c r="AH131" i="15"/>
  <c r="AH136" i="15" s="1"/>
  <c r="AG131" i="15"/>
  <c r="AG136" i="15" s="1"/>
  <c r="AF131" i="15"/>
  <c r="AF136" i="15" s="1"/>
  <c r="AE131" i="15"/>
  <c r="AE136" i="15" s="1"/>
  <c r="AD131" i="15"/>
  <c r="AD136" i="15" s="1"/>
  <c r="AC131" i="15"/>
  <c r="AC136" i="15" s="1"/>
  <c r="AB131" i="15"/>
  <c r="AB136" i="15" s="1"/>
  <c r="Z131" i="15"/>
  <c r="Z136" i="15" s="1"/>
  <c r="Y131" i="15"/>
  <c r="Y136" i="15" s="1"/>
  <c r="X131" i="15"/>
  <c r="X136" i="15" s="1"/>
  <c r="W131" i="15"/>
  <c r="W136" i="15" s="1"/>
  <c r="V131" i="15"/>
  <c r="V136" i="15" s="1"/>
  <c r="U131" i="15"/>
  <c r="U136" i="15" s="1"/>
  <c r="T131" i="15"/>
  <c r="S131" i="15"/>
  <c r="S136" i="15" s="1"/>
  <c r="R131" i="15"/>
  <c r="R136" i="15" s="1"/>
  <c r="Q131" i="15"/>
  <c r="Q136" i="15" s="1"/>
  <c r="O131" i="15"/>
  <c r="O136" i="15" s="1"/>
  <c r="N131" i="15"/>
  <c r="N136" i="15" s="1"/>
  <c r="K131" i="15"/>
  <c r="K136" i="15" s="1"/>
  <c r="J131" i="15"/>
  <c r="J136" i="15" s="1"/>
  <c r="I131" i="15"/>
  <c r="I136" i="15" s="1"/>
  <c r="H131" i="15"/>
  <c r="H136" i="15" s="1"/>
  <c r="G131" i="15"/>
  <c r="G136" i="15" s="1"/>
  <c r="F131" i="15"/>
  <c r="F136" i="15" s="1"/>
  <c r="E131" i="15"/>
  <c r="BX115" i="15"/>
  <c r="BW115" i="15"/>
  <c r="BV115" i="15"/>
  <c r="BU115" i="15"/>
  <c r="BT115" i="15"/>
  <c r="BS115" i="15"/>
  <c r="BR115" i="15"/>
  <c r="BQ115" i="15"/>
  <c r="BP115" i="15"/>
  <c r="BO115" i="15"/>
  <c r="BN115" i="15"/>
  <c r="BM115" i="15"/>
  <c r="BL115" i="15"/>
  <c r="BK115" i="15"/>
  <c r="BJ115" i="15"/>
  <c r="BI115" i="15"/>
  <c r="BH115" i="15"/>
  <c r="BG115" i="15"/>
  <c r="BF115" i="15"/>
  <c r="BE115" i="15"/>
  <c r="BD115" i="15"/>
  <c r="BC115" i="15"/>
  <c r="BB115" i="15"/>
  <c r="BA115" i="15"/>
  <c r="AZ115" i="15"/>
  <c r="AY115" i="15"/>
  <c r="AX115" i="15"/>
  <c r="AW115" i="15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H114" i="15"/>
  <c r="D122" i="15" s="1"/>
  <c r="BX113" i="15"/>
  <c r="BW113" i="15"/>
  <c r="BW119" i="15" s="1"/>
  <c r="BV113" i="15"/>
  <c r="BV119" i="15" s="1"/>
  <c r="BU113" i="15"/>
  <c r="BU119" i="15" s="1"/>
  <c r="BT113" i="15"/>
  <c r="BT119" i="15" s="1"/>
  <c r="BS113" i="15"/>
  <c r="BS119" i="15" s="1"/>
  <c r="BR113" i="15"/>
  <c r="BR119" i="15" s="1"/>
  <c r="BQ113" i="15"/>
  <c r="BQ119" i="15" s="1"/>
  <c r="BP113" i="15"/>
  <c r="BP119" i="15" s="1"/>
  <c r="BO113" i="15"/>
  <c r="BO119" i="15" s="1"/>
  <c r="BN113" i="15"/>
  <c r="BN119" i="15" s="1"/>
  <c r="BM113" i="15"/>
  <c r="BM119" i="15" s="1"/>
  <c r="BL113" i="15"/>
  <c r="BL119" i="15" s="1"/>
  <c r="BK113" i="15"/>
  <c r="BK119" i="15" s="1"/>
  <c r="BJ113" i="15"/>
  <c r="BJ119" i="15" s="1"/>
  <c r="BI113" i="15"/>
  <c r="BI119" i="15" s="1"/>
  <c r="BH113" i="15"/>
  <c r="BH119" i="15" s="1"/>
  <c r="BG113" i="15"/>
  <c r="BG119" i="15" s="1"/>
  <c r="BF113" i="15"/>
  <c r="BF119" i="15" s="1"/>
  <c r="BE113" i="15"/>
  <c r="BE119" i="15" s="1"/>
  <c r="BD113" i="15"/>
  <c r="BD119" i="15" s="1"/>
  <c r="BC113" i="15"/>
  <c r="BC119" i="15" s="1"/>
  <c r="BB113" i="15"/>
  <c r="BB119" i="15" s="1"/>
  <c r="BA113" i="15"/>
  <c r="BA119" i="15" s="1"/>
  <c r="AZ113" i="15"/>
  <c r="AZ119" i="15" s="1"/>
  <c r="AY113" i="15"/>
  <c r="AY119" i="15" s="1"/>
  <c r="AX113" i="15"/>
  <c r="AX119" i="15" s="1"/>
  <c r="AW113" i="15"/>
  <c r="AW119" i="15" s="1"/>
  <c r="AV113" i="15"/>
  <c r="AV119" i="15" s="1"/>
  <c r="AU113" i="15"/>
  <c r="AU119" i="15" s="1"/>
  <c r="AT113" i="15"/>
  <c r="AT119" i="15" s="1"/>
  <c r="AS113" i="15"/>
  <c r="AS119" i="15" s="1"/>
  <c r="AR113" i="15"/>
  <c r="AR119" i="15" s="1"/>
  <c r="AQ113" i="15"/>
  <c r="AQ119" i="15" s="1"/>
  <c r="AP113" i="15"/>
  <c r="AP119" i="15" s="1"/>
  <c r="AO113" i="15"/>
  <c r="AO119" i="15" s="1"/>
  <c r="AN113" i="15"/>
  <c r="AN119" i="15" s="1"/>
  <c r="AM113" i="15"/>
  <c r="AM119" i="15" s="1"/>
  <c r="AL113" i="15"/>
  <c r="AL119" i="15" s="1"/>
  <c r="AK113" i="15"/>
  <c r="AK119" i="15" s="1"/>
  <c r="AJ113" i="15"/>
  <c r="AJ119" i="15" s="1"/>
  <c r="AI113" i="15"/>
  <c r="AI119" i="15" s="1"/>
  <c r="AH113" i="15"/>
  <c r="AH119" i="15" s="1"/>
  <c r="AG113" i="15"/>
  <c r="AG119" i="15" s="1"/>
  <c r="AF113" i="15"/>
  <c r="AF119" i="15" s="1"/>
  <c r="AE113" i="15"/>
  <c r="AE119" i="15" s="1"/>
  <c r="AD113" i="15"/>
  <c r="AD119" i="15" s="1"/>
  <c r="AC113" i="15"/>
  <c r="AC119" i="15" s="1"/>
  <c r="AB113" i="15"/>
  <c r="AB119" i="15" s="1"/>
  <c r="Z113" i="15"/>
  <c r="Z119" i="15" s="1"/>
  <c r="Y113" i="15"/>
  <c r="Y119" i="15" s="1"/>
  <c r="X113" i="15"/>
  <c r="X119" i="15" s="1"/>
  <c r="W113" i="15"/>
  <c r="W119" i="15" s="1"/>
  <c r="V113" i="15"/>
  <c r="V119" i="15" s="1"/>
  <c r="U113" i="15"/>
  <c r="U119" i="15" s="1"/>
  <c r="T113" i="15"/>
  <c r="S113" i="15"/>
  <c r="S119" i="15" s="1"/>
  <c r="R113" i="15"/>
  <c r="R119" i="15" s="1"/>
  <c r="Q113" i="15"/>
  <c r="Q119" i="15" s="1"/>
  <c r="O113" i="15"/>
  <c r="O119" i="15" s="1"/>
  <c r="N113" i="15"/>
  <c r="N119" i="15" s="1"/>
  <c r="K113" i="15"/>
  <c r="K119" i="15" s="1"/>
  <c r="J113" i="15"/>
  <c r="J119" i="15" s="1"/>
  <c r="I113" i="15"/>
  <c r="I119" i="15" s="1"/>
  <c r="G113" i="15"/>
  <c r="G119" i="15" s="1"/>
  <c r="F113" i="15"/>
  <c r="F119" i="15" s="1"/>
  <c r="E113" i="15"/>
  <c r="E119" i="15" s="1"/>
  <c r="BW105" i="15"/>
  <c r="BV105" i="15"/>
  <c r="BU105" i="15"/>
  <c r="BT105" i="15"/>
  <c r="BS105" i="15"/>
  <c r="BR105" i="15"/>
  <c r="BQ105" i="15"/>
  <c r="BP105" i="15"/>
  <c r="BO105" i="15"/>
  <c r="BN105" i="15"/>
  <c r="BM105" i="15"/>
  <c r="BL105" i="15"/>
  <c r="BK105" i="15"/>
  <c r="BJ105" i="15"/>
  <c r="BI105" i="15"/>
  <c r="BH105" i="15"/>
  <c r="BG105" i="15"/>
  <c r="BF105" i="15"/>
  <c r="BE105" i="15"/>
  <c r="BD105" i="15"/>
  <c r="BC105" i="15"/>
  <c r="BB105" i="15"/>
  <c r="BA105" i="15"/>
  <c r="AZ105" i="15"/>
  <c r="AY105" i="15"/>
  <c r="AX105" i="15"/>
  <c r="AW105" i="15"/>
  <c r="AV105" i="15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G105" i="15"/>
  <c r="AF105" i="15"/>
  <c r="AE105" i="15"/>
  <c r="AD105" i="15"/>
  <c r="AC105" i="15"/>
  <c r="AB105" i="15"/>
  <c r="Z105" i="15"/>
  <c r="Y105" i="15"/>
  <c r="X105" i="15"/>
  <c r="W105" i="15"/>
  <c r="V105" i="15"/>
  <c r="U105" i="15"/>
  <c r="T105" i="15"/>
  <c r="S105" i="15"/>
  <c r="R105" i="15"/>
  <c r="Q105" i="15"/>
  <c r="O105" i="15"/>
  <c r="N105" i="15"/>
  <c r="K105" i="15"/>
  <c r="J105" i="15"/>
  <c r="I105" i="15"/>
  <c r="G105" i="15"/>
  <c r="F105" i="15"/>
  <c r="E105" i="15"/>
  <c r="G101" i="15"/>
  <c r="BY96" i="15"/>
  <c r="BY95" i="15"/>
  <c r="BY94" i="15"/>
  <c r="AA93" i="15"/>
  <c r="BX90" i="15"/>
  <c r="BW90" i="15"/>
  <c r="BV90" i="15"/>
  <c r="BU90" i="15"/>
  <c r="BT90" i="15"/>
  <c r="BS90" i="15"/>
  <c r="BR90" i="15"/>
  <c r="BQ90" i="15"/>
  <c r="BP90" i="15"/>
  <c r="BO90" i="15"/>
  <c r="BN90" i="15"/>
  <c r="BM90" i="15"/>
  <c r="BL90" i="15"/>
  <c r="BK90" i="15"/>
  <c r="BJ90" i="15"/>
  <c r="BI90" i="15"/>
  <c r="BH90" i="15"/>
  <c r="BG90" i="15"/>
  <c r="BF90" i="15"/>
  <c r="BE90" i="15"/>
  <c r="BD90" i="15"/>
  <c r="BC90" i="15"/>
  <c r="BB90" i="15"/>
  <c r="BA90" i="15"/>
  <c r="AZ90" i="15"/>
  <c r="AY90" i="15"/>
  <c r="AX90" i="15"/>
  <c r="AW90" i="15"/>
  <c r="AV90" i="15"/>
  <c r="AU90" i="15"/>
  <c r="AT90" i="15"/>
  <c r="AS90" i="15"/>
  <c r="AR90" i="15"/>
  <c r="AQ90" i="15"/>
  <c r="AP90" i="15"/>
  <c r="AO90" i="15"/>
  <c r="AN90" i="15"/>
  <c r="AM90" i="15"/>
  <c r="AL90" i="15"/>
  <c r="AK90" i="15"/>
  <c r="AJ90" i="15"/>
  <c r="AI90" i="15"/>
  <c r="AH90" i="15"/>
  <c r="AG90" i="15"/>
  <c r="AF90" i="15"/>
  <c r="AE90" i="15"/>
  <c r="AD90" i="15"/>
  <c r="AC90" i="15"/>
  <c r="AB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BY89" i="15"/>
  <c r="BY88" i="15"/>
  <c r="BY87" i="15"/>
  <c r="BX87" i="15"/>
  <c r="BW87" i="15"/>
  <c r="BV87" i="15"/>
  <c r="BU87" i="15"/>
  <c r="BT87" i="15"/>
  <c r="BS87" i="15"/>
  <c r="BR87" i="15"/>
  <c r="BQ87" i="15"/>
  <c r="BP87" i="15"/>
  <c r="BO87" i="15"/>
  <c r="BN87" i="15"/>
  <c r="BM87" i="15"/>
  <c r="BL87" i="15"/>
  <c r="BK87" i="15"/>
  <c r="BJ87" i="15"/>
  <c r="BI87" i="15"/>
  <c r="BH87" i="15"/>
  <c r="BG87" i="15"/>
  <c r="BF87" i="15"/>
  <c r="BE87" i="15"/>
  <c r="BD87" i="15"/>
  <c r="BC87" i="15"/>
  <c r="BB87" i="15"/>
  <c r="BA87" i="15"/>
  <c r="AZ87" i="15"/>
  <c r="AY87" i="15"/>
  <c r="AX87" i="15"/>
  <c r="AW87" i="15"/>
  <c r="AV87" i="15"/>
  <c r="AU87" i="15"/>
  <c r="AT87" i="15"/>
  <c r="AS87" i="15"/>
  <c r="AR87" i="15"/>
  <c r="AQ87" i="15"/>
  <c r="AP87" i="15"/>
  <c r="AO87" i="15"/>
  <c r="AN87" i="15"/>
  <c r="AM87" i="15"/>
  <c r="AL87" i="15"/>
  <c r="AK87" i="15"/>
  <c r="AJ87" i="15"/>
  <c r="AI87" i="15"/>
  <c r="AH87" i="15"/>
  <c r="AG87" i="15"/>
  <c r="AF87" i="15"/>
  <c r="AE87" i="15"/>
  <c r="AD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BY86" i="15"/>
  <c r="BY85" i="15"/>
  <c r="BY84" i="15"/>
  <c r="BY83" i="15"/>
  <c r="BY81" i="15"/>
  <c r="BY80" i="15"/>
  <c r="BY79" i="15"/>
  <c r="BY78" i="15"/>
  <c r="BY77" i="15"/>
  <c r="BY76" i="15"/>
  <c r="BY75" i="15"/>
  <c r="BY74" i="15"/>
  <c r="BY73" i="15"/>
  <c r="BY72" i="15"/>
  <c r="BY71" i="15"/>
  <c r="BY70" i="15"/>
  <c r="BY69" i="15"/>
  <c r="BY68" i="15"/>
  <c r="BY67" i="15"/>
  <c r="BY66" i="15"/>
  <c r="BY65" i="15"/>
  <c r="BY64" i="15"/>
  <c r="BX63" i="15"/>
  <c r="BW63" i="15"/>
  <c r="BV63" i="15"/>
  <c r="BU63" i="15"/>
  <c r="BT63" i="15"/>
  <c r="BS63" i="15"/>
  <c r="BR63" i="15"/>
  <c r="BQ63" i="15"/>
  <c r="BP63" i="15"/>
  <c r="BO63" i="15"/>
  <c r="BN63" i="15"/>
  <c r="BM63" i="15"/>
  <c r="BL63" i="15"/>
  <c r="BK63" i="15"/>
  <c r="BJ63" i="15"/>
  <c r="BI63" i="15"/>
  <c r="BH63" i="15"/>
  <c r="BG63" i="15"/>
  <c r="BF63" i="15"/>
  <c r="BE63" i="15"/>
  <c r="BD63" i="15"/>
  <c r="BC63" i="15"/>
  <c r="BB63" i="15"/>
  <c r="BA63" i="15"/>
  <c r="AZ63" i="15"/>
  <c r="AY63" i="15"/>
  <c r="AX63" i="15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K63" i="15"/>
  <c r="AJ63" i="15"/>
  <c r="AI63" i="15"/>
  <c r="AH63" i="15"/>
  <c r="AG63" i="15"/>
  <c r="AF63" i="15"/>
  <c r="AE63" i="15"/>
  <c r="AD63" i="15"/>
  <c r="AC63" i="15"/>
  <c r="AB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M62" i="15"/>
  <c r="BY61" i="15"/>
  <c r="D61" i="15"/>
  <c r="BY60" i="15"/>
  <c r="BY59" i="15"/>
  <c r="BY58" i="15"/>
  <c r="BY57" i="15"/>
  <c r="BY56" i="15"/>
  <c r="BX55" i="15"/>
  <c r="BW55" i="15"/>
  <c r="BV55" i="15"/>
  <c r="BU55" i="15"/>
  <c r="BT55" i="15"/>
  <c r="BS55" i="15"/>
  <c r="BR55" i="15"/>
  <c r="BQ55" i="15"/>
  <c r="BP55" i="15"/>
  <c r="BO55" i="15"/>
  <c r="BN55" i="15"/>
  <c r="BM55" i="15"/>
  <c r="BL55" i="15"/>
  <c r="BK55" i="15"/>
  <c r="BJ55" i="15"/>
  <c r="BI55" i="15"/>
  <c r="BH55" i="15"/>
  <c r="BG55" i="15"/>
  <c r="BF55" i="15"/>
  <c r="BE55" i="15"/>
  <c r="BD55" i="15"/>
  <c r="BC55" i="15"/>
  <c r="BB55" i="15"/>
  <c r="BA55" i="15"/>
  <c r="AZ55" i="15"/>
  <c r="AY55" i="15"/>
  <c r="AX55" i="15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I54" i="15"/>
  <c r="BY54" i="15" s="1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BY53" i="15" s="1"/>
  <c r="BY52" i="15"/>
  <c r="BY51" i="15"/>
  <c r="BY50" i="15"/>
  <c r="BY49" i="15"/>
  <c r="BX49" i="15"/>
  <c r="BW49" i="15"/>
  <c r="BV49" i="15"/>
  <c r="BU49" i="15"/>
  <c r="BT49" i="15"/>
  <c r="BS49" i="15"/>
  <c r="BR49" i="15"/>
  <c r="BQ49" i="15"/>
  <c r="BP49" i="15"/>
  <c r="BO49" i="15"/>
  <c r="BN49" i="15"/>
  <c r="BM49" i="15"/>
  <c r="BL49" i="15"/>
  <c r="BK49" i="15"/>
  <c r="BJ49" i="15"/>
  <c r="BI49" i="15"/>
  <c r="BH49" i="15"/>
  <c r="BG49" i="15"/>
  <c r="BF49" i="15"/>
  <c r="BE49" i="15"/>
  <c r="BD49" i="15"/>
  <c r="BC49" i="15"/>
  <c r="BB49" i="15"/>
  <c r="BA49" i="15"/>
  <c r="AZ49" i="15"/>
  <c r="AY49" i="15"/>
  <c r="AX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AK49" i="15"/>
  <c r="AJ49" i="15"/>
  <c r="AI49" i="15"/>
  <c r="AH49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P48" i="15"/>
  <c r="K48" i="15"/>
  <c r="Y47" i="15"/>
  <c r="W47" i="15"/>
  <c r="S47" i="15"/>
  <c r="BY47" i="15" s="1"/>
  <c r="K46" i="15"/>
  <c r="I46" i="15"/>
  <c r="H46" i="15"/>
  <c r="AA45" i="15"/>
  <c r="Z45" i="15"/>
  <c r="Y45" i="15"/>
  <c r="X45" i="15"/>
  <c r="W45" i="15"/>
  <c r="V45" i="15"/>
  <c r="U45" i="15"/>
  <c r="T45" i="15"/>
  <c r="S45" i="15"/>
  <c r="R45" i="15"/>
  <c r="Q45" i="15"/>
  <c r="N45" i="15"/>
  <c r="M45" i="15"/>
  <c r="L45" i="15"/>
  <c r="K45" i="15"/>
  <c r="J45" i="15"/>
  <c r="H45" i="15"/>
  <c r="Z44" i="15"/>
  <c r="Q44" i="15"/>
  <c r="J44" i="15"/>
  <c r="H44" i="15"/>
  <c r="BY44" i="15" s="1"/>
  <c r="P43" i="15"/>
  <c r="O43" i="15"/>
  <c r="N43" i="15"/>
  <c r="M43" i="15"/>
  <c r="L43" i="15"/>
  <c r="K43" i="15"/>
  <c r="I43" i="15"/>
  <c r="H43" i="15"/>
  <c r="P42" i="15"/>
  <c r="O42" i="15"/>
  <c r="N42" i="15"/>
  <c r="M42" i="15"/>
  <c r="L42" i="15"/>
  <c r="K42" i="15"/>
  <c r="J42" i="15"/>
  <c r="I42" i="15"/>
  <c r="H42" i="15"/>
  <c r="Z41" i="15"/>
  <c r="Y41" i="15"/>
  <c r="X41" i="15"/>
  <c r="W41" i="15"/>
  <c r="V41" i="15"/>
  <c r="U41" i="15"/>
  <c r="T41" i="15"/>
  <c r="S41" i="15"/>
  <c r="R41" i="15"/>
  <c r="BY41" i="15" s="1"/>
  <c r="BY40" i="15"/>
  <c r="Z39" i="15"/>
  <c r="Y39" i="15"/>
  <c r="X39" i="15"/>
  <c r="W39" i="15"/>
  <c r="V39" i="15"/>
  <c r="U39" i="15"/>
  <c r="T39" i="15"/>
  <c r="S39" i="15"/>
  <c r="R39" i="15"/>
  <c r="BY39" i="15" s="1"/>
  <c r="P38" i="15"/>
  <c r="O38" i="15"/>
  <c r="M38" i="15"/>
  <c r="L38" i="15"/>
  <c r="J38" i="15"/>
  <c r="I38" i="15"/>
  <c r="BX37" i="15"/>
  <c r="BW37" i="15"/>
  <c r="BV37" i="15"/>
  <c r="BU37" i="15"/>
  <c r="BT37" i="15"/>
  <c r="BS37" i="15"/>
  <c r="BR37" i="15"/>
  <c r="BQ37" i="15"/>
  <c r="BP37" i="15"/>
  <c r="BO37" i="15"/>
  <c r="BN37" i="15"/>
  <c r="BM37" i="15"/>
  <c r="BL37" i="15"/>
  <c r="BK37" i="15"/>
  <c r="BJ37" i="15"/>
  <c r="BI37" i="15"/>
  <c r="BH37" i="15"/>
  <c r="BG37" i="15"/>
  <c r="BF37" i="15"/>
  <c r="BE37" i="15"/>
  <c r="BD37" i="15"/>
  <c r="BC37" i="15"/>
  <c r="BB37" i="15"/>
  <c r="BA37" i="15"/>
  <c r="AZ37" i="15"/>
  <c r="AY37" i="15"/>
  <c r="AX37" i="15"/>
  <c r="AW37" i="15"/>
  <c r="AV37" i="15"/>
  <c r="AU37" i="15"/>
  <c r="AT37" i="15"/>
  <c r="AS37" i="15"/>
  <c r="AR37" i="15"/>
  <c r="AQ37" i="15"/>
  <c r="AP37" i="15"/>
  <c r="AO37" i="15"/>
  <c r="AN37" i="15"/>
  <c r="AM37" i="15"/>
  <c r="AL37" i="15"/>
  <c r="AK37" i="15"/>
  <c r="AJ37" i="15"/>
  <c r="AI37" i="15"/>
  <c r="AH37" i="15"/>
  <c r="AG37" i="15"/>
  <c r="AF37" i="15"/>
  <c r="AE37" i="15"/>
  <c r="AD37" i="15"/>
  <c r="AC37" i="15"/>
  <c r="AB37" i="15"/>
  <c r="N37" i="15"/>
  <c r="M37" i="15"/>
  <c r="L37" i="15"/>
  <c r="K37" i="15"/>
  <c r="J37" i="15"/>
  <c r="I37" i="15"/>
  <c r="H37" i="15"/>
  <c r="G37" i="15"/>
  <c r="F37" i="15"/>
  <c r="E37" i="15"/>
  <c r="BY36" i="15"/>
  <c r="BX34" i="15"/>
  <c r="BW34" i="15"/>
  <c r="BV34" i="15"/>
  <c r="BU34" i="15"/>
  <c r="BT34" i="15"/>
  <c r="BS34" i="15"/>
  <c r="BR34" i="15"/>
  <c r="BQ34" i="15"/>
  <c r="BP34" i="15"/>
  <c r="BO34" i="15"/>
  <c r="BN34" i="15"/>
  <c r="BM34" i="15"/>
  <c r="BL34" i="15"/>
  <c r="BK34" i="15"/>
  <c r="BJ34" i="15"/>
  <c r="BI34" i="15"/>
  <c r="BH34" i="15"/>
  <c r="BG34" i="15"/>
  <c r="BF34" i="15"/>
  <c r="BE34" i="15"/>
  <c r="BD34" i="15"/>
  <c r="BC34" i="15"/>
  <c r="BB34" i="15"/>
  <c r="BA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K34" i="15"/>
  <c r="AJ34" i="15"/>
  <c r="AI34" i="15"/>
  <c r="AH34" i="15"/>
  <c r="AG34" i="15"/>
  <c r="AF34" i="15"/>
  <c r="AE34" i="15"/>
  <c r="AD34" i="15"/>
  <c r="AC34" i="15"/>
  <c r="AB34" i="15"/>
  <c r="AA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O32" i="15"/>
  <c r="I32" i="15"/>
  <c r="BY32" i="15" s="1"/>
  <c r="Z31" i="15"/>
  <c r="Y31" i="15"/>
  <c r="X31" i="15"/>
  <c r="W31" i="15"/>
  <c r="V31" i="15"/>
  <c r="U31" i="15"/>
  <c r="T31" i="15"/>
  <c r="S31" i="15"/>
  <c r="N31" i="15"/>
  <c r="H31" i="15"/>
  <c r="BY31" i="15" s="1"/>
  <c r="T30" i="15"/>
  <c r="S30" i="15"/>
  <c r="R30" i="15"/>
  <c r="BY30" i="15" s="1"/>
  <c r="BY29" i="15"/>
  <c r="BY28" i="15"/>
  <c r="O27" i="15"/>
  <c r="N27" i="15"/>
  <c r="M27" i="15"/>
  <c r="L27" i="15"/>
  <c r="BX26" i="15"/>
  <c r="BW26" i="15"/>
  <c r="BV26" i="15"/>
  <c r="BU26" i="15"/>
  <c r="BT26" i="15"/>
  <c r="BS26" i="15"/>
  <c r="BR26" i="15"/>
  <c r="BQ26" i="15"/>
  <c r="BP26" i="15"/>
  <c r="BO26" i="15"/>
  <c r="BN26" i="15"/>
  <c r="BM26" i="15"/>
  <c r="BL26" i="15"/>
  <c r="BK26" i="15"/>
  <c r="BJ26" i="15"/>
  <c r="BI26" i="15"/>
  <c r="BH26" i="15"/>
  <c r="BG26" i="15"/>
  <c r="BF26" i="15"/>
  <c r="BE26" i="15"/>
  <c r="BD26" i="15"/>
  <c r="BC26" i="15"/>
  <c r="BB26" i="15"/>
  <c r="BA26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K26" i="15"/>
  <c r="AJ26" i="15"/>
  <c r="AI26" i="15"/>
  <c r="AH26" i="15"/>
  <c r="AG26" i="15"/>
  <c r="AF26" i="15"/>
  <c r="AE26" i="15"/>
  <c r="AD26" i="15"/>
  <c r="AC26" i="15"/>
  <c r="AB26" i="15"/>
  <c r="AA26" i="15"/>
  <c r="R26" i="15"/>
  <c r="Q26" i="15"/>
  <c r="O26" i="15"/>
  <c r="N26" i="15"/>
  <c r="M26" i="15"/>
  <c r="L26" i="15"/>
  <c r="K26" i="15"/>
  <c r="J26" i="15"/>
  <c r="I26" i="15"/>
  <c r="H26" i="15"/>
  <c r="G26" i="15"/>
  <c r="F26" i="15"/>
  <c r="E26" i="15"/>
  <c r="P25" i="15"/>
  <c r="BY25" i="15" s="1"/>
  <c r="R24" i="15"/>
  <c r="R147" i="15" s="1"/>
  <c r="R152" i="15" s="1"/>
  <c r="Q24" i="15"/>
  <c r="Q147" i="15" s="1"/>
  <c r="Q152" i="15" s="1"/>
  <c r="O24" i="15"/>
  <c r="O147" i="15" s="1"/>
  <c r="O152" i="15" s="1"/>
  <c r="L24" i="15"/>
  <c r="L147" i="15" s="1"/>
  <c r="L152" i="15" s="1"/>
  <c r="I24" i="15"/>
  <c r="CE23" i="15"/>
  <c r="BX23" i="15"/>
  <c r="BW23" i="15"/>
  <c r="BV23" i="15"/>
  <c r="BU23" i="15"/>
  <c r="BT23" i="15"/>
  <c r="BS23" i="15"/>
  <c r="BR23" i="15"/>
  <c r="BQ23" i="15"/>
  <c r="BP23" i="15"/>
  <c r="BO23" i="15"/>
  <c r="BN23" i="15"/>
  <c r="BM23" i="15"/>
  <c r="BL23" i="15"/>
  <c r="BK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O23" i="15"/>
  <c r="N23" i="15"/>
  <c r="M23" i="15"/>
  <c r="L23" i="15"/>
  <c r="K23" i="15"/>
  <c r="J23" i="15"/>
  <c r="I23" i="15"/>
  <c r="H23" i="15"/>
  <c r="G23" i="15"/>
  <c r="F23" i="15"/>
  <c r="E23" i="15"/>
  <c r="BY22" i="15"/>
  <c r="BY21" i="15"/>
  <c r="BY20" i="15"/>
  <c r="BY19" i="15"/>
  <c r="J18" i="15"/>
  <c r="H18" i="15"/>
  <c r="BY18" i="15" s="1"/>
  <c r="BY17" i="15"/>
  <c r="BX17" i="15"/>
  <c r="BX98" i="15" s="1"/>
  <c r="BW17" i="15"/>
  <c r="BW98" i="15" s="1"/>
  <c r="BV17" i="15"/>
  <c r="BV98" i="15" s="1"/>
  <c r="BU17" i="15"/>
  <c r="BU98" i="15" s="1"/>
  <c r="BT17" i="15"/>
  <c r="BT98" i="15" s="1"/>
  <c r="BS17" i="15"/>
  <c r="BS98" i="15" s="1"/>
  <c r="BR17" i="15"/>
  <c r="BR98" i="15" s="1"/>
  <c r="BQ17" i="15"/>
  <c r="BQ98" i="15" s="1"/>
  <c r="BP17" i="15"/>
  <c r="BP98" i="15" s="1"/>
  <c r="BO17" i="15"/>
  <c r="BO98" i="15" s="1"/>
  <c r="BN17" i="15"/>
  <c r="BN98" i="15" s="1"/>
  <c r="BM17" i="15"/>
  <c r="BM98" i="15" s="1"/>
  <c r="BL17" i="15"/>
  <c r="BL98" i="15" s="1"/>
  <c r="BK17" i="15"/>
  <c r="BK98" i="15" s="1"/>
  <c r="BJ17" i="15"/>
  <c r="BJ98" i="15" s="1"/>
  <c r="BI17" i="15"/>
  <c r="BI98" i="15" s="1"/>
  <c r="BH17" i="15"/>
  <c r="BH98" i="15" s="1"/>
  <c r="BG17" i="15"/>
  <c r="BG98" i="15" s="1"/>
  <c r="BF17" i="15"/>
  <c r="BF98" i="15" s="1"/>
  <c r="BE17" i="15"/>
  <c r="BE98" i="15" s="1"/>
  <c r="BD17" i="15"/>
  <c r="BD98" i="15" s="1"/>
  <c r="BC17" i="15"/>
  <c r="BC98" i="15" s="1"/>
  <c r="BB17" i="15"/>
  <c r="BB98" i="15" s="1"/>
  <c r="BA17" i="15"/>
  <c r="BA98" i="15" s="1"/>
  <c r="AZ17" i="15"/>
  <c r="AZ98" i="15" s="1"/>
  <c r="AY17" i="15"/>
  <c r="AY98" i="15" s="1"/>
  <c r="AX17" i="15"/>
  <c r="AX98" i="15" s="1"/>
  <c r="AW17" i="15"/>
  <c r="AW98" i="15" s="1"/>
  <c r="AV17" i="15"/>
  <c r="AV98" i="15" s="1"/>
  <c r="AU17" i="15"/>
  <c r="AU98" i="15" s="1"/>
  <c r="AT17" i="15"/>
  <c r="AT98" i="15" s="1"/>
  <c r="AS17" i="15"/>
  <c r="AS98" i="15" s="1"/>
  <c r="AR17" i="15"/>
  <c r="AR98" i="15" s="1"/>
  <c r="AQ17" i="15"/>
  <c r="AQ98" i="15" s="1"/>
  <c r="AP17" i="15"/>
  <c r="AP98" i="15" s="1"/>
  <c r="AO17" i="15"/>
  <c r="AO98" i="15" s="1"/>
  <c r="AN17" i="15"/>
  <c r="AN98" i="15" s="1"/>
  <c r="AM17" i="15"/>
  <c r="AM98" i="15" s="1"/>
  <c r="AL17" i="15"/>
  <c r="AL98" i="15" s="1"/>
  <c r="AK17" i="15"/>
  <c r="AK98" i="15" s="1"/>
  <c r="AJ17" i="15"/>
  <c r="AJ98" i="15" s="1"/>
  <c r="AI17" i="15"/>
  <c r="AI98" i="15" s="1"/>
  <c r="AH17" i="15"/>
  <c r="AH98" i="15" s="1"/>
  <c r="AG17" i="15"/>
  <c r="AG98" i="15" s="1"/>
  <c r="AF17" i="15"/>
  <c r="AF98" i="15" s="1"/>
  <c r="AE17" i="15"/>
  <c r="AE98" i="15" s="1"/>
  <c r="AD17" i="15"/>
  <c r="AD98" i="15" s="1"/>
  <c r="AC17" i="15"/>
  <c r="AC98" i="15" s="1"/>
  <c r="AB17" i="15"/>
  <c r="AB98" i="15" s="1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N98" i="15" s="1"/>
  <c r="M17" i="15"/>
  <c r="M98" i="15" s="1"/>
  <c r="L17" i="15"/>
  <c r="L98" i="15" s="1"/>
  <c r="K17" i="15"/>
  <c r="K98" i="15" s="1"/>
  <c r="J17" i="15"/>
  <c r="J98" i="15" s="1"/>
  <c r="I17" i="15"/>
  <c r="I98" i="15" s="1"/>
  <c r="H17" i="15"/>
  <c r="H98" i="15" s="1"/>
  <c r="H99" i="15" s="1"/>
  <c r="I99" i="15" s="1"/>
  <c r="J99" i="15" s="1"/>
  <c r="K99" i="15" s="1"/>
  <c r="L99" i="15" s="1"/>
  <c r="M99" i="15" s="1"/>
  <c r="N99" i="15" s="1"/>
  <c r="B5" i="24" s="1"/>
  <c r="G17" i="15"/>
  <c r="G98" i="15" s="1"/>
  <c r="F17" i="15"/>
  <c r="F98" i="15" s="1"/>
  <c r="E17" i="15"/>
  <c r="E98" i="15" s="1"/>
  <c r="BX16" i="15"/>
  <c r="BX100" i="15" s="1"/>
  <c r="BW16" i="15"/>
  <c r="BW100" i="15" s="1"/>
  <c r="BV16" i="15"/>
  <c r="BV100" i="15" s="1"/>
  <c r="BU16" i="15"/>
  <c r="BU100" i="15" s="1"/>
  <c r="BT16" i="15"/>
  <c r="BT100" i="15" s="1"/>
  <c r="BS16" i="15"/>
  <c r="BS100" i="15" s="1"/>
  <c r="BR16" i="15"/>
  <c r="BR100" i="15" s="1"/>
  <c r="BQ16" i="15"/>
  <c r="BQ100" i="15" s="1"/>
  <c r="BP16" i="15"/>
  <c r="BP100" i="15" s="1"/>
  <c r="BO16" i="15"/>
  <c r="BO100" i="15" s="1"/>
  <c r="BN16" i="15"/>
  <c r="BN100" i="15" s="1"/>
  <c r="BM16" i="15"/>
  <c r="BM100" i="15" s="1"/>
  <c r="BL16" i="15"/>
  <c r="BL100" i="15" s="1"/>
  <c r="BK16" i="15"/>
  <c r="BK100" i="15" s="1"/>
  <c r="BJ16" i="15"/>
  <c r="BJ100" i="15" s="1"/>
  <c r="BI16" i="15"/>
  <c r="BI100" i="15" s="1"/>
  <c r="BH16" i="15"/>
  <c r="BH100" i="15" s="1"/>
  <c r="BG16" i="15"/>
  <c r="BG100" i="15" s="1"/>
  <c r="BF16" i="15"/>
  <c r="BF100" i="15" s="1"/>
  <c r="BE16" i="15"/>
  <c r="BE100" i="15" s="1"/>
  <c r="BD16" i="15"/>
  <c r="BD100" i="15" s="1"/>
  <c r="BC16" i="15"/>
  <c r="BC100" i="15" s="1"/>
  <c r="BB16" i="15"/>
  <c r="BB100" i="15" s="1"/>
  <c r="BA16" i="15"/>
  <c r="BA100" i="15" s="1"/>
  <c r="AZ16" i="15"/>
  <c r="AZ100" i="15" s="1"/>
  <c r="AY16" i="15"/>
  <c r="AY100" i="15" s="1"/>
  <c r="AX16" i="15"/>
  <c r="AX100" i="15" s="1"/>
  <c r="AW16" i="15"/>
  <c r="AW100" i="15" s="1"/>
  <c r="AV16" i="15"/>
  <c r="AV100" i="15" s="1"/>
  <c r="AU16" i="15"/>
  <c r="AU100" i="15" s="1"/>
  <c r="AT16" i="15"/>
  <c r="AT100" i="15" s="1"/>
  <c r="AS16" i="15"/>
  <c r="AS100" i="15" s="1"/>
  <c r="AR16" i="15"/>
  <c r="AR100" i="15" s="1"/>
  <c r="AQ16" i="15"/>
  <c r="AQ100" i="15" s="1"/>
  <c r="AP16" i="15"/>
  <c r="AP100" i="15" s="1"/>
  <c r="AO16" i="15"/>
  <c r="AO100" i="15" s="1"/>
  <c r="AN16" i="15"/>
  <c r="AN100" i="15" s="1"/>
  <c r="AM16" i="15"/>
  <c r="AM100" i="15" s="1"/>
  <c r="AL16" i="15"/>
  <c r="AL100" i="15" s="1"/>
  <c r="AK16" i="15"/>
  <c r="AK100" i="15" s="1"/>
  <c r="AJ16" i="15"/>
  <c r="AJ100" i="15" s="1"/>
  <c r="AI16" i="15"/>
  <c r="AI100" i="15" s="1"/>
  <c r="AH16" i="15"/>
  <c r="AH100" i="15" s="1"/>
  <c r="AG16" i="15"/>
  <c r="AG100" i="15" s="1"/>
  <c r="AF16" i="15"/>
  <c r="AF100" i="15" s="1"/>
  <c r="AE16" i="15"/>
  <c r="AE100" i="15" s="1"/>
  <c r="AD16" i="15"/>
  <c r="AD100" i="15" s="1"/>
  <c r="AC16" i="15"/>
  <c r="AC100" i="15" s="1"/>
  <c r="AB16" i="15"/>
  <c r="AB100" i="15" s="1"/>
  <c r="J16" i="15"/>
  <c r="J100" i="15" s="1"/>
  <c r="I16" i="15"/>
  <c r="I100" i="15" s="1"/>
  <c r="G16" i="15"/>
  <c r="G100" i="15" s="1"/>
  <c r="F16" i="15"/>
  <c r="F100" i="15" s="1"/>
  <c r="E16" i="15"/>
  <c r="E100" i="15" s="1"/>
  <c r="E101" i="15" s="1"/>
  <c r="P15" i="15"/>
  <c r="CE14" i="15"/>
  <c r="CE15" i="15" s="1"/>
  <c r="P14" i="15"/>
  <c r="O14" i="15"/>
  <c r="M14" i="15"/>
  <c r="K14" i="15"/>
  <c r="CH11" i="15"/>
  <c r="P11" i="15"/>
  <c r="O11" i="15"/>
  <c r="O16" i="15" s="1"/>
  <c r="N11" i="15"/>
  <c r="N16" i="15" s="1"/>
  <c r="N100" i="15" s="1"/>
  <c r="M11" i="15"/>
  <c r="Z10" i="15"/>
  <c r="Y10" i="15"/>
  <c r="X10" i="15"/>
  <c r="W10" i="15"/>
  <c r="V10" i="15"/>
  <c r="U10" i="15"/>
  <c r="T10" i="15"/>
  <c r="BY9" i="15"/>
  <c r="BY8" i="15"/>
  <c r="CB8" i="15" s="1"/>
  <c r="CA7" i="15"/>
  <c r="BY7" i="15"/>
  <c r="CB7" i="15" s="1"/>
  <c r="CA6" i="15"/>
  <c r="P6" i="15"/>
  <c r="M6" i="15"/>
  <c r="L6" i="15"/>
  <c r="H5" i="15"/>
  <c r="D185" i="14"/>
  <c r="BX178" i="14"/>
  <c r="BW178" i="14"/>
  <c r="BV178" i="14"/>
  <c r="BU178" i="14"/>
  <c r="BT178" i="14"/>
  <c r="BS178" i="14"/>
  <c r="BR178" i="14"/>
  <c r="BQ178" i="14"/>
  <c r="BP178" i="14"/>
  <c r="BO178" i="14"/>
  <c r="BN178" i="14"/>
  <c r="BM178" i="14"/>
  <c r="BL178" i="14"/>
  <c r="BK178" i="14"/>
  <c r="BJ178" i="14"/>
  <c r="BI178" i="14"/>
  <c r="BH178" i="14"/>
  <c r="BG178" i="14"/>
  <c r="BF178" i="14"/>
  <c r="BE178" i="14"/>
  <c r="BD178" i="14"/>
  <c r="BC178" i="14"/>
  <c r="BB178" i="14"/>
  <c r="BA178" i="14"/>
  <c r="AZ178" i="14"/>
  <c r="AY178" i="14"/>
  <c r="AX178" i="14"/>
  <c r="AW178" i="14"/>
  <c r="AV178" i="14"/>
  <c r="AU178" i="14"/>
  <c r="AT178" i="14"/>
  <c r="AS178" i="14"/>
  <c r="AR178" i="14"/>
  <c r="AQ178" i="14"/>
  <c r="AP178" i="14"/>
  <c r="AO178" i="14"/>
  <c r="AN178" i="14"/>
  <c r="AM178" i="14"/>
  <c r="AL178" i="14"/>
  <c r="AK178" i="14"/>
  <c r="AJ178" i="14"/>
  <c r="AI178" i="14"/>
  <c r="AH178" i="14"/>
  <c r="AG178" i="14"/>
  <c r="AF178" i="14"/>
  <c r="AE178" i="14"/>
  <c r="AD178" i="14"/>
  <c r="AC178" i="14"/>
  <c r="AB178" i="14"/>
  <c r="AA178" i="14"/>
  <c r="Z178" i="14"/>
  <c r="Y178" i="14"/>
  <c r="X178" i="14"/>
  <c r="W178" i="14"/>
  <c r="V178" i="14"/>
  <c r="U178" i="14"/>
  <c r="T178" i="14"/>
  <c r="S178" i="14"/>
  <c r="S181" i="14" s="1"/>
  <c r="R178" i="14"/>
  <c r="R181" i="14" s="1"/>
  <c r="Q178" i="14"/>
  <c r="Q181" i="14" s="1"/>
  <c r="P178" i="14"/>
  <c r="P181" i="14" s="1"/>
  <c r="O178" i="14"/>
  <c r="O181" i="14" s="1"/>
  <c r="N178" i="14"/>
  <c r="N181" i="14" s="1"/>
  <c r="M178" i="14"/>
  <c r="M181" i="14" s="1"/>
  <c r="L178" i="14"/>
  <c r="L181" i="14" s="1"/>
  <c r="K178" i="14"/>
  <c r="K181" i="14" s="1"/>
  <c r="J178" i="14"/>
  <c r="J181" i="14" s="1"/>
  <c r="I178" i="14"/>
  <c r="I181" i="14" s="1"/>
  <c r="H178" i="14"/>
  <c r="G178" i="14"/>
  <c r="F178" i="14"/>
  <c r="E178" i="14"/>
  <c r="BX176" i="14"/>
  <c r="BW176" i="14"/>
  <c r="BW181" i="14" s="1"/>
  <c r="BV176" i="14"/>
  <c r="BV181" i="14" s="1"/>
  <c r="BU176" i="14"/>
  <c r="BU181" i="14" s="1"/>
  <c r="BT176" i="14"/>
  <c r="BT181" i="14" s="1"/>
  <c r="BS176" i="14"/>
  <c r="BS181" i="14" s="1"/>
  <c r="BR176" i="14"/>
  <c r="BR181" i="14" s="1"/>
  <c r="BQ176" i="14"/>
  <c r="BQ181" i="14" s="1"/>
  <c r="BP176" i="14"/>
  <c r="BP181" i="14" s="1"/>
  <c r="BO176" i="14"/>
  <c r="BO181" i="14" s="1"/>
  <c r="BN176" i="14"/>
  <c r="BN181" i="14" s="1"/>
  <c r="BM176" i="14"/>
  <c r="BM181" i="14" s="1"/>
  <c r="BL176" i="14"/>
  <c r="BL181" i="14" s="1"/>
  <c r="BK176" i="14"/>
  <c r="BK181" i="14" s="1"/>
  <c r="BJ176" i="14"/>
  <c r="BJ181" i="14" s="1"/>
  <c r="BI176" i="14"/>
  <c r="BI181" i="14" s="1"/>
  <c r="BH176" i="14"/>
  <c r="BH181" i="14" s="1"/>
  <c r="BG176" i="14"/>
  <c r="BG181" i="14" s="1"/>
  <c r="BF176" i="14"/>
  <c r="BF181" i="14" s="1"/>
  <c r="BE176" i="14"/>
  <c r="BE181" i="14" s="1"/>
  <c r="BD176" i="14"/>
  <c r="BD181" i="14" s="1"/>
  <c r="BC176" i="14"/>
  <c r="BC181" i="14" s="1"/>
  <c r="BB176" i="14"/>
  <c r="BB181" i="14" s="1"/>
  <c r="BA176" i="14"/>
  <c r="BA181" i="14" s="1"/>
  <c r="AZ176" i="14"/>
  <c r="AZ181" i="14" s="1"/>
  <c r="AY176" i="14"/>
  <c r="AY181" i="14" s="1"/>
  <c r="AX176" i="14"/>
  <c r="AX181" i="14" s="1"/>
  <c r="AW176" i="14"/>
  <c r="AW181" i="14" s="1"/>
  <c r="AV176" i="14"/>
  <c r="AV181" i="14" s="1"/>
  <c r="AU176" i="14"/>
  <c r="AU181" i="14" s="1"/>
  <c r="AT176" i="14"/>
  <c r="AT181" i="14" s="1"/>
  <c r="AS176" i="14"/>
  <c r="AS181" i="14" s="1"/>
  <c r="AR176" i="14"/>
  <c r="AR181" i="14" s="1"/>
  <c r="AQ176" i="14"/>
  <c r="AQ181" i="14" s="1"/>
  <c r="AP176" i="14"/>
  <c r="AP181" i="14" s="1"/>
  <c r="AO176" i="14"/>
  <c r="AO181" i="14" s="1"/>
  <c r="AN176" i="14"/>
  <c r="AN181" i="14" s="1"/>
  <c r="AM176" i="14"/>
  <c r="AM181" i="14" s="1"/>
  <c r="AL176" i="14"/>
  <c r="AL181" i="14" s="1"/>
  <c r="AK176" i="14"/>
  <c r="AK181" i="14" s="1"/>
  <c r="AJ176" i="14"/>
  <c r="AJ181" i="14" s="1"/>
  <c r="AI176" i="14"/>
  <c r="AI181" i="14" s="1"/>
  <c r="AH176" i="14"/>
  <c r="AH181" i="14" s="1"/>
  <c r="AG176" i="14"/>
  <c r="AG181" i="14" s="1"/>
  <c r="AF176" i="14"/>
  <c r="AF181" i="14" s="1"/>
  <c r="AE176" i="14"/>
  <c r="AE181" i="14" s="1"/>
  <c r="AD176" i="14"/>
  <c r="AD181" i="14" s="1"/>
  <c r="AC176" i="14"/>
  <c r="AC181" i="14" s="1"/>
  <c r="AB176" i="14"/>
  <c r="AB181" i="14" s="1"/>
  <c r="AA176" i="14"/>
  <c r="AA181" i="14" s="1"/>
  <c r="Z176" i="14"/>
  <c r="Z181" i="14" s="1"/>
  <c r="Y176" i="14"/>
  <c r="Y181" i="14" s="1"/>
  <c r="X176" i="14"/>
  <c r="X181" i="14" s="1"/>
  <c r="W176" i="14"/>
  <c r="W181" i="14" s="1"/>
  <c r="V176" i="14"/>
  <c r="V181" i="14" s="1"/>
  <c r="U176" i="14"/>
  <c r="U181" i="14" s="1"/>
  <c r="T176" i="14"/>
  <c r="H176" i="14"/>
  <c r="H181" i="14" s="1"/>
  <c r="G176" i="14"/>
  <c r="G181" i="14" s="1"/>
  <c r="F176" i="14"/>
  <c r="F181" i="14" s="1"/>
  <c r="E176" i="14"/>
  <c r="E181" i="14" s="1"/>
  <c r="D169" i="14"/>
  <c r="BX162" i="14"/>
  <c r="BW162" i="14"/>
  <c r="BV162" i="14"/>
  <c r="BU162" i="14"/>
  <c r="BT162" i="14"/>
  <c r="BS162" i="14"/>
  <c r="BR162" i="14"/>
  <c r="BQ162" i="14"/>
  <c r="BP162" i="14"/>
  <c r="BO162" i="14"/>
  <c r="BN162" i="14"/>
  <c r="BM162" i="14"/>
  <c r="BL162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AY162" i="14"/>
  <c r="AX162" i="14"/>
  <c r="AW162" i="14"/>
  <c r="AV162" i="14"/>
  <c r="AU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BX160" i="14"/>
  <c r="BW160" i="14"/>
  <c r="BW165" i="14" s="1"/>
  <c r="BV160" i="14"/>
  <c r="BV165" i="14" s="1"/>
  <c r="BU160" i="14"/>
  <c r="BU165" i="14" s="1"/>
  <c r="BT160" i="14"/>
  <c r="BT165" i="14" s="1"/>
  <c r="BS160" i="14"/>
  <c r="BS165" i="14" s="1"/>
  <c r="BR160" i="14"/>
  <c r="BR165" i="14" s="1"/>
  <c r="BQ160" i="14"/>
  <c r="BQ165" i="14" s="1"/>
  <c r="BP160" i="14"/>
  <c r="BP165" i="14" s="1"/>
  <c r="BO160" i="14"/>
  <c r="BO165" i="14" s="1"/>
  <c r="BN160" i="14"/>
  <c r="BN165" i="14" s="1"/>
  <c r="BM160" i="14"/>
  <c r="BM165" i="14" s="1"/>
  <c r="BL160" i="14"/>
  <c r="BL165" i="14" s="1"/>
  <c r="BK160" i="14"/>
  <c r="BK165" i="14" s="1"/>
  <c r="BJ160" i="14"/>
  <c r="BJ165" i="14" s="1"/>
  <c r="BI160" i="14"/>
  <c r="BI165" i="14" s="1"/>
  <c r="BH160" i="14"/>
  <c r="BH165" i="14" s="1"/>
  <c r="BG160" i="14"/>
  <c r="BG165" i="14" s="1"/>
  <c r="BF160" i="14"/>
  <c r="BF165" i="14" s="1"/>
  <c r="BE160" i="14"/>
  <c r="BE165" i="14" s="1"/>
  <c r="BD160" i="14"/>
  <c r="BD165" i="14" s="1"/>
  <c r="BC160" i="14"/>
  <c r="BC165" i="14" s="1"/>
  <c r="BB160" i="14"/>
  <c r="BB165" i="14" s="1"/>
  <c r="BA160" i="14"/>
  <c r="BA165" i="14" s="1"/>
  <c r="AZ160" i="14"/>
  <c r="AZ165" i="14" s="1"/>
  <c r="AY160" i="14"/>
  <c r="AY165" i="14" s="1"/>
  <c r="AX160" i="14"/>
  <c r="AX165" i="14" s="1"/>
  <c r="AW160" i="14"/>
  <c r="AW165" i="14" s="1"/>
  <c r="AV160" i="14"/>
  <c r="AV165" i="14" s="1"/>
  <c r="AU160" i="14"/>
  <c r="AU165" i="14" s="1"/>
  <c r="AT160" i="14"/>
  <c r="AT165" i="14" s="1"/>
  <c r="AS160" i="14"/>
  <c r="AS165" i="14" s="1"/>
  <c r="AR160" i="14"/>
  <c r="AR165" i="14" s="1"/>
  <c r="AQ160" i="14"/>
  <c r="AQ165" i="14" s="1"/>
  <c r="AP160" i="14"/>
  <c r="AP165" i="14" s="1"/>
  <c r="AO160" i="14"/>
  <c r="AO165" i="14" s="1"/>
  <c r="AN160" i="14"/>
  <c r="AN165" i="14" s="1"/>
  <c r="AM160" i="14"/>
  <c r="AM165" i="14" s="1"/>
  <c r="AL160" i="14"/>
  <c r="AL165" i="14" s="1"/>
  <c r="AK160" i="14"/>
  <c r="AK165" i="14" s="1"/>
  <c r="AJ160" i="14"/>
  <c r="AJ165" i="14" s="1"/>
  <c r="AI160" i="14"/>
  <c r="AI165" i="14" s="1"/>
  <c r="AH160" i="14"/>
  <c r="AH165" i="14" s="1"/>
  <c r="AG160" i="14"/>
  <c r="AG165" i="14" s="1"/>
  <c r="AF160" i="14"/>
  <c r="AF165" i="14" s="1"/>
  <c r="AE160" i="14"/>
  <c r="AE165" i="14" s="1"/>
  <c r="AD160" i="14"/>
  <c r="AD165" i="14" s="1"/>
  <c r="AC160" i="14"/>
  <c r="AC165" i="14" s="1"/>
  <c r="AB160" i="14"/>
  <c r="AB165" i="14" s="1"/>
  <c r="AA160" i="14"/>
  <c r="AA165" i="14" s="1"/>
  <c r="Z160" i="14"/>
  <c r="Z165" i="14" s="1"/>
  <c r="Y160" i="14"/>
  <c r="Y165" i="14" s="1"/>
  <c r="X160" i="14"/>
  <c r="X165" i="14" s="1"/>
  <c r="W160" i="14"/>
  <c r="W165" i="14" s="1"/>
  <c r="V160" i="14"/>
  <c r="V165" i="14" s="1"/>
  <c r="U160" i="14"/>
  <c r="U165" i="14" s="1"/>
  <c r="T160" i="14"/>
  <c r="S160" i="14"/>
  <c r="S165" i="14" s="1"/>
  <c r="R160" i="14"/>
  <c r="R165" i="14" s="1"/>
  <c r="Q160" i="14"/>
  <c r="Q165" i="14" s="1"/>
  <c r="P160" i="14"/>
  <c r="P165" i="14" s="1"/>
  <c r="O160" i="14"/>
  <c r="O165" i="14" s="1"/>
  <c r="N160" i="14"/>
  <c r="N165" i="14" s="1"/>
  <c r="M160" i="14"/>
  <c r="M165" i="14" s="1"/>
  <c r="L160" i="14"/>
  <c r="L165" i="14" s="1"/>
  <c r="K160" i="14"/>
  <c r="K165" i="14" s="1"/>
  <c r="J160" i="14"/>
  <c r="J165" i="14" s="1"/>
  <c r="I160" i="14"/>
  <c r="I165" i="14" s="1"/>
  <c r="H160" i="14"/>
  <c r="H165" i="14" s="1"/>
  <c r="G160" i="14"/>
  <c r="G165" i="14" s="1"/>
  <c r="F160" i="14"/>
  <c r="F165" i="14" s="1"/>
  <c r="E160" i="14"/>
  <c r="E165" i="14" s="1"/>
  <c r="D153" i="14"/>
  <c r="T147" i="14"/>
  <c r="BX146" i="14"/>
  <c r="BW146" i="14"/>
  <c r="BV146" i="14"/>
  <c r="BU146" i="14"/>
  <c r="BT146" i="14"/>
  <c r="BS146" i="14"/>
  <c r="BR146" i="14"/>
  <c r="BQ146" i="14"/>
  <c r="BP146" i="14"/>
  <c r="BO146" i="14"/>
  <c r="BN146" i="14"/>
  <c r="BM146" i="14"/>
  <c r="BL146" i="14"/>
  <c r="BK146" i="14"/>
  <c r="BJ146" i="14"/>
  <c r="BI146" i="14"/>
  <c r="BH146" i="14"/>
  <c r="BG146" i="14"/>
  <c r="BF146" i="14"/>
  <c r="BE146" i="14"/>
  <c r="BD146" i="14"/>
  <c r="BC146" i="14"/>
  <c r="BB146" i="14"/>
  <c r="BA146" i="14"/>
  <c r="AZ146" i="14"/>
  <c r="AY146" i="14"/>
  <c r="AX146" i="14"/>
  <c r="AW146" i="14"/>
  <c r="AV146" i="14"/>
  <c r="AU146" i="14"/>
  <c r="AT146" i="14"/>
  <c r="AS146" i="14"/>
  <c r="AR146" i="14"/>
  <c r="AQ146" i="14"/>
  <c r="AP146" i="14"/>
  <c r="AO146" i="14"/>
  <c r="AN146" i="14"/>
  <c r="AM146" i="14"/>
  <c r="AL146" i="14"/>
  <c r="AK146" i="14"/>
  <c r="AJ146" i="14"/>
  <c r="AI146" i="14"/>
  <c r="AH146" i="14"/>
  <c r="AG146" i="14"/>
  <c r="AF146" i="14"/>
  <c r="AE146" i="14"/>
  <c r="AD146" i="14"/>
  <c r="AC146" i="14"/>
  <c r="AB146" i="14"/>
  <c r="AA146" i="14"/>
  <c r="Z146" i="14"/>
  <c r="Y146" i="14"/>
  <c r="X146" i="14"/>
  <c r="W146" i="14"/>
  <c r="V146" i="14"/>
  <c r="U146" i="14"/>
  <c r="T146" i="14"/>
  <c r="S146" i="14"/>
  <c r="R146" i="14"/>
  <c r="Q146" i="14"/>
  <c r="P146" i="14"/>
  <c r="O146" i="14"/>
  <c r="N146" i="14"/>
  <c r="M146" i="14"/>
  <c r="L146" i="14"/>
  <c r="K146" i="14"/>
  <c r="K149" i="14" s="1"/>
  <c r="J146" i="14"/>
  <c r="I146" i="14"/>
  <c r="I149" i="14" s="1"/>
  <c r="H146" i="14"/>
  <c r="G146" i="14"/>
  <c r="F146" i="14"/>
  <c r="E146" i="14"/>
  <c r="BX144" i="14"/>
  <c r="BW144" i="14"/>
  <c r="BW149" i="14" s="1"/>
  <c r="BV144" i="14"/>
  <c r="BV149" i="14" s="1"/>
  <c r="BU144" i="14"/>
  <c r="BU149" i="14" s="1"/>
  <c r="BT144" i="14"/>
  <c r="BT149" i="14" s="1"/>
  <c r="BS144" i="14"/>
  <c r="BS149" i="14" s="1"/>
  <c r="BR144" i="14"/>
  <c r="BR149" i="14" s="1"/>
  <c r="BQ144" i="14"/>
  <c r="BQ149" i="14" s="1"/>
  <c r="BP144" i="14"/>
  <c r="BP149" i="14" s="1"/>
  <c r="BO144" i="14"/>
  <c r="BO149" i="14" s="1"/>
  <c r="BN144" i="14"/>
  <c r="BN149" i="14" s="1"/>
  <c r="BM144" i="14"/>
  <c r="BM149" i="14" s="1"/>
  <c r="BL144" i="14"/>
  <c r="BL149" i="14" s="1"/>
  <c r="BK144" i="14"/>
  <c r="BK149" i="14" s="1"/>
  <c r="BJ144" i="14"/>
  <c r="BJ149" i="14" s="1"/>
  <c r="BI144" i="14"/>
  <c r="BI149" i="14" s="1"/>
  <c r="BH144" i="14"/>
  <c r="BH149" i="14" s="1"/>
  <c r="BG144" i="14"/>
  <c r="BG149" i="14" s="1"/>
  <c r="BF144" i="14"/>
  <c r="BF149" i="14" s="1"/>
  <c r="BE144" i="14"/>
  <c r="BE149" i="14" s="1"/>
  <c r="BD144" i="14"/>
  <c r="BD149" i="14" s="1"/>
  <c r="BC144" i="14"/>
  <c r="BC149" i="14" s="1"/>
  <c r="BB144" i="14"/>
  <c r="BB149" i="14" s="1"/>
  <c r="BA144" i="14"/>
  <c r="BA149" i="14" s="1"/>
  <c r="AZ144" i="14"/>
  <c r="AZ149" i="14" s="1"/>
  <c r="AY144" i="14"/>
  <c r="AY149" i="14" s="1"/>
  <c r="AX144" i="14"/>
  <c r="AX149" i="14" s="1"/>
  <c r="AW144" i="14"/>
  <c r="AW149" i="14" s="1"/>
  <c r="AV144" i="14"/>
  <c r="AV149" i="14" s="1"/>
  <c r="AU144" i="14"/>
  <c r="AU149" i="14" s="1"/>
  <c r="AT144" i="14"/>
  <c r="AT149" i="14" s="1"/>
  <c r="AS144" i="14"/>
  <c r="AS149" i="14" s="1"/>
  <c r="AR144" i="14"/>
  <c r="AR149" i="14" s="1"/>
  <c r="AQ144" i="14"/>
  <c r="AQ149" i="14" s="1"/>
  <c r="AP144" i="14"/>
  <c r="AP149" i="14" s="1"/>
  <c r="AO144" i="14"/>
  <c r="AO149" i="14" s="1"/>
  <c r="AN144" i="14"/>
  <c r="AN149" i="14" s="1"/>
  <c r="AM144" i="14"/>
  <c r="AM149" i="14" s="1"/>
  <c r="AL144" i="14"/>
  <c r="AL149" i="14" s="1"/>
  <c r="AK144" i="14"/>
  <c r="AK149" i="14" s="1"/>
  <c r="AJ144" i="14"/>
  <c r="AJ149" i="14" s="1"/>
  <c r="AI144" i="14"/>
  <c r="AI149" i="14" s="1"/>
  <c r="AH144" i="14"/>
  <c r="AH149" i="14" s="1"/>
  <c r="AG144" i="14"/>
  <c r="AG149" i="14" s="1"/>
  <c r="AF144" i="14"/>
  <c r="AF149" i="14" s="1"/>
  <c r="AE144" i="14"/>
  <c r="AE149" i="14" s="1"/>
  <c r="AD144" i="14"/>
  <c r="AD149" i="14" s="1"/>
  <c r="AC144" i="14"/>
  <c r="AC149" i="14" s="1"/>
  <c r="AB144" i="14"/>
  <c r="AB149" i="14" s="1"/>
  <c r="AA144" i="14"/>
  <c r="AA149" i="14" s="1"/>
  <c r="Z144" i="14"/>
  <c r="Z149" i="14" s="1"/>
  <c r="Y144" i="14"/>
  <c r="Y149" i="14" s="1"/>
  <c r="X144" i="14"/>
  <c r="X149" i="14" s="1"/>
  <c r="W144" i="14"/>
  <c r="W149" i="14" s="1"/>
  <c r="V144" i="14"/>
  <c r="V149" i="14" s="1"/>
  <c r="U144" i="14"/>
  <c r="U149" i="14" s="1"/>
  <c r="S144" i="14"/>
  <c r="S149" i="14" s="1"/>
  <c r="R144" i="14"/>
  <c r="R149" i="14" s="1"/>
  <c r="Q144" i="14"/>
  <c r="Q149" i="14" s="1"/>
  <c r="P144" i="14"/>
  <c r="P149" i="14" s="1"/>
  <c r="O144" i="14"/>
  <c r="O149" i="14" s="1"/>
  <c r="N144" i="14"/>
  <c r="N149" i="14" s="1"/>
  <c r="M144" i="14"/>
  <c r="M149" i="14" s="1"/>
  <c r="L144" i="14"/>
  <c r="L149" i="14" s="1"/>
  <c r="J144" i="14"/>
  <c r="J149" i="14" s="1"/>
  <c r="H144" i="14"/>
  <c r="G144" i="14"/>
  <c r="G149" i="14" s="1"/>
  <c r="F144" i="14"/>
  <c r="F149" i="14" s="1"/>
  <c r="E144" i="14"/>
  <c r="E149" i="14" s="1"/>
  <c r="E150" i="14" s="1"/>
  <c r="F150" i="14" s="1"/>
  <c r="G150" i="14" s="1"/>
  <c r="D137" i="14"/>
  <c r="BX130" i="14"/>
  <c r="BW130" i="14"/>
  <c r="BV130" i="14"/>
  <c r="BU130" i="14"/>
  <c r="BT130" i="14"/>
  <c r="BS130" i="14"/>
  <c r="BR130" i="14"/>
  <c r="BQ130" i="14"/>
  <c r="BP130" i="14"/>
  <c r="BO130" i="14"/>
  <c r="BN130" i="14"/>
  <c r="BM130" i="14"/>
  <c r="BL130" i="14"/>
  <c r="BK130" i="14"/>
  <c r="BJ130" i="14"/>
  <c r="BI130" i="14"/>
  <c r="BH130" i="14"/>
  <c r="BG130" i="14"/>
  <c r="BF130" i="14"/>
  <c r="BE130" i="14"/>
  <c r="BD130" i="14"/>
  <c r="BC130" i="14"/>
  <c r="BB130" i="14"/>
  <c r="BA130" i="14"/>
  <c r="AZ130" i="14"/>
  <c r="AY130" i="14"/>
  <c r="AX130" i="14"/>
  <c r="AW130" i="14"/>
  <c r="AV130" i="14"/>
  <c r="AU130" i="14"/>
  <c r="AT130" i="14"/>
  <c r="AS130" i="14"/>
  <c r="AR130" i="14"/>
  <c r="AQ130" i="14"/>
  <c r="AP130" i="14"/>
  <c r="AO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AA130" i="14"/>
  <c r="Z130" i="14"/>
  <c r="Y130" i="14"/>
  <c r="X130" i="14"/>
  <c r="W130" i="14"/>
  <c r="V130" i="14"/>
  <c r="U130" i="14"/>
  <c r="S130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BX128" i="14"/>
  <c r="BW128" i="14"/>
  <c r="BW133" i="14" s="1"/>
  <c r="BV128" i="14"/>
  <c r="BV133" i="14" s="1"/>
  <c r="BU128" i="14"/>
  <c r="BU133" i="14" s="1"/>
  <c r="BT128" i="14"/>
  <c r="BT133" i="14" s="1"/>
  <c r="BS128" i="14"/>
  <c r="BS133" i="14" s="1"/>
  <c r="BR128" i="14"/>
  <c r="BR133" i="14" s="1"/>
  <c r="BQ128" i="14"/>
  <c r="BQ133" i="14" s="1"/>
  <c r="BP128" i="14"/>
  <c r="BP133" i="14" s="1"/>
  <c r="BO128" i="14"/>
  <c r="BO133" i="14" s="1"/>
  <c r="BN128" i="14"/>
  <c r="BN133" i="14" s="1"/>
  <c r="BM128" i="14"/>
  <c r="BM133" i="14" s="1"/>
  <c r="BL128" i="14"/>
  <c r="BL133" i="14" s="1"/>
  <c r="BK128" i="14"/>
  <c r="BK133" i="14" s="1"/>
  <c r="BJ128" i="14"/>
  <c r="BJ133" i="14" s="1"/>
  <c r="BI128" i="14"/>
  <c r="BI133" i="14" s="1"/>
  <c r="BH128" i="14"/>
  <c r="BH133" i="14" s="1"/>
  <c r="BG128" i="14"/>
  <c r="BG133" i="14" s="1"/>
  <c r="BF128" i="14"/>
  <c r="BF133" i="14" s="1"/>
  <c r="BE128" i="14"/>
  <c r="BE133" i="14" s="1"/>
  <c r="BD128" i="14"/>
  <c r="BD133" i="14" s="1"/>
  <c r="BC128" i="14"/>
  <c r="BC133" i="14" s="1"/>
  <c r="BB128" i="14"/>
  <c r="BB133" i="14" s="1"/>
  <c r="BA128" i="14"/>
  <c r="BA133" i="14" s="1"/>
  <c r="AZ128" i="14"/>
  <c r="AZ133" i="14" s="1"/>
  <c r="AY128" i="14"/>
  <c r="AY133" i="14" s="1"/>
  <c r="AX128" i="14"/>
  <c r="AX133" i="14" s="1"/>
  <c r="AW128" i="14"/>
  <c r="AW133" i="14" s="1"/>
  <c r="AV128" i="14"/>
  <c r="AV133" i="14" s="1"/>
  <c r="AU128" i="14"/>
  <c r="AU133" i="14" s="1"/>
  <c r="AT128" i="14"/>
  <c r="AT133" i="14" s="1"/>
  <c r="AS128" i="14"/>
  <c r="AS133" i="14" s="1"/>
  <c r="AR128" i="14"/>
  <c r="AR133" i="14" s="1"/>
  <c r="AQ128" i="14"/>
  <c r="AQ133" i="14" s="1"/>
  <c r="AP128" i="14"/>
  <c r="AP133" i="14" s="1"/>
  <c r="AO128" i="14"/>
  <c r="AO133" i="14" s="1"/>
  <c r="AN128" i="14"/>
  <c r="AN133" i="14" s="1"/>
  <c r="AM128" i="14"/>
  <c r="AM133" i="14" s="1"/>
  <c r="AL128" i="14"/>
  <c r="AL133" i="14" s="1"/>
  <c r="AK128" i="14"/>
  <c r="AK133" i="14" s="1"/>
  <c r="AJ128" i="14"/>
  <c r="AJ133" i="14" s="1"/>
  <c r="AI128" i="14"/>
  <c r="AI133" i="14" s="1"/>
  <c r="AH128" i="14"/>
  <c r="AH133" i="14" s="1"/>
  <c r="AG128" i="14"/>
  <c r="AG133" i="14" s="1"/>
  <c r="AF128" i="14"/>
  <c r="AF133" i="14" s="1"/>
  <c r="AE128" i="14"/>
  <c r="AE133" i="14" s="1"/>
  <c r="AD128" i="14"/>
  <c r="AD133" i="14" s="1"/>
  <c r="AC128" i="14"/>
  <c r="AC133" i="14" s="1"/>
  <c r="AB128" i="14"/>
  <c r="AB133" i="14" s="1"/>
  <c r="AA128" i="14"/>
  <c r="AA133" i="14" s="1"/>
  <c r="Z128" i="14"/>
  <c r="Z133" i="14" s="1"/>
  <c r="Y128" i="14"/>
  <c r="Y133" i="14" s="1"/>
  <c r="X128" i="14"/>
  <c r="X133" i="14" s="1"/>
  <c r="W128" i="14"/>
  <c r="W133" i="14" s="1"/>
  <c r="V128" i="14"/>
  <c r="V133" i="14" s="1"/>
  <c r="U128" i="14"/>
  <c r="U133" i="14" s="1"/>
  <c r="S128" i="14"/>
  <c r="S133" i="14" s="1"/>
  <c r="R128" i="14"/>
  <c r="R133" i="14" s="1"/>
  <c r="Q128" i="14"/>
  <c r="Q133" i="14" s="1"/>
  <c r="P128" i="14"/>
  <c r="P133" i="14" s="1"/>
  <c r="O128" i="14"/>
  <c r="O133" i="14" s="1"/>
  <c r="N128" i="14"/>
  <c r="N133" i="14" s="1"/>
  <c r="M128" i="14"/>
  <c r="M133" i="14" s="1"/>
  <c r="L128" i="14"/>
  <c r="L133" i="14" s="1"/>
  <c r="K128" i="14"/>
  <c r="K133" i="14" s="1"/>
  <c r="J128" i="14"/>
  <c r="J133" i="14" s="1"/>
  <c r="I128" i="14"/>
  <c r="I133" i="14" s="1"/>
  <c r="H128" i="14"/>
  <c r="H133" i="14" s="1"/>
  <c r="G128" i="14"/>
  <c r="G133" i="14" s="1"/>
  <c r="F128" i="14"/>
  <c r="F133" i="14" s="1"/>
  <c r="E128" i="14"/>
  <c r="BX112" i="14"/>
  <c r="BW112" i="14"/>
  <c r="BV112" i="14"/>
  <c r="BU112" i="14"/>
  <c r="BT112" i="14"/>
  <c r="BS112" i="14"/>
  <c r="BR112" i="14"/>
  <c r="BQ112" i="14"/>
  <c r="BP112" i="14"/>
  <c r="BO112" i="14"/>
  <c r="BN112" i="14"/>
  <c r="BM112" i="14"/>
  <c r="BL112" i="14"/>
  <c r="BK112" i="14"/>
  <c r="BJ112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X112" i="14"/>
  <c r="AW112" i="14"/>
  <c r="AV112" i="14"/>
  <c r="AU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H111" i="14"/>
  <c r="D119" i="14" s="1"/>
  <c r="BX110" i="14"/>
  <c r="BW110" i="14"/>
  <c r="BW116" i="14" s="1"/>
  <c r="BV110" i="14"/>
  <c r="BV116" i="14" s="1"/>
  <c r="BU110" i="14"/>
  <c r="BU116" i="14" s="1"/>
  <c r="BT110" i="14"/>
  <c r="BT116" i="14" s="1"/>
  <c r="BS110" i="14"/>
  <c r="BS116" i="14" s="1"/>
  <c r="BR110" i="14"/>
  <c r="BR116" i="14" s="1"/>
  <c r="BQ110" i="14"/>
  <c r="BQ116" i="14" s="1"/>
  <c r="BP110" i="14"/>
  <c r="BP116" i="14" s="1"/>
  <c r="BO110" i="14"/>
  <c r="BO116" i="14" s="1"/>
  <c r="BN110" i="14"/>
  <c r="BN116" i="14" s="1"/>
  <c r="BM110" i="14"/>
  <c r="BM116" i="14" s="1"/>
  <c r="BL110" i="14"/>
  <c r="BL116" i="14" s="1"/>
  <c r="BK110" i="14"/>
  <c r="BK116" i="14" s="1"/>
  <c r="BJ110" i="14"/>
  <c r="BJ116" i="14" s="1"/>
  <c r="BI110" i="14"/>
  <c r="BI116" i="14" s="1"/>
  <c r="BH110" i="14"/>
  <c r="BH116" i="14" s="1"/>
  <c r="BG110" i="14"/>
  <c r="BG116" i="14" s="1"/>
  <c r="BF110" i="14"/>
  <c r="BF116" i="14" s="1"/>
  <c r="BE110" i="14"/>
  <c r="BE116" i="14" s="1"/>
  <c r="BD110" i="14"/>
  <c r="BD116" i="14" s="1"/>
  <c r="BC110" i="14"/>
  <c r="BC116" i="14" s="1"/>
  <c r="BB110" i="14"/>
  <c r="BB116" i="14" s="1"/>
  <c r="BA110" i="14"/>
  <c r="BA116" i="14" s="1"/>
  <c r="AZ110" i="14"/>
  <c r="AZ116" i="14" s="1"/>
  <c r="AY110" i="14"/>
  <c r="AY116" i="14" s="1"/>
  <c r="AX110" i="14"/>
  <c r="AX116" i="14" s="1"/>
  <c r="AW110" i="14"/>
  <c r="AW116" i="14" s="1"/>
  <c r="AV110" i="14"/>
  <c r="AV116" i="14" s="1"/>
  <c r="AU110" i="14"/>
  <c r="AU116" i="14" s="1"/>
  <c r="AT110" i="14"/>
  <c r="AT116" i="14" s="1"/>
  <c r="AS110" i="14"/>
  <c r="AS116" i="14" s="1"/>
  <c r="AR110" i="14"/>
  <c r="AR116" i="14" s="1"/>
  <c r="AQ110" i="14"/>
  <c r="AQ116" i="14" s="1"/>
  <c r="AP110" i="14"/>
  <c r="AP116" i="14" s="1"/>
  <c r="AO110" i="14"/>
  <c r="AO116" i="14" s="1"/>
  <c r="AN110" i="14"/>
  <c r="AN116" i="14" s="1"/>
  <c r="AM110" i="14"/>
  <c r="AM116" i="14" s="1"/>
  <c r="AL110" i="14"/>
  <c r="AL116" i="14" s="1"/>
  <c r="AK110" i="14"/>
  <c r="AK116" i="14" s="1"/>
  <c r="AJ110" i="14"/>
  <c r="AJ116" i="14" s="1"/>
  <c r="AI110" i="14"/>
  <c r="AI116" i="14" s="1"/>
  <c r="AH110" i="14"/>
  <c r="AH116" i="14" s="1"/>
  <c r="AG110" i="14"/>
  <c r="AG116" i="14" s="1"/>
  <c r="AF110" i="14"/>
  <c r="AF116" i="14" s="1"/>
  <c r="AE110" i="14"/>
  <c r="AE116" i="14" s="1"/>
  <c r="AD110" i="14"/>
  <c r="AD116" i="14" s="1"/>
  <c r="AC110" i="14"/>
  <c r="AC116" i="14" s="1"/>
  <c r="AB110" i="14"/>
  <c r="AB116" i="14" s="1"/>
  <c r="AA110" i="14"/>
  <c r="AA116" i="14" s="1"/>
  <c r="Z110" i="14"/>
  <c r="Z116" i="14" s="1"/>
  <c r="Y110" i="14"/>
  <c r="Y116" i="14" s="1"/>
  <c r="X110" i="14"/>
  <c r="X116" i="14" s="1"/>
  <c r="W110" i="14"/>
  <c r="W116" i="14" s="1"/>
  <c r="V110" i="14"/>
  <c r="V116" i="14" s="1"/>
  <c r="U110" i="14"/>
  <c r="U116" i="14" s="1"/>
  <c r="S110" i="14"/>
  <c r="S116" i="14" s="1"/>
  <c r="R110" i="14"/>
  <c r="R116" i="14" s="1"/>
  <c r="Q110" i="14"/>
  <c r="Q116" i="14" s="1"/>
  <c r="P110" i="14"/>
  <c r="P116" i="14" s="1"/>
  <c r="O110" i="14"/>
  <c r="O116" i="14" s="1"/>
  <c r="N110" i="14"/>
  <c r="N116" i="14" s="1"/>
  <c r="M110" i="14"/>
  <c r="M116" i="14" s="1"/>
  <c r="L110" i="14"/>
  <c r="L116" i="14" s="1"/>
  <c r="K110" i="14"/>
  <c r="K116" i="14" s="1"/>
  <c r="J110" i="14"/>
  <c r="J116" i="14" s="1"/>
  <c r="I110" i="14"/>
  <c r="I116" i="14" s="1"/>
  <c r="G110" i="14"/>
  <c r="G116" i="14" s="1"/>
  <c r="F110" i="14"/>
  <c r="F116" i="14" s="1"/>
  <c r="E110" i="14"/>
  <c r="E116" i="14" s="1"/>
  <c r="BW102" i="14"/>
  <c r="BV102" i="14"/>
  <c r="BU102" i="14"/>
  <c r="BT102" i="14"/>
  <c r="BS102" i="14"/>
  <c r="BR102" i="14"/>
  <c r="BQ102" i="14"/>
  <c r="BP102" i="14"/>
  <c r="BO102" i="14"/>
  <c r="BN102" i="14"/>
  <c r="BM102" i="14"/>
  <c r="BL102" i="14"/>
  <c r="BK102" i="14"/>
  <c r="BJ102" i="14"/>
  <c r="BI102" i="14"/>
  <c r="BH102" i="14"/>
  <c r="BG102" i="14"/>
  <c r="BF102" i="14"/>
  <c r="BE102" i="14"/>
  <c r="BD102" i="14"/>
  <c r="BC102" i="14"/>
  <c r="BB102" i="14"/>
  <c r="BA102" i="14"/>
  <c r="AZ102" i="14"/>
  <c r="AY102" i="14"/>
  <c r="AX102" i="14"/>
  <c r="AW102" i="14"/>
  <c r="AV102" i="14"/>
  <c r="AU102" i="14"/>
  <c r="AT102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S102" i="14"/>
  <c r="R102" i="14"/>
  <c r="Q102" i="14"/>
  <c r="P102" i="14"/>
  <c r="O102" i="14"/>
  <c r="N102" i="14"/>
  <c r="M102" i="14"/>
  <c r="L102" i="14"/>
  <c r="K102" i="14"/>
  <c r="J102" i="14"/>
  <c r="I102" i="14"/>
  <c r="G102" i="14"/>
  <c r="F102" i="14"/>
  <c r="E102" i="14"/>
  <c r="G98" i="14"/>
  <c r="BY94" i="14"/>
  <c r="BY93" i="14"/>
  <c r="BY92" i="14"/>
  <c r="BY91" i="14"/>
  <c r="BX88" i="14"/>
  <c r="BW88" i="14"/>
  <c r="BV88" i="14"/>
  <c r="BU88" i="14"/>
  <c r="BT88" i="14"/>
  <c r="BS88" i="14"/>
  <c r="BR88" i="14"/>
  <c r="BQ88" i="14"/>
  <c r="BP88" i="14"/>
  <c r="BO88" i="14"/>
  <c r="BN88" i="14"/>
  <c r="BM88" i="14"/>
  <c r="BL88" i="14"/>
  <c r="BK88" i="14"/>
  <c r="BJ88" i="14"/>
  <c r="BI88" i="14"/>
  <c r="BH88" i="14"/>
  <c r="BG88" i="14"/>
  <c r="BF88" i="14"/>
  <c r="BE88" i="14"/>
  <c r="BD88" i="14"/>
  <c r="BC88" i="14"/>
  <c r="BB88" i="14"/>
  <c r="BA88" i="14"/>
  <c r="AZ88" i="14"/>
  <c r="AY88" i="14"/>
  <c r="AX88" i="14"/>
  <c r="AW88" i="14"/>
  <c r="AV88" i="14"/>
  <c r="AU88" i="14"/>
  <c r="AT88" i="14"/>
  <c r="AS88" i="14"/>
  <c r="AR88" i="14"/>
  <c r="AQ88" i="14"/>
  <c r="AP88" i="14"/>
  <c r="AO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BY87" i="14"/>
  <c r="BY86" i="14"/>
  <c r="BY85" i="14"/>
  <c r="BX85" i="14"/>
  <c r="BW85" i="14"/>
  <c r="BV85" i="14"/>
  <c r="BU85" i="14"/>
  <c r="BT85" i="14"/>
  <c r="BS85" i="14"/>
  <c r="BR85" i="14"/>
  <c r="BQ85" i="14"/>
  <c r="BP85" i="14"/>
  <c r="BO85" i="14"/>
  <c r="BN85" i="14"/>
  <c r="BM85" i="14"/>
  <c r="BL85" i="14"/>
  <c r="BK85" i="14"/>
  <c r="BJ85" i="14"/>
  <c r="BI85" i="14"/>
  <c r="BH85" i="14"/>
  <c r="BG85" i="14"/>
  <c r="BF85" i="14"/>
  <c r="BE85" i="14"/>
  <c r="BD85" i="14"/>
  <c r="BC85" i="14"/>
  <c r="BB85" i="14"/>
  <c r="BA85" i="14"/>
  <c r="AZ85" i="14"/>
  <c r="AY85" i="14"/>
  <c r="AX85" i="14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BY84" i="14"/>
  <c r="BY83" i="14"/>
  <c r="BY82" i="14"/>
  <c r="BY81" i="14"/>
  <c r="BY79" i="14"/>
  <c r="BY78" i="14"/>
  <c r="BY77" i="14"/>
  <c r="BY76" i="14"/>
  <c r="BY75" i="14"/>
  <c r="BY74" i="14"/>
  <c r="BY73" i="14"/>
  <c r="BY72" i="14"/>
  <c r="BY71" i="14"/>
  <c r="BY70" i="14"/>
  <c r="BY69" i="14"/>
  <c r="BY68" i="14"/>
  <c r="BY67" i="14"/>
  <c r="BY66" i="14"/>
  <c r="BY65" i="14"/>
  <c r="BY64" i="14"/>
  <c r="BY63" i="14"/>
  <c r="BY62" i="14"/>
  <c r="BX61" i="14"/>
  <c r="BW61" i="14"/>
  <c r="BV61" i="14"/>
  <c r="BU61" i="14"/>
  <c r="BT61" i="14"/>
  <c r="BS61" i="14"/>
  <c r="BR61" i="14"/>
  <c r="BQ61" i="14"/>
  <c r="BP61" i="14"/>
  <c r="BO61" i="14"/>
  <c r="BN61" i="14"/>
  <c r="BM61" i="14"/>
  <c r="BL61" i="14"/>
  <c r="BK61" i="14"/>
  <c r="BJ61" i="14"/>
  <c r="BI61" i="14"/>
  <c r="BH61" i="14"/>
  <c r="BG61" i="14"/>
  <c r="BF61" i="14"/>
  <c r="BE61" i="14"/>
  <c r="BD61" i="14"/>
  <c r="BC61" i="14"/>
  <c r="BB61" i="14"/>
  <c r="BA61" i="14"/>
  <c r="AZ61" i="14"/>
  <c r="AY61" i="14"/>
  <c r="AX61" i="14"/>
  <c r="AW61" i="14"/>
  <c r="AV61" i="14"/>
  <c r="AU61" i="14"/>
  <c r="AT61" i="14"/>
  <c r="AS61" i="14"/>
  <c r="AR61" i="14"/>
  <c r="AQ61" i="14"/>
  <c r="AP61" i="14"/>
  <c r="AO61" i="14"/>
  <c r="AN61" i="14"/>
  <c r="AM61" i="14"/>
  <c r="AL61" i="14"/>
  <c r="AK61" i="14"/>
  <c r="AJ61" i="14"/>
  <c r="AI61" i="14"/>
  <c r="AH61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BY59" i="14"/>
  <c r="D59" i="14"/>
  <c r="BY58" i="14"/>
  <c r="BY57" i="14"/>
  <c r="BY56" i="14"/>
  <c r="BY54" i="14"/>
  <c r="BX53" i="14"/>
  <c r="BW53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I52" i="14"/>
  <c r="BY52" i="14" s="1"/>
  <c r="I51" i="14"/>
  <c r="H51" i="14"/>
  <c r="BY50" i="14"/>
  <c r="BY49" i="14"/>
  <c r="K48" i="14"/>
  <c r="BY48" i="14" s="1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I47" i="14"/>
  <c r="H47" i="14"/>
  <c r="G47" i="14"/>
  <c r="F47" i="14"/>
  <c r="E47" i="14"/>
  <c r="O46" i="14"/>
  <c r="J46" i="14"/>
  <c r="BY46" i="14" s="1"/>
  <c r="BY45" i="14"/>
  <c r="H44" i="14"/>
  <c r="I43" i="14"/>
  <c r="H43" i="14"/>
  <c r="I42" i="14"/>
  <c r="H42" i="14"/>
  <c r="BY41" i="14"/>
  <c r="BY40" i="14"/>
  <c r="BY39" i="14"/>
  <c r="P38" i="14"/>
  <c r="O38" i="14"/>
  <c r="N38" i="14"/>
  <c r="M38" i="14"/>
  <c r="L38" i="14"/>
  <c r="K38" i="14"/>
  <c r="J38" i="14"/>
  <c r="I38" i="14"/>
  <c r="BY38" i="14" s="1"/>
  <c r="BX37" i="14"/>
  <c r="BW37" i="14"/>
  <c r="BV37" i="14"/>
  <c r="BU37" i="14"/>
  <c r="BT37" i="14"/>
  <c r="BS37" i="14"/>
  <c r="BR37" i="14"/>
  <c r="BQ37" i="14"/>
  <c r="BP37" i="14"/>
  <c r="BO37" i="14"/>
  <c r="BN37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AQ37" i="14"/>
  <c r="AP37" i="14"/>
  <c r="AO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I37" i="14"/>
  <c r="H37" i="14"/>
  <c r="G37" i="14"/>
  <c r="F37" i="14"/>
  <c r="E37" i="14"/>
  <c r="BY36" i="14"/>
  <c r="BY35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BY33" i="14"/>
  <c r="L32" i="14"/>
  <c r="I32" i="14"/>
  <c r="BY32" i="14" s="1"/>
  <c r="H31" i="14"/>
  <c r="BY31" i="14" s="1"/>
  <c r="BY30" i="14"/>
  <c r="BY29" i="14"/>
  <c r="BY28" i="14"/>
  <c r="P27" i="14"/>
  <c r="O27" i="14"/>
  <c r="N27" i="14"/>
  <c r="M27" i="14"/>
  <c r="L27" i="14"/>
  <c r="K27" i="14"/>
  <c r="BY27" i="14" s="1"/>
  <c r="BY26" i="14"/>
  <c r="BX26" i="14"/>
  <c r="BW26" i="14"/>
  <c r="BV26" i="14"/>
  <c r="BU26" i="14"/>
  <c r="BT26" i="14"/>
  <c r="BS26" i="14"/>
  <c r="BR26" i="14"/>
  <c r="BQ26" i="14"/>
  <c r="BP26" i="14"/>
  <c r="BO26" i="14"/>
  <c r="BN26" i="14"/>
  <c r="BM26" i="14"/>
  <c r="BL26" i="14"/>
  <c r="BK26" i="14"/>
  <c r="BJ26" i="14"/>
  <c r="BI26" i="14"/>
  <c r="BH26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K25" i="14"/>
  <c r="BY25" i="14" s="1"/>
  <c r="K24" i="14"/>
  <c r="I24" i="14"/>
  <c r="BY24" i="14" s="1"/>
  <c r="CE23" i="14"/>
  <c r="BY23" i="14"/>
  <c r="BX23" i="14"/>
  <c r="BW23" i="14"/>
  <c r="BV23" i="14"/>
  <c r="BU23" i="14"/>
  <c r="BT23" i="14"/>
  <c r="BS23" i="14"/>
  <c r="BR23" i="14"/>
  <c r="BQ23" i="14"/>
  <c r="BP23" i="14"/>
  <c r="BO23" i="14"/>
  <c r="BN23" i="14"/>
  <c r="BM23" i="14"/>
  <c r="BL23" i="14"/>
  <c r="BK23" i="14"/>
  <c r="BJ23" i="14"/>
  <c r="BI23" i="14"/>
  <c r="BH23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BY22" i="14"/>
  <c r="BY21" i="14"/>
  <c r="BY20" i="14"/>
  <c r="BY19" i="14"/>
  <c r="J18" i="14"/>
  <c r="H18" i="14"/>
  <c r="BY18" i="14" s="1"/>
  <c r="BY17" i="14"/>
  <c r="BX17" i="14"/>
  <c r="BX96" i="14" s="1"/>
  <c r="BW17" i="14"/>
  <c r="BW96" i="14" s="1"/>
  <c r="BV17" i="14"/>
  <c r="BV96" i="14" s="1"/>
  <c r="BU17" i="14"/>
  <c r="BU96" i="14" s="1"/>
  <c r="BT17" i="14"/>
  <c r="BT96" i="14" s="1"/>
  <c r="BS17" i="14"/>
  <c r="BS96" i="14" s="1"/>
  <c r="BR17" i="14"/>
  <c r="BR96" i="14" s="1"/>
  <c r="BQ17" i="14"/>
  <c r="BQ96" i="14" s="1"/>
  <c r="BP17" i="14"/>
  <c r="BP96" i="14" s="1"/>
  <c r="BO17" i="14"/>
  <c r="BO96" i="14" s="1"/>
  <c r="BN17" i="14"/>
  <c r="BN96" i="14" s="1"/>
  <c r="BM17" i="14"/>
  <c r="BM96" i="14" s="1"/>
  <c r="BL17" i="14"/>
  <c r="BL96" i="14" s="1"/>
  <c r="BK17" i="14"/>
  <c r="BK96" i="14" s="1"/>
  <c r="BJ17" i="14"/>
  <c r="BJ96" i="14" s="1"/>
  <c r="BI17" i="14"/>
  <c r="BI96" i="14" s="1"/>
  <c r="BH17" i="14"/>
  <c r="BH96" i="14" s="1"/>
  <c r="BG17" i="14"/>
  <c r="BG96" i="14" s="1"/>
  <c r="BF17" i="14"/>
  <c r="BF96" i="14" s="1"/>
  <c r="BE17" i="14"/>
  <c r="BE96" i="14" s="1"/>
  <c r="BD17" i="14"/>
  <c r="BD96" i="14" s="1"/>
  <c r="BC17" i="14"/>
  <c r="BC96" i="14" s="1"/>
  <c r="BB17" i="14"/>
  <c r="BB96" i="14" s="1"/>
  <c r="BA17" i="14"/>
  <c r="BA96" i="14" s="1"/>
  <c r="AZ17" i="14"/>
  <c r="AZ96" i="14" s="1"/>
  <c r="AY17" i="14"/>
  <c r="AY96" i="14" s="1"/>
  <c r="AX17" i="14"/>
  <c r="AX96" i="14" s="1"/>
  <c r="AW17" i="14"/>
  <c r="AW96" i="14" s="1"/>
  <c r="AV17" i="14"/>
  <c r="AV96" i="14" s="1"/>
  <c r="AU17" i="14"/>
  <c r="AU96" i="14" s="1"/>
  <c r="AT17" i="14"/>
  <c r="AT96" i="14" s="1"/>
  <c r="AS17" i="14"/>
  <c r="AS96" i="14" s="1"/>
  <c r="AR17" i="14"/>
  <c r="AR96" i="14" s="1"/>
  <c r="AQ17" i="14"/>
  <c r="AQ96" i="14" s="1"/>
  <c r="AP17" i="14"/>
  <c r="AP96" i="14" s="1"/>
  <c r="AO17" i="14"/>
  <c r="AO96" i="14" s="1"/>
  <c r="AN17" i="14"/>
  <c r="AN96" i="14" s="1"/>
  <c r="AM17" i="14"/>
  <c r="AM96" i="14" s="1"/>
  <c r="AL17" i="14"/>
  <c r="AL96" i="14" s="1"/>
  <c r="AK17" i="14"/>
  <c r="AK96" i="14" s="1"/>
  <c r="AJ17" i="14"/>
  <c r="AJ96" i="14" s="1"/>
  <c r="AI17" i="14"/>
  <c r="AI96" i="14" s="1"/>
  <c r="AH17" i="14"/>
  <c r="AH96" i="14" s="1"/>
  <c r="AG17" i="14"/>
  <c r="AG96" i="14" s="1"/>
  <c r="AF17" i="14"/>
  <c r="AF96" i="14" s="1"/>
  <c r="AE17" i="14"/>
  <c r="AE96" i="14" s="1"/>
  <c r="AD17" i="14"/>
  <c r="AD96" i="14" s="1"/>
  <c r="AC17" i="14"/>
  <c r="AC96" i="14" s="1"/>
  <c r="AB17" i="14"/>
  <c r="AB96" i="14" s="1"/>
  <c r="AA17" i="14"/>
  <c r="AA96" i="14" s="1"/>
  <c r="Z17" i="14"/>
  <c r="Z96" i="14" s="1"/>
  <c r="Y17" i="14"/>
  <c r="Y96" i="14" s="1"/>
  <c r="X17" i="14"/>
  <c r="X96" i="14" s="1"/>
  <c r="W17" i="14"/>
  <c r="W96" i="14" s="1"/>
  <c r="V17" i="14"/>
  <c r="V96" i="14" s="1"/>
  <c r="U17" i="14"/>
  <c r="U96" i="14" s="1"/>
  <c r="T17" i="14"/>
  <c r="S17" i="14"/>
  <c r="R17" i="14"/>
  <c r="Q17" i="14"/>
  <c r="P17" i="14"/>
  <c r="O17" i="14"/>
  <c r="N17" i="14"/>
  <c r="M17" i="14"/>
  <c r="L17" i="14"/>
  <c r="K17" i="14"/>
  <c r="J17" i="14"/>
  <c r="I17" i="14"/>
  <c r="I96" i="14" s="1"/>
  <c r="H17" i="14"/>
  <c r="H96" i="14" s="1"/>
  <c r="G17" i="14"/>
  <c r="G96" i="14" s="1"/>
  <c r="F17" i="14"/>
  <c r="F96" i="14" s="1"/>
  <c r="E17" i="14"/>
  <c r="E96" i="14" s="1"/>
  <c r="BX16" i="14"/>
  <c r="BX97" i="14" s="1"/>
  <c r="BW16" i="14"/>
  <c r="BW97" i="14" s="1"/>
  <c r="BV16" i="14"/>
  <c r="BV97" i="14" s="1"/>
  <c r="BU16" i="14"/>
  <c r="BU97" i="14" s="1"/>
  <c r="BT16" i="14"/>
  <c r="BT97" i="14" s="1"/>
  <c r="BS16" i="14"/>
  <c r="BS97" i="14" s="1"/>
  <c r="BR16" i="14"/>
  <c r="BR97" i="14" s="1"/>
  <c r="BQ16" i="14"/>
  <c r="BQ97" i="14" s="1"/>
  <c r="BP16" i="14"/>
  <c r="BP97" i="14" s="1"/>
  <c r="BO16" i="14"/>
  <c r="BO97" i="14" s="1"/>
  <c r="BN16" i="14"/>
  <c r="BN97" i="14" s="1"/>
  <c r="BM16" i="14"/>
  <c r="BM97" i="14" s="1"/>
  <c r="BL16" i="14"/>
  <c r="BL97" i="14" s="1"/>
  <c r="BK16" i="14"/>
  <c r="BK97" i="14" s="1"/>
  <c r="BJ16" i="14"/>
  <c r="BJ97" i="14" s="1"/>
  <c r="BI16" i="14"/>
  <c r="BI97" i="14" s="1"/>
  <c r="BH16" i="14"/>
  <c r="BH97" i="14" s="1"/>
  <c r="BG16" i="14"/>
  <c r="BG97" i="14" s="1"/>
  <c r="BF16" i="14"/>
  <c r="BF97" i="14" s="1"/>
  <c r="BE16" i="14"/>
  <c r="BE97" i="14" s="1"/>
  <c r="BD16" i="14"/>
  <c r="BD97" i="14" s="1"/>
  <c r="BC16" i="14"/>
  <c r="BC97" i="14" s="1"/>
  <c r="BB16" i="14"/>
  <c r="BB97" i="14" s="1"/>
  <c r="BA16" i="14"/>
  <c r="BA97" i="14" s="1"/>
  <c r="AZ16" i="14"/>
  <c r="AZ97" i="14" s="1"/>
  <c r="AY16" i="14"/>
  <c r="AY97" i="14" s="1"/>
  <c r="AX16" i="14"/>
  <c r="AX97" i="14" s="1"/>
  <c r="AW16" i="14"/>
  <c r="AW97" i="14" s="1"/>
  <c r="AV16" i="14"/>
  <c r="AV97" i="14" s="1"/>
  <c r="AU16" i="14"/>
  <c r="AU97" i="14" s="1"/>
  <c r="AT16" i="14"/>
  <c r="AT97" i="14" s="1"/>
  <c r="AS16" i="14"/>
  <c r="AS97" i="14" s="1"/>
  <c r="AR16" i="14"/>
  <c r="AR97" i="14" s="1"/>
  <c r="AQ16" i="14"/>
  <c r="AQ97" i="14" s="1"/>
  <c r="AP16" i="14"/>
  <c r="AP97" i="14" s="1"/>
  <c r="AO16" i="14"/>
  <c r="AO97" i="14" s="1"/>
  <c r="AN16" i="14"/>
  <c r="AN97" i="14" s="1"/>
  <c r="AM16" i="14"/>
  <c r="AM97" i="14" s="1"/>
  <c r="AL16" i="14"/>
  <c r="AL97" i="14" s="1"/>
  <c r="AK16" i="14"/>
  <c r="AK97" i="14" s="1"/>
  <c r="AJ16" i="14"/>
  <c r="AJ97" i="14" s="1"/>
  <c r="AI16" i="14"/>
  <c r="AI97" i="14" s="1"/>
  <c r="AH16" i="14"/>
  <c r="AH97" i="14" s="1"/>
  <c r="AG16" i="14"/>
  <c r="AG97" i="14" s="1"/>
  <c r="AF16" i="14"/>
  <c r="AF97" i="14" s="1"/>
  <c r="AE16" i="14"/>
  <c r="AE97" i="14" s="1"/>
  <c r="AD16" i="14"/>
  <c r="AD97" i="14" s="1"/>
  <c r="AC16" i="14"/>
  <c r="AC97" i="14" s="1"/>
  <c r="AB16" i="14"/>
  <c r="AB97" i="14" s="1"/>
  <c r="AA16" i="14"/>
  <c r="AA97" i="14" s="1"/>
  <c r="Z16" i="14"/>
  <c r="Z97" i="14" s="1"/>
  <c r="Y16" i="14"/>
  <c r="Y97" i="14" s="1"/>
  <c r="X16" i="14"/>
  <c r="X97" i="14" s="1"/>
  <c r="W16" i="14"/>
  <c r="W97" i="14" s="1"/>
  <c r="V16" i="14"/>
  <c r="V97" i="14" s="1"/>
  <c r="U16" i="14"/>
  <c r="U97" i="14" s="1"/>
  <c r="I16" i="14"/>
  <c r="I97" i="14" s="1"/>
  <c r="G16" i="14"/>
  <c r="G97" i="14" s="1"/>
  <c r="F16" i="14"/>
  <c r="F97" i="14" s="1"/>
  <c r="E16" i="14"/>
  <c r="E97" i="14" s="1"/>
  <c r="E98" i="14" s="1"/>
  <c r="O15" i="14"/>
  <c r="CE14" i="14"/>
  <c r="CE15" i="14" s="1"/>
  <c r="K14" i="14"/>
  <c r="K16" i="14" s="1"/>
  <c r="J14" i="14"/>
  <c r="P11" i="14"/>
  <c r="O11" i="14"/>
  <c r="N11" i="14"/>
  <c r="M11" i="14"/>
  <c r="BY10" i="14"/>
  <c r="CB10" i="14" s="1"/>
  <c r="BY9" i="14"/>
  <c r="BY8" i="14"/>
  <c r="CB8" i="14" s="1"/>
  <c r="CA7" i="14"/>
  <c r="BY7" i="14"/>
  <c r="CB7" i="14" s="1"/>
  <c r="CA6" i="14"/>
  <c r="BY6" i="14"/>
  <c r="H5" i="14"/>
  <c r="R8" i="13" a="1"/>
  <c r="R8" i="13"/>
  <c r="S8" i="13" s="1"/>
  <c r="D185" i="12"/>
  <c r="D183" i="12"/>
  <c r="BX176" i="12"/>
  <c r="BW176" i="12"/>
  <c r="BV176" i="12"/>
  <c r="BU176" i="12"/>
  <c r="BT176" i="12"/>
  <c r="BS176" i="12"/>
  <c r="BR176" i="12"/>
  <c r="BQ176" i="12"/>
  <c r="BP176" i="12"/>
  <c r="BO176" i="12"/>
  <c r="BN176" i="12"/>
  <c r="BM176" i="12"/>
  <c r="BL176" i="12"/>
  <c r="BK176" i="12"/>
  <c r="BJ176" i="12"/>
  <c r="BI176" i="12"/>
  <c r="BH176" i="12"/>
  <c r="BG176" i="12"/>
  <c r="BF176" i="12"/>
  <c r="BE176" i="12"/>
  <c r="BD176" i="12"/>
  <c r="BC176" i="12"/>
  <c r="BB176" i="12"/>
  <c r="BA176" i="12"/>
  <c r="AZ176" i="12"/>
  <c r="AY176" i="12"/>
  <c r="AX176" i="12"/>
  <c r="AW176" i="12"/>
  <c r="AV176" i="12"/>
  <c r="AU176" i="12"/>
  <c r="AT176" i="12"/>
  <c r="AS176" i="12"/>
  <c r="AR176" i="12"/>
  <c r="AQ176" i="12"/>
  <c r="AP176" i="12"/>
  <c r="AO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S179" i="12" s="1"/>
  <c r="R176" i="12"/>
  <c r="R179" i="12" s="1"/>
  <c r="Q176" i="12"/>
  <c r="Q179" i="12" s="1"/>
  <c r="P176" i="12"/>
  <c r="P179" i="12" s="1"/>
  <c r="O176" i="12"/>
  <c r="O179" i="12" s="1"/>
  <c r="N176" i="12"/>
  <c r="N179" i="12" s="1"/>
  <c r="M176" i="12"/>
  <c r="M179" i="12" s="1"/>
  <c r="L176" i="12"/>
  <c r="L179" i="12" s="1"/>
  <c r="K176" i="12"/>
  <c r="K179" i="12" s="1"/>
  <c r="J176" i="12"/>
  <c r="J179" i="12" s="1"/>
  <c r="I176" i="12"/>
  <c r="I179" i="12" s="1"/>
  <c r="H176" i="12"/>
  <c r="G176" i="12"/>
  <c r="F176" i="12"/>
  <c r="E176" i="12"/>
  <c r="BX174" i="12"/>
  <c r="BW174" i="12"/>
  <c r="BW179" i="12" s="1"/>
  <c r="BV174" i="12"/>
  <c r="BV179" i="12" s="1"/>
  <c r="BU174" i="12"/>
  <c r="BU179" i="12" s="1"/>
  <c r="BT174" i="12"/>
  <c r="BT179" i="12" s="1"/>
  <c r="BS174" i="12"/>
  <c r="BS179" i="12" s="1"/>
  <c r="BR174" i="12"/>
  <c r="BR179" i="12" s="1"/>
  <c r="BQ174" i="12"/>
  <c r="BQ179" i="12" s="1"/>
  <c r="BP174" i="12"/>
  <c r="BP179" i="12" s="1"/>
  <c r="BO174" i="12"/>
  <c r="BO179" i="12" s="1"/>
  <c r="BN174" i="12"/>
  <c r="BN179" i="12" s="1"/>
  <c r="BM174" i="12"/>
  <c r="BM179" i="12" s="1"/>
  <c r="BL174" i="12"/>
  <c r="BL179" i="12" s="1"/>
  <c r="BK174" i="12"/>
  <c r="BK179" i="12" s="1"/>
  <c r="BJ174" i="12"/>
  <c r="BJ179" i="12" s="1"/>
  <c r="BI174" i="12"/>
  <c r="BI179" i="12" s="1"/>
  <c r="BH174" i="12"/>
  <c r="BH179" i="12" s="1"/>
  <c r="BG174" i="12"/>
  <c r="BG179" i="12" s="1"/>
  <c r="BF174" i="12"/>
  <c r="BF179" i="12" s="1"/>
  <c r="BE174" i="12"/>
  <c r="BE179" i="12" s="1"/>
  <c r="BD174" i="12"/>
  <c r="BD179" i="12" s="1"/>
  <c r="BC174" i="12"/>
  <c r="BC179" i="12" s="1"/>
  <c r="BB174" i="12"/>
  <c r="BB179" i="12" s="1"/>
  <c r="BA174" i="12"/>
  <c r="BA179" i="12" s="1"/>
  <c r="AZ174" i="12"/>
  <c r="AZ179" i="12" s="1"/>
  <c r="AY174" i="12"/>
  <c r="AY179" i="12" s="1"/>
  <c r="AX174" i="12"/>
  <c r="AX179" i="12" s="1"/>
  <c r="AW174" i="12"/>
  <c r="AW179" i="12" s="1"/>
  <c r="AV174" i="12"/>
  <c r="AV179" i="12" s="1"/>
  <c r="AU174" i="12"/>
  <c r="AU179" i="12" s="1"/>
  <c r="AT174" i="12"/>
  <c r="AT179" i="12" s="1"/>
  <c r="AS174" i="12"/>
  <c r="AS179" i="12" s="1"/>
  <c r="AR174" i="12"/>
  <c r="AR179" i="12" s="1"/>
  <c r="AQ174" i="12"/>
  <c r="AQ179" i="12" s="1"/>
  <c r="AP174" i="12"/>
  <c r="AP179" i="12" s="1"/>
  <c r="AO174" i="12"/>
  <c r="AO179" i="12" s="1"/>
  <c r="AN174" i="12"/>
  <c r="AN179" i="12" s="1"/>
  <c r="AM174" i="12"/>
  <c r="AM179" i="12" s="1"/>
  <c r="AL174" i="12"/>
  <c r="AL179" i="12" s="1"/>
  <c r="AK174" i="12"/>
  <c r="AK179" i="12" s="1"/>
  <c r="AJ174" i="12"/>
  <c r="AJ179" i="12" s="1"/>
  <c r="AI174" i="12"/>
  <c r="AI179" i="12" s="1"/>
  <c r="AH174" i="12"/>
  <c r="AH179" i="12" s="1"/>
  <c r="AG174" i="12"/>
  <c r="AG179" i="12" s="1"/>
  <c r="AF174" i="12"/>
  <c r="AF179" i="12" s="1"/>
  <c r="AE174" i="12"/>
  <c r="AE179" i="12" s="1"/>
  <c r="AD174" i="12"/>
  <c r="AD179" i="12" s="1"/>
  <c r="AC174" i="12"/>
  <c r="AC179" i="12" s="1"/>
  <c r="AB174" i="12"/>
  <c r="AB179" i="12" s="1"/>
  <c r="AA174" i="12"/>
  <c r="AA179" i="12" s="1"/>
  <c r="Z174" i="12"/>
  <c r="Z179" i="12" s="1"/>
  <c r="Y174" i="12"/>
  <c r="Y179" i="12" s="1"/>
  <c r="X174" i="12"/>
  <c r="X179" i="12" s="1"/>
  <c r="W174" i="12"/>
  <c r="W179" i="12" s="1"/>
  <c r="V174" i="12"/>
  <c r="V179" i="12" s="1"/>
  <c r="U174" i="12"/>
  <c r="U179" i="12" s="1"/>
  <c r="T174" i="12"/>
  <c r="T179" i="12" s="1"/>
  <c r="H174" i="12"/>
  <c r="H179" i="12" s="1"/>
  <c r="G174" i="12"/>
  <c r="G179" i="12" s="1"/>
  <c r="F174" i="12"/>
  <c r="F179" i="12" s="1"/>
  <c r="E174" i="12"/>
  <c r="E179" i="12" s="1"/>
  <c r="D169" i="12"/>
  <c r="D167" i="12"/>
  <c r="BX160" i="12"/>
  <c r="BW160" i="12"/>
  <c r="BV160" i="12"/>
  <c r="BU160" i="12"/>
  <c r="BT160" i="12"/>
  <c r="BS160" i="12"/>
  <c r="BR160" i="12"/>
  <c r="BQ160" i="12"/>
  <c r="BP160" i="12"/>
  <c r="BO160" i="12"/>
  <c r="BN160" i="12"/>
  <c r="BM160" i="12"/>
  <c r="BL160" i="12"/>
  <c r="BK160" i="12"/>
  <c r="BJ160" i="12"/>
  <c r="BI160" i="12"/>
  <c r="BH160" i="12"/>
  <c r="BG160" i="12"/>
  <c r="BF160" i="12"/>
  <c r="BE160" i="12"/>
  <c r="BD160" i="12"/>
  <c r="BC160" i="12"/>
  <c r="BB160" i="12"/>
  <c r="BA160" i="12"/>
  <c r="AZ160" i="12"/>
  <c r="AY160" i="12"/>
  <c r="AX160" i="12"/>
  <c r="AW160" i="12"/>
  <c r="AV160" i="12"/>
  <c r="AU160" i="12"/>
  <c r="AT160" i="12"/>
  <c r="AS160" i="12"/>
  <c r="AR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BX158" i="12"/>
  <c r="BW158" i="12"/>
  <c r="BW163" i="12" s="1"/>
  <c r="BV158" i="12"/>
  <c r="BV163" i="12" s="1"/>
  <c r="BU158" i="12"/>
  <c r="BU163" i="12" s="1"/>
  <c r="BT158" i="12"/>
  <c r="BT163" i="12" s="1"/>
  <c r="BS158" i="12"/>
  <c r="BS163" i="12" s="1"/>
  <c r="BR158" i="12"/>
  <c r="BR163" i="12" s="1"/>
  <c r="BQ158" i="12"/>
  <c r="BQ163" i="12" s="1"/>
  <c r="BP158" i="12"/>
  <c r="BP163" i="12" s="1"/>
  <c r="BO158" i="12"/>
  <c r="BO163" i="12" s="1"/>
  <c r="BN158" i="12"/>
  <c r="BN163" i="12" s="1"/>
  <c r="BM158" i="12"/>
  <c r="BM163" i="12" s="1"/>
  <c r="BL158" i="12"/>
  <c r="BL163" i="12" s="1"/>
  <c r="BK158" i="12"/>
  <c r="BK163" i="12" s="1"/>
  <c r="BJ158" i="12"/>
  <c r="BJ163" i="12" s="1"/>
  <c r="BI158" i="12"/>
  <c r="BI163" i="12" s="1"/>
  <c r="BH158" i="12"/>
  <c r="BH163" i="12" s="1"/>
  <c r="BG158" i="12"/>
  <c r="BG163" i="12" s="1"/>
  <c r="BF158" i="12"/>
  <c r="BF163" i="12" s="1"/>
  <c r="BE158" i="12"/>
  <c r="BE163" i="12" s="1"/>
  <c r="BD158" i="12"/>
  <c r="BD163" i="12" s="1"/>
  <c r="BC158" i="12"/>
  <c r="BC163" i="12" s="1"/>
  <c r="BB158" i="12"/>
  <c r="BB163" i="12" s="1"/>
  <c r="BA158" i="12"/>
  <c r="BA163" i="12" s="1"/>
  <c r="AZ158" i="12"/>
  <c r="AZ163" i="12" s="1"/>
  <c r="AY158" i="12"/>
  <c r="AY163" i="12" s="1"/>
  <c r="AX158" i="12"/>
  <c r="AX163" i="12" s="1"/>
  <c r="AW158" i="12"/>
  <c r="AW163" i="12" s="1"/>
  <c r="AV158" i="12"/>
  <c r="AV163" i="12" s="1"/>
  <c r="AU158" i="12"/>
  <c r="AU163" i="12" s="1"/>
  <c r="AT158" i="12"/>
  <c r="AT163" i="12" s="1"/>
  <c r="AS158" i="12"/>
  <c r="AS163" i="12" s="1"/>
  <c r="AR158" i="12"/>
  <c r="AR163" i="12" s="1"/>
  <c r="AQ158" i="12"/>
  <c r="AQ163" i="12" s="1"/>
  <c r="AP158" i="12"/>
  <c r="AP163" i="12" s="1"/>
  <c r="AO158" i="12"/>
  <c r="AO163" i="12" s="1"/>
  <c r="AN158" i="12"/>
  <c r="AN163" i="12" s="1"/>
  <c r="AM158" i="12"/>
  <c r="AM163" i="12" s="1"/>
  <c r="AL158" i="12"/>
  <c r="AL163" i="12" s="1"/>
  <c r="AK158" i="12"/>
  <c r="AK163" i="12" s="1"/>
  <c r="AJ158" i="12"/>
  <c r="AJ163" i="12" s="1"/>
  <c r="AI158" i="12"/>
  <c r="AI163" i="12" s="1"/>
  <c r="AH158" i="12"/>
  <c r="AH163" i="12" s="1"/>
  <c r="AG158" i="12"/>
  <c r="AG163" i="12" s="1"/>
  <c r="AF158" i="12"/>
  <c r="AF163" i="12" s="1"/>
  <c r="AE158" i="12"/>
  <c r="AE163" i="12" s="1"/>
  <c r="AD158" i="12"/>
  <c r="AD163" i="12" s="1"/>
  <c r="AC158" i="12"/>
  <c r="AC163" i="12" s="1"/>
  <c r="AB158" i="12"/>
  <c r="AB163" i="12" s="1"/>
  <c r="AA158" i="12"/>
  <c r="AA163" i="12" s="1"/>
  <c r="Z158" i="12"/>
  <c r="Z163" i="12" s="1"/>
  <c r="Y158" i="12"/>
  <c r="Y163" i="12" s="1"/>
  <c r="X158" i="12"/>
  <c r="X163" i="12" s="1"/>
  <c r="W158" i="12"/>
  <c r="W163" i="12" s="1"/>
  <c r="V158" i="12"/>
  <c r="V163" i="12" s="1"/>
  <c r="U158" i="12"/>
  <c r="U163" i="12" s="1"/>
  <c r="T158" i="12"/>
  <c r="T163" i="12" s="1"/>
  <c r="S158" i="12"/>
  <c r="S163" i="12" s="1"/>
  <c r="R158" i="12"/>
  <c r="R163" i="12" s="1"/>
  <c r="Q158" i="12"/>
  <c r="Q163" i="12" s="1"/>
  <c r="P158" i="12"/>
  <c r="P163" i="12" s="1"/>
  <c r="O158" i="12"/>
  <c r="O163" i="12" s="1"/>
  <c r="N158" i="12"/>
  <c r="N163" i="12" s="1"/>
  <c r="M158" i="12"/>
  <c r="M163" i="12" s="1"/>
  <c r="L158" i="12"/>
  <c r="L163" i="12" s="1"/>
  <c r="K158" i="12"/>
  <c r="K163" i="12" s="1"/>
  <c r="J158" i="12"/>
  <c r="J163" i="12" s="1"/>
  <c r="I158" i="12"/>
  <c r="I163" i="12" s="1"/>
  <c r="H158" i="12"/>
  <c r="H163" i="12" s="1"/>
  <c r="G158" i="12"/>
  <c r="G163" i="12" s="1"/>
  <c r="F158" i="12"/>
  <c r="F163" i="12" s="1"/>
  <c r="E158" i="12"/>
  <c r="E163" i="12" s="1"/>
  <c r="D151" i="12"/>
  <c r="T145" i="12"/>
  <c r="D153" i="12" s="1"/>
  <c r="BX144" i="12"/>
  <c r="BW144" i="12"/>
  <c r="BV144" i="12"/>
  <c r="BU144" i="12"/>
  <c r="BT144" i="12"/>
  <c r="BS144" i="12"/>
  <c r="BR144" i="12"/>
  <c r="BQ144" i="12"/>
  <c r="BP144" i="12"/>
  <c r="BO144" i="12"/>
  <c r="BN144" i="12"/>
  <c r="BM144" i="12"/>
  <c r="BL144" i="12"/>
  <c r="BK144" i="12"/>
  <c r="BJ144" i="12"/>
  <c r="BI144" i="12"/>
  <c r="BH144" i="12"/>
  <c r="BG144" i="12"/>
  <c r="BF144" i="12"/>
  <c r="BE144" i="12"/>
  <c r="BD144" i="12"/>
  <c r="BC144" i="12"/>
  <c r="BB144" i="12"/>
  <c r="BA144" i="12"/>
  <c r="AZ144" i="12"/>
  <c r="AY144" i="12"/>
  <c r="AX144" i="12"/>
  <c r="AW144" i="12"/>
  <c r="AV144" i="12"/>
  <c r="AU144" i="12"/>
  <c r="AT144" i="12"/>
  <c r="AS144" i="12"/>
  <c r="AR144" i="12"/>
  <c r="AQ144" i="12"/>
  <c r="AP144" i="12"/>
  <c r="AO144" i="12"/>
  <c r="AN144" i="12"/>
  <c r="AM144" i="12"/>
  <c r="AL144" i="12"/>
  <c r="AK144" i="12"/>
  <c r="AJ144" i="12"/>
  <c r="AI144" i="12"/>
  <c r="AH144" i="12"/>
  <c r="AG144" i="12"/>
  <c r="AF144" i="12"/>
  <c r="AE144" i="12"/>
  <c r="AD144" i="12"/>
  <c r="AC144" i="12"/>
  <c r="AB144" i="12"/>
  <c r="AA144" i="12"/>
  <c r="Z144" i="12"/>
  <c r="Y144" i="12"/>
  <c r="X144" i="12"/>
  <c r="W144" i="12"/>
  <c r="V144" i="12"/>
  <c r="U144" i="12"/>
  <c r="T144" i="12"/>
  <c r="S144" i="12"/>
  <c r="R144" i="12"/>
  <c r="Q144" i="12"/>
  <c r="P144" i="12"/>
  <c r="O144" i="12"/>
  <c r="N144" i="12"/>
  <c r="M144" i="12"/>
  <c r="L144" i="12"/>
  <c r="K144" i="12"/>
  <c r="K147" i="12" s="1"/>
  <c r="J144" i="12"/>
  <c r="I144" i="12"/>
  <c r="I147" i="12" s="1"/>
  <c r="H144" i="12"/>
  <c r="G144" i="12"/>
  <c r="F144" i="12"/>
  <c r="E144" i="12"/>
  <c r="BW142" i="12"/>
  <c r="BW147" i="12" s="1"/>
  <c r="BV142" i="12"/>
  <c r="BV147" i="12" s="1"/>
  <c r="BU142" i="12"/>
  <c r="BU147" i="12" s="1"/>
  <c r="BT142" i="12"/>
  <c r="BT147" i="12" s="1"/>
  <c r="BS142" i="12"/>
  <c r="BS147" i="12" s="1"/>
  <c r="BR142" i="12"/>
  <c r="BR147" i="12" s="1"/>
  <c r="BQ142" i="12"/>
  <c r="BQ147" i="12" s="1"/>
  <c r="BP142" i="12"/>
  <c r="BP147" i="12" s="1"/>
  <c r="BO142" i="12"/>
  <c r="BO147" i="12" s="1"/>
  <c r="BN142" i="12"/>
  <c r="BN147" i="12" s="1"/>
  <c r="BM142" i="12"/>
  <c r="BM147" i="12" s="1"/>
  <c r="BL142" i="12"/>
  <c r="BL147" i="12" s="1"/>
  <c r="BK142" i="12"/>
  <c r="BK147" i="12" s="1"/>
  <c r="BJ142" i="12"/>
  <c r="BJ147" i="12" s="1"/>
  <c r="BI142" i="12"/>
  <c r="BI147" i="12" s="1"/>
  <c r="BH142" i="12"/>
  <c r="BH147" i="12" s="1"/>
  <c r="BG142" i="12"/>
  <c r="BG147" i="12" s="1"/>
  <c r="BF142" i="12"/>
  <c r="BF147" i="12" s="1"/>
  <c r="BE142" i="12"/>
  <c r="BE147" i="12" s="1"/>
  <c r="BD142" i="12"/>
  <c r="BD147" i="12" s="1"/>
  <c r="BC142" i="12"/>
  <c r="BC147" i="12" s="1"/>
  <c r="BB142" i="12"/>
  <c r="BB147" i="12" s="1"/>
  <c r="BA142" i="12"/>
  <c r="BA147" i="12" s="1"/>
  <c r="AZ142" i="12"/>
  <c r="AZ147" i="12" s="1"/>
  <c r="AY142" i="12"/>
  <c r="AY147" i="12" s="1"/>
  <c r="AX142" i="12"/>
  <c r="AX147" i="12" s="1"/>
  <c r="AW142" i="12"/>
  <c r="AW147" i="12" s="1"/>
  <c r="AV142" i="12"/>
  <c r="AV147" i="12" s="1"/>
  <c r="AU142" i="12"/>
  <c r="AU147" i="12" s="1"/>
  <c r="AT142" i="12"/>
  <c r="AT147" i="12" s="1"/>
  <c r="AS142" i="12"/>
  <c r="AS147" i="12" s="1"/>
  <c r="AR142" i="12"/>
  <c r="AR147" i="12" s="1"/>
  <c r="AQ142" i="12"/>
  <c r="AQ147" i="12" s="1"/>
  <c r="AP142" i="12"/>
  <c r="AP147" i="12" s="1"/>
  <c r="AO142" i="12"/>
  <c r="AO147" i="12" s="1"/>
  <c r="AN142" i="12"/>
  <c r="AN147" i="12" s="1"/>
  <c r="AM142" i="12"/>
  <c r="AM147" i="12" s="1"/>
  <c r="AL142" i="12"/>
  <c r="AL147" i="12" s="1"/>
  <c r="AK142" i="12"/>
  <c r="AK147" i="12" s="1"/>
  <c r="AJ142" i="12"/>
  <c r="AJ147" i="12" s="1"/>
  <c r="AI142" i="12"/>
  <c r="AI147" i="12" s="1"/>
  <c r="AH142" i="12"/>
  <c r="AH147" i="12" s="1"/>
  <c r="AG142" i="12"/>
  <c r="AG147" i="12" s="1"/>
  <c r="AF142" i="12"/>
  <c r="AF147" i="12" s="1"/>
  <c r="AE142" i="12"/>
  <c r="AE147" i="12" s="1"/>
  <c r="AD142" i="12"/>
  <c r="AD147" i="12" s="1"/>
  <c r="AC142" i="12"/>
  <c r="AC147" i="12" s="1"/>
  <c r="AB142" i="12"/>
  <c r="AB147" i="12" s="1"/>
  <c r="AA142" i="12"/>
  <c r="AA147" i="12" s="1"/>
  <c r="Z142" i="12"/>
  <c r="Z147" i="12" s="1"/>
  <c r="Y142" i="12"/>
  <c r="Y147" i="12" s="1"/>
  <c r="X142" i="12"/>
  <c r="X147" i="12" s="1"/>
  <c r="W142" i="12"/>
  <c r="W147" i="12" s="1"/>
  <c r="V142" i="12"/>
  <c r="V147" i="12" s="1"/>
  <c r="U142" i="12"/>
  <c r="U147" i="12" s="1"/>
  <c r="S142" i="12"/>
  <c r="S147" i="12" s="1"/>
  <c r="R142" i="12"/>
  <c r="R147" i="12" s="1"/>
  <c r="Q142" i="12"/>
  <c r="Q147" i="12" s="1"/>
  <c r="P142" i="12"/>
  <c r="P147" i="12" s="1"/>
  <c r="O142" i="12"/>
  <c r="O147" i="12" s="1"/>
  <c r="N142" i="12"/>
  <c r="N147" i="12" s="1"/>
  <c r="M142" i="12"/>
  <c r="M147" i="12" s="1"/>
  <c r="L142" i="12"/>
  <c r="L147" i="12" s="1"/>
  <c r="J142" i="12"/>
  <c r="J147" i="12" s="1"/>
  <c r="H142" i="12"/>
  <c r="G142" i="12"/>
  <c r="G147" i="12" s="1"/>
  <c r="F142" i="12"/>
  <c r="F147" i="12" s="1"/>
  <c r="E142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BX126" i="12"/>
  <c r="BW126" i="12"/>
  <c r="BW131" i="12" s="1"/>
  <c r="BV126" i="12"/>
  <c r="BV131" i="12" s="1"/>
  <c r="BU126" i="12"/>
  <c r="BU131" i="12" s="1"/>
  <c r="BT126" i="12"/>
  <c r="BT131" i="12" s="1"/>
  <c r="BS126" i="12"/>
  <c r="BS131" i="12" s="1"/>
  <c r="BR126" i="12"/>
  <c r="BR131" i="12" s="1"/>
  <c r="BQ126" i="12"/>
  <c r="BQ131" i="12" s="1"/>
  <c r="BP126" i="12"/>
  <c r="BP131" i="12" s="1"/>
  <c r="BO126" i="12"/>
  <c r="BO131" i="12" s="1"/>
  <c r="BN126" i="12"/>
  <c r="BN131" i="12" s="1"/>
  <c r="BM126" i="12"/>
  <c r="BM131" i="12" s="1"/>
  <c r="BL126" i="12"/>
  <c r="BL131" i="12" s="1"/>
  <c r="BK126" i="12"/>
  <c r="BK131" i="12" s="1"/>
  <c r="BJ126" i="12"/>
  <c r="BJ131" i="12" s="1"/>
  <c r="BI126" i="12"/>
  <c r="BI131" i="12" s="1"/>
  <c r="BH126" i="12"/>
  <c r="BH131" i="12" s="1"/>
  <c r="BG126" i="12"/>
  <c r="BG131" i="12" s="1"/>
  <c r="BF126" i="12"/>
  <c r="BF131" i="12" s="1"/>
  <c r="BE126" i="12"/>
  <c r="BE131" i="12" s="1"/>
  <c r="BD126" i="12"/>
  <c r="BD131" i="12" s="1"/>
  <c r="BC126" i="12"/>
  <c r="BC131" i="12" s="1"/>
  <c r="BB126" i="12"/>
  <c r="BB131" i="12" s="1"/>
  <c r="BA126" i="12"/>
  <c r="BA131" i="12" s="1"/>
  <c r="AZ126" i="12"/>
  <c r="AZ131" i="12" s="1"/>
  <c r="AY126" i="12"/>
  <c r="AY131" i="12" s="1"/>
  <c r="AX126" i="12"/>
  <c r="AX131" i="12" s="1"/>
  <c r="AW126" i="12"/>
  <c r="AW131" i="12" s="1"/>
  <c r="AV126" i="12"/>
  <c r="AV131" i="12" s="1"/>
  <c r="AU126" i="12"/>
  <c r="AU131" i="12" s="1"/>
  <c r="AT126" i="12"/>
  <c r="AT131" i="12" s="1"/>
  <c r="AS126" i="12"/>
  <c r="AS131" i="12" s="1"/>
  <c r="AR126" i="12"/>
  <c r="AR131" i="12" s="1"/>
  <c r="AQ126" i="12"/>
  <c r="AQ131" i="12" s="1"/>
  <c r="AP126" i="12"/>
  <c r="AP131" i="12" s="1"/>
  <c r="AO126" i="12"/>
  <c r="AO131" i="12" s="1"/>
  <c r="AN126" i="12"/>
  <c r="AN131" i="12" s="1"/>
  <c r="AM126" i="12"/>
  <c r="AM131" i="12" s="1"/>
  <c r="AL126" i="12"/>
  <c r="AL131" i="12" s="1"/>
  <c r="AK126" i="12"/>
  <c r="AK131" i="12" s="1"/>
  <c r="AJ126" i="12"/>
  <c r="AJ131" i="12" s="1"/>
  <c r="AI126" i="12"/>
  <c r="AI131" i="12" s="1"/>
  <c r="AH126" i="12"/>
  <c r="AH131" i="12" s="1"/>
  <c r="AG126" i="12"/>
  <c r="AG131" i="12" s="1"/>
  <c r="AF126" i="12"/>
  <c r="AF131" i="12" s="1"/>
  <c r="AE126" i="12"/>
  <c r="AE131" i="12" s="1"/>
  <c r="AD126" i="12"/>
  <c r="AD131" i="12" s="1"/>
  <c r="AC126" i="12"/>
  <c r="AC131" i="12" s="1"/>
  <c r="AB126" i="12"/>
  <c r="AB131" i="12" s="1"/>
  <c r="AA126" i="12"/>
  <c r="AA131" i="12" s="1"/>
  <c r="Z126" i="12"/>
  <c r="Z131" i="12" s="1"/>
  <c r="Y126" i="12"/>
  <c r="Y131" i="12" s="1"/>
  <c r="X126" i="12"/>
  <c r="X131" i="12" s="1"/>
  <c r="W126" i="12"/>
  <c r="W131" i="12" s="1"/>
  <c r="V126" i="12"/>
  <c r="V131" i="12" s="1"/>
  <c r="U126" i="12"/>
  <c r="U131" i="12" s="1"/>
  <c r="S126" i="12"/>
  <c r="S131" i="12" s="1"/>
  <c r="R126" i="12"/>
  <c r="R131" i="12" s="1"/>
  <c r="Q126" i="12"/>
  <c r="Q131" i="12" s="1"/>
  <c r="P126" i="12"/>
  <c r="P131" i="12" s="1"/>
  <c r="O126" i="12"/>
  <c r="O131" i="12" s="1"/>
  <c r="N126" i="12"/>
  <c r="N131" i="12" s="1"/>
  <c r="M126" i="12"/>
  <c r="M131" i="12" s="1"/>
  <c r="L126" i="12"/>
  <c r="L131" i="12" s="1"/>
  <c r="K126" i="12"/>
  <c r="K131" i="12" s="1"/>
  <c r="J126" i="12"/>
  <c r="J131" i="12" s="1"/>
  <c r="I126" i="12"/>
  <c r="I131" i="12" s="1"/>
  <c r="H126" i="12"/>
  <c r="H131" i="12" s="1"/>
  <c r="G126" i="12"/>
  <c r="G131" i="12" s="1"/>
  <c r="F126" i="12"/>
  <c r="F131" i="12" s="1"/>
  <c r="E126" i="12"/>
  <c r="E131" i="12" s="1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H111" i="12"/>
  <c r="D119" i="12" s="1"/>
  <c r="BX110" i="12"/>
  <c r="BW110" i="12"/>
  <c r="BW116" i="12" s="1"/>
  <c r="BV110" i="12"/>
  <c r="BV116" i="12" s="1"/>
  <c r="BU110" i="12"/>
  <c r="BU116" i="12" s="1"/>
  <c r="BT110" i="12"/>
  <c r="BT116" i="12" s="1"/>
  <c r="BS110" i="12"/>
  <c r="BS116" i="12" s="1"/>
  <c r="BR110" i="12"/>
  <c r="BR116" i="12" s="1"/>
  <c r="BQ110" i="12"/>
  <c r="BQ116" i="12" s="1"/>
  <c r="BP110" i="12"/>
  <c r="BP116" i="12" s="1"/>
  <c r="BO110" i="12"/>
  <c r="BO116" i="12" s="1"/>
  <c r="BN110" i="12"/>
  <c r="BN116" i="12" s="1"/>
  <c r="BM110" i="12"/>
  <c r="BM116" i="12" s="1"/>
  <c r="BL110" i="12"/>
  <c r="BL116" i="12" s="1"/>
  <c r="BK110" i="12"/>
  <c r="BK116" i="12" s="1"/>
  <c r="BJ110" i="12"/>
  <c r="BJ116" i="12" s="1"/>
  <c r="BI110" i="12"/>
  <c r="BI116" i="12" s="1"/>
  <c r="BH110" i="12"/>
  <c r="BH116" i="12" s="1"/>
  <c r="BG110" i="12"/>
  <c r="BG116" i="12" s="1"/>
  <c r="BF110" i="12"/>
  <c r="BF116" i="12" s="1"/>
  <c r="BE110" i="12"/>
  <c r="BE116" i="12" s="1"/>
  <c r="BD110" i="12"/>
  <c r="BD116" i="12" s="1"/>
  <c r="BC110" i="12"/>
  <c r="BC116" i="12" s="1"/>
  <c r="BB110" i="12"/>
  <c r="BB116" i="12" s="1"/>
  <c r="BA110" i="12"/>
  <c r="BA116" i="12" s="1"/>
  <c r="AZ110" i="12"/>
  <c r="AZ116" i="12" s="1"/>
  <c r="AY110" i="12"/>
  <c r="AY116" i="12" s="1"/>
  <c r="AX110" i="12"/>
  <c r="AX116" i="12" s="1"/>
  <c r="AW110" i="12"/>
  <c r="AW116" i="12" s="1"/>
  <c r="AV110" i="12"/>
  <c r="AV116" i="12" s="1"/>
  <c r="AU110" i="12"/>
  <c r="AU116" i="12" s="1"/>
  <c r="AT110" i="12"/>
  <c r="AT116" i="12" s="1"/>
  <c r="AS110" i="12"/>
  <c r="AS116" i="12" s="1"/>
  <c r="AR110" i="12"/>
  <c r="AR116" i="12" s="1"/>
  <c r="AQ110" i="12"/>
  <c r="AQ116" i="12" s="1"/>
  <c r="AP110" i="12"/>
  <c r="AP116" i="12" s="1"/>
  <c r="AO110" i="12"/>
  <c r="AO116" i="12" s="1"/>
  <c r="AN110" i="12"/>
  <c r="AN116" i="12" s="1"/>
  <c r="AM110" i="12"/>
  <c r="AM116" i="12" s="1"/>
  <c r="AL110" i="12"/>
  <c r="AL116" i="12" s="1"/>
  <c r="AK110" i="12"/>
  <c r="AK116" i="12" s="1"/>
  <c r="AJ110" i="12"/>
  <c r="AJ116" i="12" s="1"/>
  <c r="AI110" i="12"/>
  <c r="AI116" i="12" s="1"/>
  <c r="AH110" i="12"/>
  <c r="AH116" i="12" s="1"/>
  <c r="AG110" i="12"/>
  <c r="AG116" i="12" s="1"/>
  <c r="AF110" i="12"/>
  <c r="AF116" i="12" s="1"/>
  <c r="AE110" i="12"/>
  <c r="AE116" i="12" s="1"/>
  <c r="AD110" i="12"/>
  <c r="AD116" i="12" s="1"/>
  <c r="AC110" i="12"/>
  <c r="AC116" i="12" s="1"/>
  <c r="AB110" i="12"/>
  <c r="AB116" i="12" s="1"/>
  <c r="AA110" i="12"/>
  <c r="AA116" i="12" s="1"/>
  <c r="Z110" i="12"/>
  <c r="Z116" i="12" s="1"/>
  <c r="Y110" i="12"/>
  <c r="Y116" i="12" s="1"/>
  <c r="X110" i="12"/>
  <c r="X116" i="12" s="1"/>
  <c r="W110" i="12"/>
  <c r="W116" i="12" s="1"/>
  <c r="V110" i="12"/>
  <c r="V116" i="12" s="1"/>
  <c r="U110" i="12"/>
  <c r="U116" i="12" s="1"/>
  <c r="S110" i="12"/>
  <c r="S116" i="12" s="1"/>
  <c r="R110" i="12"/>
  <c r="R116" i="12" s="1"/>
  <c r="Q110" i="12"/>
  <c r="Q116" i="12" s="1"/>
  <c r="P110" i="12"/>
  <c r="P116" i="12" s="1"/>
  <c r="O110" i="12"/>
  <c r="O116" i="12" s="1"/>
  <c r="N110" i="12"/>
  <c r="N116" i="12" s="1"/>
  <c r="M110" i="12"/>
  <c r="M116" i="12" s="1"/>
  <c r="L110" i="12"/>
  <c r="L116" i="12" s="1"/>
  <c r="K110" i="12"/>
  <c r="K116" i="12" s="1"/>
  <c r="J110" i="12"/>
  <c r="J116" i="12" s="1"/>
  <c r="I110" i="12"/>
  <c r="I116" i="12" s="1"/>
  <c r="G110" i="12"/>
  <c r="G116" i="12" s="1"/>
  <c r="F110" i="12"/>
  <c r="F116" i="12" s="1"/>
  <c r="E110" i="12"/>
  <c r="E116" i="12" s="1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S102" i="12"/>
  <c r="R102" i="12"/>
  <c r="Q102" i="12"/>
  <c r="P102" i="12"/>
  <c r="O102" i="12"/>
  <c r="N102" i="12"/>
  <c r="M102" i="12"/>
  <c r="L102" i="12"/>
  <c r="K102" i="12"/>
  <c r="J102" i="12"/>
  <c r="I102" i="12"/>
  <c r="G102" i="12"/>
  <c r="F102" i="12"/>
  <c r="E102" i="12"/>
  <c r="G98" i="12"/>
  <c r="BY94" i="12"/>
  <c r="BY93" i="12"/>
  <c r="BY92" i="12"/>
  <c r="BY91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O88" i="12"/>
  <c r="N88" i="12"/>
  <c r="M88" i="12"/>
  <c r="L88" i="12"/>
  <c r="K88" i="12"/>
  <c r="J88" i="12"/>
  <c r="I88" i="12"/>
  <c r="H88" i="12"/>
  <c r="G88" i="12"/>
  <c r="F88" i="12"/>
  <c r="E88" i="12"/>
  <c r="BY87" i="12"/>
  <c r="BY86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BY84" i="12"/>
  <c r="BY83" i="12"/>
  <c r="BY82" i="12"/>
  <c r="BY81" i="12"/>
  <c r="BY79" i="12"/>
  <c r="BY78" i="12"/>
  <c r="BY77" i="12"/>
  <c r="BY76" i="12"/>
  <c r="BY75" i="12"/>
  <c r="BY74" i="12"/>
  <c r="BY73" i="12"/>
  <c r="BY72" i="12"/>
  <c r="BY71" i="12"/>
  <c r="BY70" i="12"/>
  <c r="BY69" i="12"/>
  <c r="BY68" i="12"/>
  <c r="BY67" i="12"/>
  <c r="BY66" i="12"/>
  <c r="BY65" i="12"/>
  <c r="BY64" i="12"/>
  <c r="BY63" i="12"/>
  <c r="BY62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BY59" i="12"/>
  <c r="D59" i="12"/>
  <c r="J58" i="12"/>
  <c r="BY58" i="12" s="1"/>
  <c r="BY57" i="12"/>
  <c r="BY56" i="12"/>
  <c r="BY54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J53" i="12"/>
  <c r="I53" i="12"/>
  <c r="H53" i="12"/>
  <c r="G53" i="12"/>
  <c r="F53" i="12"/>
  <c r="E53" i="12"/>
  <c r="BY52" i="12"/>
  <c r="H51" i="12"/>
  <c r="H47" i="12" s="1"/>
  <c r="BY50" i="12"/>
  <c r="BY49" i="12"/>
  <c r="K48" i="12"/>
  <c r="BY48" i="12" s="1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G47" i="12"/>
  <c r="F47" i="12"/>
  <c r="E47" i="12"/>
  <c r="BY45" i="12"/>
  <c r="H44" i="12"/>
  <c r="CB43" i="12"/>
  <c r="H43" i="12"/>
  <c r="CB42" i="12"/>
  <c r="CB84" i="12" s="1" a="1"/>
  <c r="CB84" i="12" s="1"/>
  <c r="H42" i="12"/>
  <c r="CB40" i="12"/>
  <c r="CB83" i="12" s="1"/>
  <c r="CB39" i="12"/>
  <c r="CB82" i="12" s="1"/>
  <c r="CB38" i="12"/>
  <c r="CB81" i="12" s="1"/>
  <c r="K38" i="12"/>
  <c r="J38" i="12"/>
  <c r="I38" i="12"/>
  <c r="BY38" i="12" s="1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H37" i="12"/>
  <c r="G37" i="12"/>
  <c r="F37" i="12"/>
  <c r="E37" i="12"/>
  <c r="CB36" i="12"/>
  <c r="CB79" i="12" s="1"/>
  <c r="BY36" i="12"/>
  <c r="CB35" i="12"/>
  <c r="CB78" i="12" s="1"/>
  <c r="BY35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CB33" i="12"/>
  <c r="CB76" i="12" s="1"/>
  <c r="BY33" i="12"/>
  <c r="CB32" i="12"/>
  <c r="CB75" i="12" s="1"/>
  <c r="CB31" i="12"/>
  <c r="CB74" i="12" s="1"/>
  <c r="H31" i="12"/>
  <c r="BY31" i="12" s="1"/>
  <c r="CB30" i="12"/>
  <c r="CB73" i="12" s="1"/>
  <c r="BY30" i="12"/>
  <c r="CB29" i="12"/>
  <c r="CB72" i="12" s="1"/>
  <c r="BY29" i="12"/>
  <c r="CB28" i="12"/>
  <c r="CB71" i="12" s="1"/>
  <c r="BY28" i="12"/>
  <c r="CB27" i="12"/>
  <c r="CB70" i="12" s="1"/>
  <c r="P27" i="12"/>
  <c r="O27" i="12"/>
  <c r="N27" i="12"/>
  <c r="M27" i="12"/>
  <c r="L27" i="12"/>
  <c r="K27" i="12"/>
  <c r="BY27" i="12" s="1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G26" i="12"/>
  <c r="F26" i="12"/>
  <c r="E26" i="12"/>
  <c r="CB25" i="12"/>
  <c r="CB68" i="12" s="1"/>
  <c r="K25" i="12"/>
  <c r="BY25" i="12" s="1"/>
  <c r="CB24" i="12"/>
  <c r="CB67" i="12" s="1"/>
  <c r="K24" i="12"/>
  <c r="I24" i="12"/>
  <c r="BY24" i="12" s="1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H23" i="12"/>
  <c r="G23" i="12"/>
  <c r="F23" i="12"/>
  <c r="E23" i="12"/>
  <c r="BY22" i="12"/>
  <c r="BY21" i="12"/>
  <c r="BY20" i="12"/>
  <c r="BY19" i="12"/>
  <c r="I18" i="12"/>
  <c r="H18" i="12"/>
  <c r="BY18" i="12" s="1"/>
  <c r="BY17" i="12"/>
  <c r="BX17" i="12"/>
  <c r="BW17" i="12"/>
  <c r="BV17" i="12"/>
  <c r="BV96" i="12" s="1"/>
  <c r="BU17" i="12"/>
  <c r="BT17" i="12"/>
  <c r="BS17" i="12"/>
  <c r="BR17" i="12"/>
  <c r="BQ17" i="12"/>
  <c r="BP17" i="12"/>
  <c r="BO17" i="12"/>
  <c r="BN17" i="12"/>
  <c r="BN96" i="12" s="1"/>
  <c r="BM17" i="12"/>
  <c r="BL17" i="12"/>
  <c r="BK17" i="12"/>
  <c r="BJ17" i="12"/>
  <c r="BI17" i="12"/>
  <c r="BH17" i="12"/>
  <c r="BG17" i="12"/>
  <c r="BF17" i="12"/>
  <c r="BF96" i="12" s="1"/>
  <c r="BE17" i="12"/>
  <c r="BD17" i="12"/>
  <c r="BC17" i="12"/>
  <c r="BB17" i="12"/>
  <c r="BA17" i="12"/>
  <c r="AZ17" i="12"/>
  <c r="AY17" i="12"/>
  <c r="AX17" i="12"/>
  <c r="AX96" i="12" s="1"/>
  <c r="AW17" i="12"/>
  <c r="AV17" i="12"/>
  <c r="AU17" i="12"/>
  <c r="AT17" i="12"/>
  <c r="AS17" i="12"/>
  <c r="AR17" i="12"/>
  <c r="AQ17" i="12"/>
  <c r="AP17" i="12"/>
  <c r="AP96" i="12" s="1"/>
  <c r="AO17" i="12"/>
  <c r="AN17" i="12"/>
  <c r="AM17" i="12"/>
  <c r="AL17" i="12"/>
  <c r="AK17" i="12"/>
  <c r="AJ17" i="12"/>
  <c r="AI17" i="12"/>
  <c r="AH17" i="12"/>
  <c r="AH96" i="12" s="1"/>
  <c r="AG17" i="12"/>
  <c r="AF17" i="12"/>
  <c r="AE17" i="12"/>
  <c r="AD17" i="12"/>
  <c r="AC17" i="12"/>
  <c r="AB17" i="12"/>
  <c r="AA17" i="12"/>
  <c r="Z17" i="12"/>
  <c r="Z96" i="12" s="1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BX16" i="12"/>
  <c r="BW16" i="12"/>
  <c r="BV16" i="12"/>
  <c r="BV97" i="12" s="1"/>
  <c r="BU16" i="12"/>
  <c r="BT16" i="12"/>
  <c r="BS16" i="12"/>
  <c r="BR16" i="12"/>
  <c r="BQ16" i="12"/>
  <c r="BP16" i="12"/>
  <c r="BO16" i="12"/>
  <c r="BN16" i="12"/>
  <c r="BN97" i="12" s="1"/>
  <c r="BM16" i="12"/>
  <c r="BL16" i="12"/>
  <c r="BK16" i="12"/>
  <c r="BJ16" i="12"/>
  <c r="BI16" i="12"/>
  <c r="BH16" i="12"/>
  <c r="BG16" i="12"/>
  <c r="BF16" i="12"/>
  <c r="BF97" i="12" s="1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P97" i="12" s="1"/>
  <c r="AO16" i="12"/>
  <c r="AN16" i="12"/>
  <c r="AM16" i="12"/>
  <c r="AL16" i="12"/>
  <c r="AK16" i="12"/>
  <c r="AJ16" i="12"/>
  <c r="AI16" i="12"/>
  <c r="AH16" i="12"/>
  <c r="AH97" i="12" s="1"/>
  <c r="AG16" i="12"/>
  <c r="AF16" i="12"/>
  <c r="AE16" i="12"/>
  <c r="AD16" i="12"/>
  <c r="AC16" i="12"/>
  <c r="AB16" i="12"/>
  <c r="AA16" i="12"/>
  <c r="Z16" i="12"/>
  <c r="Z97" i="12" s="1"/>
  <c r="Y16" i="12"/>
  <c r="X16" i="12"/>
  <c r="W16" i="12"/>
  <c r="V16" i="12"/>
  <c r="U16" i="12"/>
  <c r="J16" i="12"/>
  <c r="I16" i="12"/>
  <c r="G16" i="12"/>
  <c r="F16" i="12"/>
  <c r="E16" i="12"/>
  <c r="O15" i="12"/>
  <c r="K11" i="12"/>
  <c r="BY10" i="12"/>
  <c r="CB10" i="12" s="1"/>
  <c r="BY9" i="12"/>
  <c r="BY8" i="12"/>
  <c r="CB8" i="12" s="1"/>
  <c r="CB51" i="12" s="1"/>
  <c r="CA7" i="12"/>
  <c r="M11" i="12" s="1"/>
  <c r="BY7" i="12"/>
  <c r="CB7" i="12" s="1"/>
  <c r="CB50" i="12" s="1"/>
  <c r="CA6" i="12"/>
  <c r="BY6" i="12"/>
  <c r="H5" i="12"/>
  <c r="C128" i="11"/>
  <c r="F103" i="11"/>
  <c r="B103" i="11"/>
  <c r="B102" i="11"/>
  <c r="B99" i="11"/>
  <c r="F88" i="11"/>
  <c r="F87" i="11"/>
  <c r="F82" i="11"/>
  <c r="F79" i="11"/>
  <c r="B71" i="11"/>
  <c r="B70" i="11"/>
  <c r="B69" i="11"/>
  <c r="B68" i="11"/>
  <c r="B67" i="11"/>
  <c r="B66" i="11"/>
  <c r="B65" i="11"/>
  <c r="B63" i="11"/>
  <c r="B62" i="11"/>
  <c r="F59" i="11"/>
  <c r="F58" i="11"/>
  <c r="B58" i="11"/>
  <c r="B57" i="11"/>
  <c r="B55" i="11"/>
  <c r="B50" i="11"/>
  <c r="R49" i="11"/>
  <c r="R50" i="11" s="1"/>
  <c r="R51" i="11" s="1"/>
  <c r="R52" i="11" s="1"/>
  <c r="B49" i="11"/>
  <c r="B47" i="11"/>
  <c r="F42" i="11"/>
  <c r="B41" i="11"/>
  <c r="B38" i="11"/>
  <c r="F37" i="11"/>
  <c r="B37" i="11"/>
  <c r="F36" i="11"/>
  <c r="F35" i="11"/>
  <c r="B35" i="11"/>
  <c r="B29" i="11"/>
  <c r="B27" i="11"/>
  <c r="J22" i="11"/>
  <c r="J23" i="11" s="1"/>
  <c r="B22" i="11"/>
  <c r="F19" i="11"/>
  <c r="C23" i="11" s="1"/>
  <c r="B19" i="11"/>
  <c r="B17" i="11"/>
  <c r="Q39" i="11" s="1"/>
  <c r="M16" i="11"/>
  <c r="K16" i="11"/>
  <c r="J16" i="11"/>
  <c r="I16" i="11"/>
  <c r="M15" i="11"/>
  <c r="K15" i="11"/>
  <c r="J15" i="11"/>
  <c r="I15" i="11"/>
  <c r="R14" i="11"/>
  <c r="K14" i="11"/>
  <c r="J14" i="11"/>
  <c r="I14" i="11"/>
  <c r="K13" i="11"/>
  <c r="J13" i="11"/>
  <c r="I13" i="11"/>
  <c r="B13" i="11"/>
  <c r="K12" i="11"/>
  <c r="J12" i="11"/>
  <c r="I12" i="11"/>
  <c r="B12" i="11"/>
  <c r="K11" i="11"/>
  <c r="J11" i="11"/>
  <c r="I11" i="11"/>
  <c r="B11" i="11"/>
  <c r="N10" i="11"/>
  <c r="M10" i="11"/>
  <c r="K10" i="11"/>
  <c r="J10" i="11"/>
  <c r="I10" i="11"/>
  <c r="F10" i="11"/>
  <c r="B10" i="11"/>
  <c r="M9" i="11"/>
  <c r="L9" i="11"/>
  <c r="K9" i="11"/>
  <c r="J9" i="11"/>
  <c r="I9" i="11"/>
  <c r="F9" i="11"/>
  <c r="M8" i="11"/>
  <c r="K8" i="11"/>
  <c r="J8" i="11"/>
  <c r="I8" i="11"/>
  <c r="F8" i="11"/>
  <c r="B8" i="11"/>
  <c r="Q36" i="11" s="1"/>
  <c r="R8" i="8" a="1"/>
  <c r="R8" i="8"/>
  <c r="S8" i="8" s="1"/>
  <c r="C8" i="8" a="1"/>
  <c r="C8" i="8"/>
  <c r="D8" i="8" s="1"/>
  <c r="W205" i="7"/>
  <c r="V205" i="7"/>
  <c r="U205" i="7"/>
  <c r="T205" i="7"/>
  <c r="S205" i="7"/>
  <c r="D193" i="7"/>
  <c r="BX186" i="7"/>
  <c r="BW186" i="7"/>
  <c r="BV186" i="7"/>
  <c r="BU186" i="7"/>
  <c r="BT186" i="7"/>
  <c r="BS186" i="7"/>
  <c r="BR186" i="7"/>
  <c r="BQ186" i="7"/>
  <c r="BP186" i="7"/>
  <c r="BO186" i="7"/>
  <c r="BN186" i="7"/>
  <c r="BM186" i="7"/>
  <c r="BL186" i="7"/>
  <c r="BK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E186" i="7"/>
  <c r="AD186" i="7"/>
  <c r="AC186" i="7"/>
  <c r="AB186" i="7"/>
  <c r="Z186" i="7"/>
  <c r="Y186" i="7"/>
  <c r="X186" i="7"/>
  <c r="W186" i="7"/>
  <c r="V186" i="7"/>
  <c r="U186" i="7"/>
  <c r="T186" i="7"/>
  <c r="S186" i="7"/>
  <c r="S189" i="7" s="1"/>
  <c r="R186" i="7"/>
  <c r="R189" i="7" s="1"/>
  <c r="Q186" i="7"/>
  <c r="Q189" i="7" s="1"/>
  <c r="P186" i="7"/>
  <c r="P189" i="7" s="1"/>
  <c r="O186" i="7"/>
  <c r="O189" i="7" s="1"/>
  <c r="N186" i="7"/>
  <c r="N189" i="7" s="1"/>
  <c r="M186" i="7"/>
  <c r="M189" i="7" s="1"/>
  <c r="L186" i="7"/>
  <c r="L189" i="7" s="1"/>
  <c r="K186" i="7"/>
  <c r="K189" i="7" s="1"/>
  <c r="J186" i="7"/>
  <c r="J189" i="7" s="1"/>
  <c r="I186" i="7"/>
  <c r="I189" i="7" s="1"/>
  <c r="H186" i="7"/>
  <c r="G186" i="7"/>
  <c r="F186" i="7"/>
  <c r="E186" i="7"/>
  <c r="BX184" i="7"/>
  <c r="BW184" i="7"/>
  <c r="BW189" i="7" s="1"/>
  <c r="BV184" i="7"/>
  <c r="BV189" i="7" s="1"/>
  <c r="BU184" i="7"/>
  <c r="BU189" i="7" s="1"/>
  <c r="BT184" i="7"/>
  <c r="BT189" i="7" s="1"/>
  <c r="BS184" i="7"/>
  <c r="BS189" i="7" s="1"/>
  <c r="BR184" i="7"/>
  <c r="BR189" i="7" s="1"/>
  <c r="BQ184" i="7"/>
  <c r="BQ189" i="7" s="1"/>
  <c r="BP184" i="7"/>
  <c r="BP189" i="7" s="1"/>
  <c r="BO184" i="7"/>
  <c r="BO189" i="7" s="1"/>
  <c r="BN184" i="7"/>
  <c r="BN189" i="7" s="1"/>
  <c r="BM184" i="7"/>
  <c r="BM189" i="7" s="1"/>
  <c r="BL184" i="7"/>
  <c r="BL189" i="7" s="1"/>
  <c r="BK184" i="7"/>
  <c r="BK189" i="7" s="1"/>
  <c r="BJ184" i="7"/>
  <c r="BJ189" i="7" s="1"/>
  <c r="BI184" i="7"/>
  <c r="BI189" i="7" s="1"/>
  <c r="BH184" i="7"/>
  <c r="BH189" i="7" s="1"/>
  <c r="BG184" i="7"/>
  <c r="BG189" i="7" s="1"/>
  <c r="BF184" i="7"/>
  <c r="BF189" i="7" s="1"/>
  <c r="BE184" i="7"/>
  <c r="BE189" i="7" s="1"/>
  <c r="BD184" i="7"/>
  <c r="BD189" i="7" s="1"/>
  <c r="BC184" i="7"/>
  <c r="BC189" i="7" s="1"/>
  <c r="BB184" i="7"/>
  <c r="BB189" i="7" s="1"/>
  <c r="BA184" i="7"/>
  <c r="BA189" i="7" s="1"/>
  <c r="AZ184" i="7"/>
  <c r="AZ189" i="7" s="1"/>
  <c r="AY184" i="7"/>
  <c r="AY189" i="7" s="1"/>
  <c r="AX184" i="7"/>
  <c r="AX189" i="7" s="1"/>
  <c r="AW184" i="7"/>
  <c r="AW189" i="7" s="1"/>
  <c r="AV184" i="7"/>
  <c r="AV189" i="7" s="1"/>
  <c r="AU184" i="7"/>
  <c r="AU189" i="7" s="1"/>
  <c r="AT184" i="7"/>
  <c r="AT189" i="7" s="1"/>
  <c r="AS184" i="7"/>
  <c r="AS189" i="7" s="1"/>
  <c r="AR184" i="7"/>
  <c r="AR189" i="7" s="1"/>
  <c r="AQ184" i="7"/>
  <c r="AQ189" i="7" s="1"/>
  <c r="AP184" i="7"/>
  <c r="AP189" i="7" s="1"/>
  <c r="AO184" i="7"/>
  <c r="AO189" i="7" s="1"/>
  <c r="AN184" i="7"/>
  <c r="AN189" i="7" s="1"/>
  <c r="AM184" i="7"/>
  <c r="AM189" i="7" s="1"/>
  <c r="AL184" i="7"/>
  <c r="AL189" i="7" s="1"/>
  <c r="AK184" i="7"/>
  <c r="AK189" i="7" s="1"/>
  <c r="AK190" i="7" s="1"/>
  <c r="AL190" i="7" s="1"/>
  <c r="AM190" i="7" s="1"/>
  <c r="AN190" i="7" s="1"/>
  <c r="AO190" i="7" s="1"/>
  <c r="AP190" i="7" s="1"/>
  <c r="AQ190" i="7" s="1"/>
  <c r="AR190" i="7" s="1"/>
  <c r="AS190" i="7" s="1"/>
  <c r="AT190" i="7" s="1"/>
  <c r="AU190" i="7" s="1"/>
  <c r="AV190" i="7" s="1"/>
  <c r="AW190" i="7" s="1"/>
  <c r="AX190" i="7" s="1"/>
  <c r="AY190" i="7" s="1"/>
  <c r="AZ190" i="7" s="1"/>
  <c r="BA190" i="7" s="1"/>
  <c r="BB190" i="7" s="1"/>
  <c r="BC190" i="7" s="1"/>
  <c r="BD190" i="7" s="1"/>
  <c r="BE190" i="7" s="1"/>
  <c r="BF190" i="7" s="1"/>
  <c r="BG190" i="7" s="1"/>
  <c r="BH190" i="7" s="1"/>
  <c r="BI190" i="7" s="1"/>
  <c r="BJ190" i="7" s="1"/>
  <c r="BK190" i="7" s="1"/>
  <c r="BL190" i="7" s="1"/>
  <c r="BM190" i="7" s="1"/>
  <c r="BN190" i="7" s="1"/>
  <c r="BO190" i="7" s="1"/>
  <c r="BP190" i="7" s="1"/>
  <c r="BQ190" i="7" s="1"/>
  <c r="BR190" i="7" s="1"/>
  <c r="BS190" i="7" s="1"/>
  <c r="BT190" i="7" s="1"/>
  <c r="BU190" i="7" s="1"/>
  <c r="BV190" i="7" s="1"/>
  <c r="BW190" i="7" s="1"/>
  <c r="AE184" i="7"/>
  <c r="AE189" i="7" s="1"/>
  <c r="AD184" i="7"/>
  <c r="AD189" i="7" s="1"/>
  <c r="AC184" i="7"/>
  <c r="AC189" i="7" s="1"/>
  <c r="AB184" i="7"/>
  <c r="AB189" i="7" s="1"/>
  <c r="AB190" i="7" s="1"/>
  <c r="AC190" i="7" s="1"/>
  <c r="AD190" i="7" s="1"/>
  <c r="AE190" i="7" s="1"/>
  <c r="Z184" i="7"/>
  <c r="Z189" i="7" s="1"/>
  <c r="Y184" i="7"/>
  <c r="Y189" i="7" s="1"/>
  <c r="X184" i="7"/>
  <c r="X189" i="7" s="1"/>
  <c r="W184" i="7"/>
  <c r="W189" i="7" s="1"/>
  <c r="V184" i="7"/>
  <c r="V189" i="7" s="1"/>
  <c r="U184" i="7"/>
  <c r="U189" i="7" s="1"/>
  <c r="T184" i="7"/>
  <c r="H184" i="7"/>
  <c r="H189" i="7" s="1"/>
  <c r="G184" i="7"/>
  <c r="G189" i="7" s="1"/>
  <c r="F184" i="7"/>
  <c r="F189" i="7" s="1"/>
  <c r="E184" i="7"/>
  <c r="E189" i="7" s="1"/>
  <c r="D177" i="7"/>
  <c r="BX170" i="7"/>
  <c r="BW170" i="7"/>
  <c r="BV1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E170" i="7"/>
  <c r="AD170" i="7"/>
  <c r="AC170" i="7"/>
  <c r="AB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BX168" i="7"/>
  <c r="BW168" i="7"/>
  <c r="BW173" i="7" s="1"/>
  <c r="BV168" i="7"/>
  <c r="BV173" i="7" s="1"/>
  <c r="BU168" i="7"/>
  <c r="BU173" i="7" s="1"/>
  <c r="BT168" i="7"/>
  <c r="BT173" i="7" s="1"/>
  <c r="BS168" i="7"/>
  <c r="BS173" i="7" s="1"/>
  <c r="BR168" i="7"/>
  <c r="BR173" i="7" s="1"/>
  <c r="BQ168" i="7"/>
  <c r="BQ173" i="7" s="1"/>
  <c r="BP168" i="7"/>
  <c r="BP173" i="7" s="1"/>
  <c r="BO168" i="7"/>
  <c r="BO173" i="7" s="1"/>
  <c r="BN168" i="7"/>
  <c r="BN173" i="7" s="1"/>
  <c r="BM168" i="7"/>
  <c r="BM173" i="7" s="1"/>
  <c r="BL168" i="7"/>
  <c r="BL173" i="7" s="1"/>
  <c r="BK168" i="7"/>
  <c r="BK173" i="7" s="1"/>
  <c r="BJ168" i="7"/>
  <c r="BJ173" i="7" s="1"/>
  <c r="BI168" i="7"/>
  <c r="BI173" i="7" s="1"/>
  <c r="BH168" i="7"/>
  <c r="BH173" i="7" s="1"/>
  <c r="BG168" i="7"/>
  <c r="BG173" i="7" s="1"/>
  <c r="BF168" i="7"/>
  <c r="BF173" i="7" s="1"/>
  <c r="BE168" i="7"/>
  <c r="BE173" i="7" s="1"/>
  <c r="BD168" i="7"/>
  <c r="BD173" i="7" s="1"/>
  <c r="BC168" i="7"/>
  <c r="BC173" i="7" s="1"/>
  <c r="BB168" i="7"/>
  <c r="BB173" i="7" s="1"/>
  <c r="BA168" i="7"/>
  <c r="BA173" i="7" s="1"/>
  <c r="AZ168" i="7"/>
  <c r="AZ173" i="7" s="1"/>
  <c r="AY168" i="7"/>
  <c r="AY173" i="7" s="1"/>
  <c r="AX168" i="7"/>
  <c r="AX173" i="7" s="1"/>
  <c r="AW168" i="7"/>
  <c r="AW173" i="7" s="1"/>
  <c r="AV168" i="7"/>
  <c r="AV173" i="7" s="1"/>
  <c r="AU168" i="7"/>
  <c r="AU173" i="7" s="1"/>
  <c r="AT168" i="7"/>
  <c r="AT173" i="7" s="1"/>
  <c r="AS168" i="7"/>
  <c r="AS173" i="7" s="1"/>
  <c r="AR168" i="7"/>
  <c r="AR173" i="7" s="1"/>
  <c r="AQ168" i="7"/>
  <c r="AQ173" i="7" s="1"/>
  <c r="AP168" i="7"/>
  <c r="AP173" i="7" s="1"/>
  <c r="AO168" i="7"/>
  <c r="AO173" i="7" s="1"/>
  <c r="AN168" i="7"/>
  <c r="AN173" i="7" s="1"/>
  <c r="AM168" i="7"/>
  <c r="AM173" i="7" s="1"/>
  <c r="AL168" i="7"/>
  <c r="AL173" i="7" s="1"/>
  <c r="AK168" i="7"/>
  <c r="AK173" i="7" s="1"/>
  <c r="AK174" i="7" s="1"/>
  <c r="AL174" i="7" s="1"/>
  <c r="AM174" i="7" s="1"/>
  <c r="AN174" i="7" s="1"/>
  <c r="AO174" i="7" s="1"/>
  <c r="AP174" i="7" s="1"/>
  <c r="AQ174" i="7" s="1"/>
  <c r="AR174" i="7" s="1"/>
  <c r="AS174" i="7" s="1"/>
  <c r="AT174" i="7" s="1"/>
  <c r="AU174" i="7" s="1"/>
  <c r="AV174" i="7" s="1"/>
  <c r="AW174" i="7" s="1"/>
  <c r="AX174" i="7" s="1"/>
  <c r="AY174" i="7" s="1"/>
  <c r="AZ174" i="7" s="1"/>
  <c r="BA174" i="7" s="1"/>
  <c r="BB174" i="7" s="1"/>
  <c r="BC174" i="7" s="1"/>
  <c r="BD174" i="7" s="1"/>
  <c r="BE174" i="7" s="1"/>
  <c r="BF174" i="7" s="1"/>
  <c r="BG174" i="7" s="1"/>
  <c r="BH174" i="7" s="1"/>
  <c r="BI174" i="7" s="1"/>
  <c r="BJ174" i="7" s="1"/>
  <c r="BK174" i="7" s="1"/>
  <c r="BL174" i="7" s="1"/>
  <c r="BM174" i="7" s="1"/>
  <c r="BN174" i="7" s="1"/>
  <c r="BO174" i="7" s="1"/>
  <c r="BP174" i="7" s="1"/>
  <c r="BQ174" i="7" s="1"/>
  <c r="BR174" i="7" s="1"/>
  <c r="BS174" i="7" s="1"/>
  <c r="BT174" i="7" s="1"/>
  <c r="BU174" i="7" s="1"/>
  <c r="BV174" i="7" s="1"/>
  <c r="BW174" i="7" s="1"/>
  <c r="AE168" i="7"/>
  <c r="AE173" i="7" s="1"/>
  <c r="AD168" i="7"/>
  <c r="AD173" i="7" s="1"/>
  <c r="AC168" i="7"/>
  <c r="AC173" i="7" s="1"/>
  <c r="AB168" i="7"/>
  <c r="AB173" i="7" s="1"/>
  <c r="AB174" i="7" s="1"/>
  <c r="AC174" i="7" s="1"/>
  <c r="AD174" i="7" s="1"/>
  <c r="AE174" i="7" s="1"/>
  <c r="Z168" i="7"/>
  <c r="Z173" i="7" s="1"/>
  <c r="Y168" i="7"/>
  <c r="Y173" i="7" s="1"/>
  <c r="X168" i="7"/>
  <c r="X173" i="7" s="1"/>
  <c r="W168" i="7"/>
  <c r="W173" i="7" s="1"/>
  <c r="V168" i="7"/>
  <c r="V173" i="7" s="1"/>
  <c r="U168" i="7"/>
  <c r="U173" i="7" s="1"/>
  <c r="T168" i="7"/>
  <c r="S168" i="7"/>
  <c r="S173" i="7" s="1"/>
  <c r="R168" i="7"/>
  <c r="R173" i="7" s="1"/>
  <c r="Q168" i="7"/>
  <c r="Q173" i="7" s="1"/>
  <c r="P168" i="7"/>
  <c r="P173" i="7" s="1"/>
  <c r="O168" i="7"/>
  <c r="O173" i="7" s="1"/>
  <c r="N168" i="7"/>
  <c r="N173" i="7" s="1"/>
  <c r="M168" i="7"/>
  <c r="M173" i="7" s="1"/>
  <c r="L168" i="7"/>
  <c r="L173" i="7" s="1"/>
  <c r="K168" i="7"/>
  <c r="K173" i="7" s="1"/>
  <c r="J168" i="7"/>
  <c r="J173" i="7" s="1"/>
  <c r="I168" i="7"/>
  <c r="I173" i="7" s="1"/>
  <c r="H168" i="7"/>
  <c r="H173" i="7" s="1"/>
  <c r="G168" i="7"/>
  <c r="G173" i="7" s="1"/>
  <c r="F168" i="7"/>
  <c r="F173" i="7" s="1"/>
  <c r="E168" i="7"/>
  <c r="E173" i="7" s="1"/>
  <c r="D161" i="7"/>
  <c r="T155" i="7"/>
  <c r="BX154" i="7"/>
  <c r="BW154" i="7"/>
  <c r="BV154" i="7"/>
  <c r="BU154" i="7"/>
  <c r="BT154" i="7"/>
  <c r="BS154" i="7"/>
  <c r="BR154" i="7"/>
  <c r="BQ154" i="7"/>
  <c r="BP154" i="7"/>
  <c r="BO154" i="7"/>
  <c r="BN154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E154" i="7"/>
  <c r="AD154" i="7"/>
  <c r="AC154" i="7"/>
  <c r="AB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K157" i="7" s="1"/>
  <c r="J154" i="7"/>
  <c r="I154" i="7"/>
  <c r="I157" i="7" s="1"/>
  <c r="H154" i="7"/>
  <c r="G154" i="7"/>
  <c r="F154" i="7"/>
  <c r="E154" i="7"/>
  <c r="BX152" i="7"/>
  <c r="BW152" i="7"/>
  <c r="BW157" i="7" s="1"/>
  <c r="BV152" i="7"/>
  <c r="BV157" i="7" s="1"/>
  <c r="BU152" i="7"/>
  <c r="BU157" i="7" s="1"/>
  <c r="BT152" i="7"/>
  <c r="BT157" i="7" s="1"/>
  <c r="BS152" i="7"/>
  <c r="BS157" i="7" s="1"/>
  <c r="BR152" i="7"/>
  <c r="BR157" i="7" s="1"/>
  <c r="BQ152" i="7"/>
  <c r="BQ157" i="7" s="1"/>
  <c r="BP152" i="7"/>
  <c r="BP157" i="7" s="1"/>
  <c r="BO152" i="7"/>
  <c r="BO157" i="7" s="1"/>
  <c r="BN152" i="7"/>
  <c r="BN157" i="7" s="1"/>
  <c r="BM152" i="7"/>
  <c r="BM157" i="7" s="1"/>
  <c r="BL152" i="7"/>
  <c r="BL157" i="7" s="1"/>
  <c r="BK152" i="7"/>
  <c r="BK157" i="7" s="1"/>
  <c r="BJ152" i="7"/>
  <c r="BJ157" i="7" s="1"/>
  <c r="BI152" i="7"/>
  <c r="BI157" i="7" s="1"/>
  <c r="BH152" i="7"/>
  <c r="BH157" i="7" s="1"/>
  <c r="BG152" i="7"/>
  <c r="BG157" i="7" s="1"/>
  <c r="BF152" i="7"/>
  <c r="BF157" i="7" s="1"/>
  <c r="BE152" i="7"/>
  <c r="BE157" i="7" s="1"/>
  <c r="BD152" i="7"/>
  <c r="BD157" i="7" s="1"/>
  <c r="BC152" i="7"/>
  <c r="BC157" i="7" s="1"/>
  <c r="BB152" i="7"/>
  <c r="BB157" i="7" s="1"/>
  <c r="BA152" i="7"/>
  <c r="BA157" i="7" s="1"/>
  <c r="AZ152" i="7"/>
  <c r="AZ157" i="7" s="1"/>
  <c r="AY152" i="7"/>
  <c r="AY157" i="7" s="1"/>
  <c r="AX152" i="7"/>
  <c r="AX157" i="7" s="1"/>
  <c r="AW152" i="7"/>
  <c r="AW157" i="7" s="1"/>
  <c r="AV152" i="7"/>
  <c r="AV157" i="7" s="1"/>
  <c r="AU152" i="7"/>
  <c r="AU157" i="7" s="1"/>
  <c r="AT152" i="7"/>
  <c r="AT157" i="7" s="1"/>
  <c r="AS152" i="7"/>
  <c r="AS157" i="7" s="1"/>
  <c r="AR152" i="7"/>
  <c r="AR157" i="7" s="1"/>
  <c r="AQ152" i="7"/>
  <c r="AQ157" i="7" s="1"/>
  <c r="AP152" i="7"/>
  <c r="AP157" i="7" s="1"/>
  <c r="AO152" i="7"/>
  <c r="AO157" i="7" s="1"/>
  <c r="AN152" i="7"/>
  <c r="AN157" i="7" s="1"/>
  <c r="AM152" i="7"/>
  <c r="AM157" i="7" s="1"/>
  <c r="AL152" i="7"/>
  <c r="AL157" i="7" s="1"/>
  <c r="AK152" i="7"/>
  <c r="AK157" i="7" s="1"/>
  <c r="AK158" i="7" s="1"/>
  <c r="AL158" i="7" s="1"/>
  <c r="AM158" i="7" s="1"/>
  <c r="AN158" i="7" s="1"/>
  <c r="AO158" i="7" s="1"/>
  <c r="AP158" i="7" s="1"/>
  <c r="AQ158" i="7" s="1"/>
  <c r="AR158" i="7" s="1"/>
  <c r="AS158" i="7" s="1"/>
  <c r="AT158" i="7" s="1"/>
  <c r="AU158" i="7" s="1"/>
  <c r="AV158" i="7" s="1"/>
  <c r="AW158" i="7" s="1"/>
  <c r="AX158" i="7" s="1"/>
  <c r="AY158" i="7" s="1"/>
  <c r="AZ158" i="7" s="1"/>
  <c r="BA158" i="7" s="1"/>
  <c r="BB158" i="7" s="1"/>
  <c r="BC158" i="7" s="1"/>
  <c r="BD158" i="7" s="1"/>
  <c r="BE158" i="7" s="1"/>
  <c r="BF158" i="7" s="1"/>
  <c r="BG158" i="7" s="1"/>
  <c r="BH158" i="7" s="1"/>
  <c r="BI158" i="7" s="1"/>
  <c r="BJ158" i="7" s="1"/>
  <c r="BK158" i="7" s="1"/>
  <c r="BL158" i="7" s="1"/>
  <c r="BM158" i="7" s="1"/>
  <c r="BN158" i="7" s="1"/>
  <c r="BO158" i="7" s="1"/>
  <c r="BP158" i="7" s="1"/>
  <c r="BQ158" i="7" s="1"/>
  <c r="BR158" i="7" s="1"/>
  <c r="BS158" i="7" s="1"/>
  <c r="BT158" i="7" s="1"/>
  <c r="BU158" i="7" s="1"/>
  <c r="BV158" i="7" s="1"/>
  <c r="BW158" i="7" s="1"/>
  <c r="AE152" i="7"/>
  <c r="AE157" i="7" s="1"/>
  <c r="AD152" i="7"/>
  <c r="AD157" i="7" s="1"/>
  <c r="AC152" i="7"/>
  <c r="AC157" i="7" s="1"/>
  <c r="AB152" i="7"/>
  <c r="AB157" i="7" s="1"/>
  <c r="AB158" i="7" s="1"/>
  <c r="AC158" i="7" s="1"/>
  <c r="AD158" i="7" s="1"/>
  <c r="AE158" i="7" s="1"/>
  <c r="Z152" i="7"/>
  <c r="Z157" i="7" s="1"/>
  <c r="Y152" i="7"/>
  <c r="Y157" i="7" s="1"/>
  <c r="X152" i="7"/>
  <c r="X157" i="7" s="1"/>
  <c r="W152" i="7"/>
  <c r="W157" i="7" s="1"/>
  <c r="V152" i="7"/>
  <c r="V157" i="7" s="1"/>
  <c r="S152" i="7"/>
  <c r="S157" i="7" s="1"/>
  <c r="P152" i="7"/>
  <c r="P157" i="7" s="1"/>
  <c r="O152" i="7"/>
  <c r="O157" i="7" s="1"/>
  <c r="N152" i="7"/>
  <c r="N157" i="7" s="1"/>
  <c r="M152" i="7"/>
  <c r="M157" i="7" s="1"/>
  <c r="J152" i="7"/>
  <c r="J157" i="7" s="1"/>
  <c r="H152" i="7"/>
  <c r="G152" i="7"/>
  <c r="G157" i="7" s="1"/>
  <c r="F152" i="7"/>
  <c r="F157" i="7" s="1"/>
  <c r="E152" i="7"/>
  <c r="E157" i="7" s="1"/>
  <c r="E158" i="7" s="1"/>
  <c r="F158" i="7" s="1"/>
  <c r="G158" i="7" s="1"/>
  <c r="D145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E138" i="7"/>
  <c r="AD138" i="7"/>
  <c r="AC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BX136" i="7"/>
  <c r="BW136" i="7"/>
  <c r="BW141" i="7" s="1"/>
  <c r="BV136" i="7"/>
  <c r="BV141" i="7" s="1"/>
  <c r="BU136" i="7"/>
  <c r="BU141" i="7" s="1"/>
  <c r="BT136" i="7"/>
  <c r="BT141" i="7" s="1"/>
  <c r="BS136" i="7"/>
  <c r="BS141" i="7" s="1"/>
  <c r="BR136" i="7"/>
  <c r="BR141" i="7" s="1"/>
  <c r="BQ136" i="7"/>
  <c r="BQ141" i="7" s="1"/>
  <c r="BP136" i="7"/>
  <c r="BP141" i="7" s="1"/>
  <c r="BO136" i="7"/>
  <c r="BO141" i="7" s="1"/>
  <c r="BN136" i="7"/>
  <c r="BN141" i="7" s="1"/>
  <c r="BM136" i="7"/>
  <c r="BM141" i="7" s="1"/>
  <c r="BL136" i="7"/>
  <c r="BL141" i="7" s="1"/>
  <c r="BK136" i="7"/>
  <c r="BK141" i="7" s="1"/>
  <c r="BJ136" i="7"/>
  <c r="BJ141" i="7" s="1"/>
  <c r="BI136" i="7"/>
  <c r="BI141" i="7" s="1"/>
  <c r="BH136" i="7"/>
  <c r="BH141" i="7" s="1"/>
  <c r="BG136" i="7"/>
  <c r="BG141" i="7" s="1"/>
  <c r="BF136" i="7"/>
  <c r="BF141" i="7" s="1"/>
  <c r="BE136" i="7"/>
  <c r="BE141" i="7" s="1"/>
  <c r="BD136" i="7"/>
  <c r="BD141" i="7" s="1"/>
  <c r="BC136" i="7"/>
  <c r="BC141" i="7" s="1"/>
  <c r="BB136" i="7"/>
  <c r="BB141" i="7" s="1"/>
  <c r="BA136" i="7"/>
  <c r="BA141" i="7" s="1"/>
  <c r="AZ136" i="7"/>
  <c r="AZ141" i="7" s="1"/>
  <c r="AY136" i="7"/>
  <c r="AY141" i="7" s="1"/>
  <c r="AX136" i="7"/>
  <c r="AX141" i="7" s="1"/>
  <c r="AW136" i="7"/>
  <c r="AW141" i="7" s="1"/>
  <c r="AV136" i="7"/>
  <c r="AV141" i="7" s="1"/>
  <c r="AU136" i="7"/>
  <c r="AU141" i="7" s="1"/>
  <c r="AT136" i="7"/>
  <c r="AT141" i="7" s="1"/>
  <c r="AS136" i="7"/>
  <c r="AS141" i="7" s="1"/>
  <c r="AR136" i="7"/>
  <c r="AR141" i="7" s="1"/>
  <c r="AQ136" i="7"/>
  <c r="AQ141" i="7" s="1"/>
  <c r="AP136" i="7"/>
  <c r="AP141" i="7" s="1"/>
  <c r="AO136" i="7"/>
  <c r="AO141" i="7" s="1"/>
  <c r="AN136" i="7"/>
  <c r="AN141" i="7" s="1"/>
  <c r="AM136" i="7"/>
  <c r="AM141" i="7" s="1"/>
  <c r="AL136" i="7"/>
  <c r="AL141" i="7" s="1"/>
  <c r="AK136" i="7"/>
  <c r="AK141" i="7" s="1"/>
  <c r="AK142" i="7" s="1"/>
  <c r="AL142" i="7" s="1"/>
  <c r="AM142" i="7" s="1"/>
  <c r="AN142" i="7" s="1"/>
  <c r="AO142" i="7" s="1"/>
  <c r="AP142" i="7" s="1"/>
  <c r="AQ142" i="7" s="1"/>
  <c r="AR142" i="7" s="1"/>
  <c r="AS142" i="7" s="1"/>
  <c r="AT142" i="7" s="1"/>
  <c r="AU142" i="7" s="1"/>
  <c r="AV142" i="7" s="1"/>
  <c r="AW142" i="7" s="1"/>
  <c r="AX142" i="7" s="1"/>
  <c r="AY142" i="7" s="1"/>
  <c r="AZ142" i="7" s="1"/>
  <c r="BA142" i="7" s="1"/>
  <c r="BB142" i="7" s="1"/>
  <c r="BC142" i="7" s="1"/>
  <c r="BD142" i="7" s="1"/>
  <c r="BE142" i="7" s="1"/>
  <c r="BF142" i="7" s="1"/>
  <c r="BG142" i="7" s="1"/>
  <c r="BH142" i="7" s="1"/>
  <c r="BI142" i="7" s="1"/>
  <c r="BJ142" i="7" s="1"/>
  <c r="BK142" i="7" s="1"/>
  <c r="BL142" i="7" s="1"/>
  <c r="BM142" i="7" s="1"/>
  <c r="BN142" i="7" s="1"/>
  <c r="BO142" i="7" s="1"/>
  <c r="BP142" i="7" s="1"/>
  <c r="BQ142" i="7" s="1"/>
  <c r="BR142" i="7" s="1"/>
  <c r="BS142" i="7" s="1"/>
  <c r="BT142" i="7" s="1"/>
  <c r="BU142" i="7" s="1"/>
  <c r="BV142" i="7" s="1"/>
  <c r="BW142" i="7" s="1"/>
  <c r="AE136" i="7"/>
  <c r="AE141" i="7" s="1"/>
  <c r="AD136" i="7"/>
  <c r="AD141" i="7" s="1"/>
  <c r="AC136" i="7"/>
  <c r="AC141" i="7" s="1"/>
  <c r="Z136" i="7"/>
  <c r="Z141" i="7" s="1"/>
  <c r="Y136" i="7"/>
  <c r="Y141" i="7" s="1"/>
  <c r="X136" i="7"/>
  <c r="X141" i="7" s="1"/>
  <c r="W136" i="7"/>
  <c r="W141" i="7" s="1"/>
  <c r="U136" i="7"/>
  <c r="U141" i="7" s="1"/>
  <c r="T136" i="7"/>
  <c r="S136" i="7"/>
  <c r="S141" i="7" s="1"/>
  <c r="Q136" i="7"/>
  <c r="Q141" i="7" s="1"/>
  <c r="P136" i="7"/>
  <c r="P141" i="7" s="1"/>
  <c r="N136" i="7"/>
  <c r="N141" i="7" s="1"/>
  <c r="K136" i="7"/>
  <c r="K141" i="7" s="1"/>
  <c r="J136" i="7"/>
  <c r="J141" i="7" s="1"/>
  <c r="I136" i="7"/>
  <c r="I141" i="7" s="1"/>
  <c r="H136" i="7"/>
  <c r="H141" i="7" s="1"/>
  <c r="G136" i="7"/>
  <c r="G141" i="7" s="1"/>
  <c r="F136" i="7"/>
  <c r="F141" i="7" s="1"/>
  <c r="E136" i="7"/>
  <c r="Z133" i="7"/>
  <c r="Y133" i="7"/>
  <c r="X133" i="7"/>
  <c r="W133" i="7"/>
  <c r="U133" i="7"/>
  <c r="T133" i="7"/>
  <c r="S133" i="7"/>
  <c r="Q133" i="7"/>
  <c r="P133" i="7"/>
  <c r="N133" i="7"/>
  <c r="K133" i="7"/>
  <c r="J133" i="7"/>
  <c r="I133" i="7"/>
  <c r="BX120" i="7"/>
  <c r="BW120" i="7"/>
  <c r="BV120" i="7"/>
  <c r="BU120" i="7"/>
  <c r="BT120" i="7"/>
  <c r="BS120" i="7"/>
  <c r="BR120" i="7"/>
  <c r="BQ120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O119" i="7"/>
  <c r="BX118" i="7"/>
  <c r="BW118" i="7"/>
  <c r="BW124" i="7" s="1"/>
  <c r="BV118" i="7"/>
  <c r="BV124" i="7" s="1"/>
  <c r="BU118" i="7"/>
  <c r="BU124" i="7" s="1"/>
  <c r="BT118" i="7"/>
  <c r="BT124" i="7" s="1"/>
  <c r="BS118" i="7"/>
  <c r="BS124" i="7" s="1"/>
  <c r="BR118" i="7"/>
  <c r="BR124" i="7" s="1"/>
  <c r="BQ118" i="7"/>
  <c r="BQ124" i="7" s="1"/>
  <c r="BP118" i="7"/>
  <c r="BP124" i="7" s="1"/>
  <c r="BO118" i="7"/>
  <c r="BO124" i="7" s="1"/>
  <c r="BN118" i="7"/>
  <c r="BN124" i="7" s="1"/>
  <c r="BM118" i="7"/>
  <c r="BM124" i="7" s="1"/>
  <c r="BL118" i="7"/>
  <c r="BL124" i="7" s="1"/>
  <c r="BK118" i="7"/>
  <c r="BK124" i="7" s="1"/>
  <c r="BJ118" i="7"/>
  <c r="BJ124" i="7" s="1"/>
  <c r="BI118" i="7"/>
  <c r="BI124" i="7" s="1"/>
  <c r="BH118" i="7"/>
  <c r="BH124" i="7" s="1"/>
  <c r="BG118" i="7"/>
  <c r="BG124" i="7" s="1"/>
  <c r="BF118" i="7"/>
  <c r="BF124" i="7" s="1"/>
  <c r="BE118" i="7"/>
  <c r="BE124" i="7" s="1"/>
  <c r="BD118" i="7"/>
  <c r="BD124" i="7" s="1"/>
  <c r="BC118" i="7"/>
  <c r="BC124" i="7" s="1"/>
  <c r="BB118" i="7"/>
  <c r="BB124" i="7" s="1"/>
  <c r="BA118" i="7"/>
  <c r="BA124" i="7" s="1"/>
  <c r="AZ118" i="7"/>
  <c r="AZ124" i="7" s="1"/>
  <c r="AY118" i="7"/>
  <c r="AY124" i="7" s="1"/>
  <c r="AX118" i="7"/>
  <c r="AX124" i="7" s="1"/>
  <c r="AW118" i="7"/>
  <c r="AW124" i="7" s="1"/>
  <c r="AV118" i="7"/>
  <c r="AV124" i="7" s="1"/>
  <c r="AU118" i="7"/>
  <c r="AU124" i="7" s="1"/>
  <c r="AT118" i="7"/>
  <c r="AT124" i="7" s="1"/>
  <c r="AS118" i="7"/>
  <c r="AS124" i="7" s="1"/>
  <c r="AR118" i="7"/>
  <c r="AR124" i="7" s="1"/>
  <c r="AQ118" i="7"/>
  <c r="AQ124" i="7" s="1"/>
  <c r="AP118" i="7"/>
  <c r="AP124" i="7" s="1"/>
  <c r="AO118" i="7"/>
  <c r="AO124" i="7" s="1"/>
  <c r="AN118" i="7"/>
  <c r="AN124" i="7" s="1"/>
  <c r="AM118" i="7"/>
  <c r="AM124" i="7" s="1"/>
  <c r="AL118" i="7"/>
  <c r="AL124" i="7" s="1"/>
  <c r="AK118" i="7"/>
  <c r="AK124" i="7" s="1"/>
  <c r="AJ118" i="7"/>
  <c r="AJ124" i="7" s="1"/>
  <c r="AI118" i="7"/>
  <c r="AI124" i="7" s="1"/>
  <c r="AH118" i="7"/>
  <c r="AH124" i="7" s="1"/>
  <c r="AG118" i="7"/>
  <c r="AG124" i="7" s="1"/>
  <c r="AF118" i="7"/>
  <c r="AF124" i="7" s="1"/>
  <c r="AE118" i="7"/>
  <c r="AE124" i="7" s="1"/>
  <c r="AD118" i="7"/>
  <c r="AD124" i="7" s="1"/>
  <c r="AC118" i="7"/>
  <c r="AC124" i="7" s="1"/>
  <c r="AA118" i="7"/>
  <c r="AA124" i="7" s="1"/>
  <c r="Z118" i="7"/>
  <c r="Z124" i="7" s="1"/>
  <c r="Y118" i="7"/>
  <c r="Y124" i="7" s="1"/>
  <c r="X118" i="7"/>
  <c r="X124" i="7" s="1"/>
  <c r="W118" i="7"/>
  <c r="W124" i="7" s="1"/>
  <c r="U118" i="7"/>
  <c r="U124" i="7" s="1"/>
  <c r="T118" i="7"/>
  <c r="T124" i="7" s="1"/>
  <c r="S118" i="7"/>
  <c r="S124" i="7" s="1"/>
  <c r="Q118" i="7"/>
  <c r="Q124" i="7" s="1"/>
  <c r="P118" i="7"/>
  <c r="P124" i="7" s="1"/>
  <c r="N118" i="7"/>
  <c r="N124" i="7" s="1"/>
  <c r="K118" i="7"/>
  <c r="K124" i="7" s="1"/>
  <c r="J118" i="7"/>
  <c r="J124" i="7" s="1"/>
  <c r="I118" i="7"/>
  <c r="I124" i="7" s="1"/>
  <c r="H118" i="7"/>
  <c r="G118" i="7"/>
  <c r="G124" i="7" s="1"/>
  <c r="F118" i="7"/>
  <c r="F124" i="7" s="1"/>
  <c r="E118" i="7"/>
  <c r="E124" i="7" s="1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A110" i="7"/>
  <c r="Z110" i="7"/>
  <c r="Y110" i="7"/>
  <c r="X110" i="7"/>
  <c r="W110" i="7"/>
  <c r="U110" i="7"/>
  <c r="T110" i="7"/>
  <c r="S110" i="7"/>
  <c r="Q110" i="7"/>
  <c r="P110" i="7"/>
  <c r="N110" i="7"/>
  <c r="K110" i="7"/>
  <c r="J110" i="7"/>
  <c r="I110" i="7"/>
  <c r="H110" i="7"/>
  <c r="G110" i="7"/>
  <c r="F110" i="7"/>
  <c r="E110" i="7"/>
  <c r="G101" i="7"/>
  <c r="AA97" i="7"/>
  <c r="Z97" i="7"/>
  <c r="Y97" i="7"/>
  <c r="X97" i="7"/>
  <c r="W97" i="7"/>
  <c r="U97" i="7"/>
  <c r="T97" i="7"/>
  <c r="Q97" i="7"/>
  <c r="BY95" i="7"/>
  <c r="BY94" i="7"/>
  <c r="BY93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BY89" i="7"/>
  <c r="BY88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BY85" i="7"/>
  <c r="BY84" i="7"/>
  <c r="BY83" i="7"/>
  <c r="BY82" i="7"/>
  <c r="BY81" i="7"/>
  <c r="T80" i="7"/>
  <c r="S80" i="7"/>
  <c r="BY79" i="7"/>
  <c r="BY78" i="7"/>
  <c r="BY77" i="7"/>
  <c r="BY76" i="7"/>
  <c r="BY75" i="7"/>
  <c r="BY74" i="7"/>
  <c r="BY73" i="7"/>
  <c r="U72" i="7"/>
  <c r="BY72" i="7" s="1"/>
  <c r="BY71" i="7"/>
  <c r="BY70" i="7"/>
  <c r="BY69" i="7"/>
  <c r="BY68" i="7"/>
  <c r="BY67" i="7"/>
  <c r="BY66" i="7"/>
  <c r="BY65" i="7"/>
  <c r="BY64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W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BY62" i="7" s="1"/>
  <c r="Z61" i="7"/>
  <c r="Y61" i="7"/>
  <c r="X61" i="7"/>
  <c r="W61" i="7"/>
  <c r="V61" i="7"/>
  <c r="V9" i="7" s="1"/>
  <c r="BY60" i="7"/>
  <c r="BY59" i="7"/>
  <c r="BY58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A54" i="7"/>
  <c r="U54" i="7"/>
  <c r="T54" i="7"/>
  <c r="O54" i="7"/>
  <c r="I54" i="7"/>
  <c r="BY54" i="7" s="1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N53" i="7"/>
  <c r="M53" i="7"/>
  <c r="L53" i="7"/>
  <c r="K53" i="7"/>
  <c r="J53" i="7"/>
  <c r="I53" i="7"/>
  <c r="H53" i="7"/>
  <c r="BY53" i="7" s="1"/>
  <c r="BY52" i="7"/>
  <c r="BY51" i="7"/>
  <c r="BY50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V48" i="7"/>
  <c r="Q48" i="7"/>
  <c r="K48" i="7"/>
  <c r="AB47" i="7"/>
  <c r="AA47" i="7"/>
  <c r="U47" i="7"/>
  <c r="BY47" i="7" s="1"/>
  <c r="P46" i="7"/>
  <c r="K46" i="7"/>
  <c r="I46" i="7"/>
  <c r="H46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H45" i="7"/>
  <c r="BY45" i="7" s="1"/>
  <c r="AB44" i="7"/>
  <c r="R44" i="7"/>
  <c r="J44" i="7"/>
  <c r="H44" i="7"/>
  <c r="BY44" i="7" s="1"/>
  <c r="CE43" i="7"/>
  <c r="W43" i="7"/>
  <c r="T43" i="7"/>
  <c r="S43" i="7"/>
  <c r="R43" i="7"/>
  <c r="Q43" i="7"/>
  <c r="P43" i="7"/>
  <c r="O43" i="7"/>
  <c r="N43" i="7"/>
  <c r="M43" i="7"/>
  <c r="L43" i="7"/>
  <c r="K43" i="7"/>
  <c r="I43" i="7"/>
  <c r="H43" i="7"/>
  <c r="AF42" i="7"/>
  <c r="AE42" i="7"/>
  <c r="AD42" i="7"/>
  <c r="AC42" i="7"/>
  <c r="W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BY41" i="7"/>
  <c r="BY40" i="7"/>
  <c r="CE39" i="7"/>
  <c r="CE40" i="7" s="1"/>
  <c r="BY39" i="7"/>
  <c r="AA38" i="7"/>
  <c r="Z38" i="7"/>
  <c r="Y38" i="7"/>
  <c r="X38" i="7"/>
  <c r="W38" i="7"/>
  <c r="V38" i="7"/>
  <c r="R38" i="7"/>
  <c r="P38" i="7"/>
  <c r="O38" i="7"/>
  <c r="M38" i="7"/>
  <c r="L38" i="7"/>
  <c r="J38" i="7"/>
  <c r="I38" i="7"/>
  <c r="BY38" i="7" s="1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BY36" i="7"/>
  <c r="BY35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X32" i="7"/>
  <c r="I32" i="7"/>
  <c r="BY32" i="7" s="1"/>
  <c r="AA31" i="7"/>
  <c r="Z31" i="7"/>
  <c r="Y31" i="7"/>
  <c r="X31" i="7"/>
  <c r="W31" i="7"/>
  <c r="P31" i="7"/>
  <c r="O31" i="7"/>
  <c r="N31" i="7"/>
  <c r="H31" i="7"/>
  <c r="BY31" i="7" s="1"/>
  <c r="BY30" i="7"/>
  <c r="BY29" i="7"/>
  <c r="BY28" i="7"/>
  <c r="CG27" i="7"/>
  <c r="AA27" i="7"/>
  <c r="R27" i="7"/>
  <c r="P27" i="7"/>
  <c r="O27" i="7"/>
  <c r="N27" i="7"/>
  <c r="M27" i="7"/>
  <c r="L27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U26" i="7"/>
  <c r="T26" i="7"/>
  <c r="S26" i="7"/>
  <c r="R26" i="7"/>
  <c r="P26" i="7"/>
  <c r="O26" i="7"/>
  <c r="N26" i="7"/>
  <c r="M26" i="7"/>
  <c r="L26" i="7"/>
  <c r="K26" i="7"/>
  <c r="J26" i="7"/>
  <c r="I26" i="7"/>
  <c r="H26" i="7"/>
  <c r="G26" i="7"/>
  <c r="F26" i="7"/>
  <c r="E26" i="7"/>
  <c r="Y25" i="7"/>
  <c r="BY25" i="7" s="1"/>
  <c r="CG24" i="7"/>
  <c r="U24" i="7"/>
  <c r="U152" i="7" s="1"/>
  <c r="U157" i="7" s="1"/>
  <c r="R24" i="7"/>
  <c r="R152" i="7" s="1"/>
  <c r="R157" i="7" s="1"/>
  <c r="Q24" i="7"/>
  <c r="Q152" i="7" s="1"/>
  <c r="Q157" i="7" s="1"/>
  <c r="L24" i="7"/>
  <c r="L152" i="7" s="1"/>
  <c r="L157" i="7" s="1"/>
  <c r="I24" i="7"/>
  <c r="BY24" i="7" s="1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BY22" i="7"/>
  <c r="BY21" i="7"/>
  <c r="BY20" i="7"/>
  <c r="BY19" i="7"/>
  <c r="J18" i="7"/>
  <c r="H18" i="7"/>
  <c r="BY18" i="7" s="1"/>
  <c r="BY17" i="7"/>
  <c r="BX17" i="7"/>
  <c r="BX98" i="7" s="1"/>
  <c r="BW17" i="7"/>
  <c r="BW98" i="7" s="1"/>
  <c r="BV17" i="7"/>
  <c r="BV98" i="7" s="1"/>
  <c r="BU17" i="7"/>
  <c r="BU98" i="7" s="1"/>
  <c r="BT17" i="7"/>
  <c r="BT98" i="7" s="1"/>
  <c r="BS17" i="7"/>
  <c r="BS98" i="7" s="1"/>
  <c r="BR17" i="7"/>
  <c r="BR98" i="7" s="1"/>
  <c r="BQ17" i="7"/>
  <c r="BQ98" i="7" s="1"/>
  <c r="BP17" i="7"/>
  <c r="BP98" i="7" s="1"/>
  <c r="BO17" i="7"/>
  <c r="BO98" i="7" s="1"/>
  <c r="BN17" i="7"/>
  <c r="BN98" i="7" s="1"/>
  <c r="BM17" i="7"/>
  <c r="BM98" i="7" s="1"/>
  <c r="BL17" i="7"/>
  <c r="BL98" i="7" s="1"/>
  <c r="BK17" i="7"/>
  <c r="BK98" i="7" s="1"/>
  <c r="BJ17" i="7"/>
  <c r="BJ98" i="7" s="1"/>
  <c r="BI17" i="7"/>
  <c r="BI98" i="7" s="1"/>
  <c r="BH17" i="7"/>
  <c r="BH98" i="7" s="1"/>
  <c r="BG17" i="7"/>
  <c r="BG98" i="7" s="1"/>
  <c r="BF17" i="7"/>
  <c r="BF98" i="7" s="1"/>
  <c r="BE17" i="7"/>
  <c r="BE98" i="7" s="1"/>
  <c r="BD17" i="7"/>
  <c r="BD98" i="7" s="1"/>
  <c r="BC17" i="7"/>
  <c r="BC98" i="7" s="1"/>
  <c r="BB17" i="7"/>
  <c r="BB98" i="7" s="1"/>
  <c r="BA17" i="7"/>
  <c r="BA98" i="7" s="1"/>
  <c r="AZ17" i="7"/>
  <c r="AZ98" i="7" s="1"/>
  <c r="AY17" i="7"/>
  <c r="AY98" i="7" s="1"/>
  <c r="AX17" i="7"/>
  <c r="AX98" i="7" s="1"/>
  <c r="AW17" i="7"/>
  <c r="AW98" i="7" s="1"/>
  <c r="AV17" i="7"/>
  <c r="AV98" i="7" s="1"/>
  <c r="AU17" i="7"/>
  <c r="AU98" i="7" s="1"/>
  <c r="AT17" i="7"/>
  <c r="AT98" i="7" s="1"/>
  <c r="AS17" i="7"/>
  <c r="AS98" i="7" s="1"/>
  <c r="AR17" i="7"/>
  <c r="AR98" i="7" s="1"/>
  <c r="AQ17" i="7"/>
  <c r="AQ98" i="7" s="1"/>
  <c r="AP17" i="7"/>
  <c r="AP98" i="7" s="1"/>
  <c r="AO17" i="7"/>
  <c r="AO98" i="7" s="1"/>
  <c r="AN17" i="7"/>
  <c r="AN98" i="7" s="1"/>
  <c r="AM17" i="7"/>
  <c r="AM98" i="7" s="1"/>
  <c r="AL17" i="7"/>
  <c r="AL98" i="7" s="1"/>
  <c r="AK17" i="7"/>
  <c r="AK98" i="7" s="1"/>
  <c r="AJ17" i="7"/>
  <c r="AJ98" i="7" s="1"/>
  <c r="AI17" i="7"/>
  <c r="AI98" i="7" s="1"/>
  <c r="AH17" i="7"/>
  <c r="AH98" i="7" s="1"/>
  <c r="AG17" i="7"/>
  <c r="AG98" i="7" s="1"/>
  <c r="AF17" i="7"/>
  <c r="AF98" i="7" s="1"/>
  <c r="AE17" i="7"/>
  <c r="AE98" i="7" s="1"/>
  <c r="AD17" i="7"/>
  <c r="AD98" i="7" s="1"/>
  <c r="AC17" i="7"/>
  <c r="AC98" i="7" s="1"/>
  <c r="AB17" i="7"/>
  <c r="AA17" i="7"/>
  <c r="Z17" i="7"/>
  <c r="Y17" i="7"/>
  <c r="X17" i="7"/>
  <c r="W17" i="7"/>
  <c r="V17" i="7"/>
  <c r="U17" i="7"/>
  <c r="T17" i="7"/>
  <c r="T98" i="7" s="1"/>
  <c r="S17" i="7"/>
  <c r="S98" i="7" s="1"/>
  <c r="R17" i="7"/>
  <c r="R98" i="7" s="1"/>
  <c r="Q17" i="7"/>
  <c r="P17" i="7"/>
  <c r="P98" i="7" s="1"/>
  <c r="O17" i="7"/>
  <c r="O98" i="7" s="1"/>
  <c r="N17" i="7"/>
  <c r="N98" i="7" s="1"/>
  <c r="M17" i="7"/>
  <c r="M98" i="7" s="1"/>
  <c r="L17" i="7"/>
  <c r="L98" i="7" s="1"/>
  <c r="K17" i="7"/>
  <c r="K98" i="7" s="1"/>
  <c r="J17" i="7"/>
  <c r="J98" i="7" s="1"/>
  <c r="I17" i="7"/>
  <c r="I98" i="7" s="1"/>
  <c r="H17" i="7"/>
  <c r="H98" i="7" s="1"/>
  <c r="H99" i="7" s="1"/>
  <c r="I99" i="7" s="1"/>
  <c r="J99" i="7" s="1"/>
  <c r="K99" i="7" s="1"/>
  <c r="L99" i="7" s="1"/>
  <c r="M99" i="7" s="1"/>
  <c r="N99" i="7" s="1"/>
  <c r="O99" i="7" s="1"/>
  <c r="P99" i="7" s="1"/>
  <c r="G17" i="7"/>
  <c r="G98" i="7" s="1"/>
  <c r="F17" i="7"/>
  <c r="F98" i="7" s="1"/>
  <c r="E17" i="7"/>
  <c r="E98" i="7" s="1"/>
  <c r="CB16" i="7"/>
  <c r="BX16" i="7"/>
  <c r="BX100" i="7" s="1"/>
  <c r="BW16" i="7"/>
  <c r="BW100" i="7" s="1"/>
  <c r="BV16" i="7"/>
  <c r="BV100" i="7" s="1"/>
  <c r="BU16" i="7"/>
  <c r="BU100" i="7" s="1"/>
  <c r="BT16" i="7"/>
  <c r="BT100" i="7" s="1"/>
  <c r="BS16" i="7"/>
  <c r="BS100" i="7" s="1"/>
  <c r="BR16" i="7"/>
  <c r="BR100" i="7" s="1"/>
  <c r="BQ16" i="7"/>
  <c r="BQ100" i="7" s="1"/>
  <c r="BP16" i="7"/>
  <c r="BP100" i="7" s="1"/>
  <c r="BO16" i="7"/>
  <c r="BO100" i="7" s="1"/>
  <c r="BN16" i="7"/>
  <c r="BN100" i="7" s="1"/>
  <c r="BM16" i="7"/>
  <c r="BM100" i="7" s="1"/>
  <c r="BL16" i="7"/>
  <c r="BL100" i="7" s="1"/>
  <c r="BK16" i="7"/>
  <c r="BK100" i="7" s="1"/>
  <c r="BJ16" i="7"/>
  <c r="BJ100" i="7" s="1"/>
  <c r="BI16" i="7"/>
  <c r="BI100" i="7" s="1"/>
  <c r="BH16" i="7"/>
  <c r="BH100" i="7" s="1"/>
  <c r="BG16" i="7"/>
  <c r="BG100" i="7" s="1"/>
  <c r="BF16" i="7"/>
  <c r="BF100" i="7" s="1"/>
  <c r="BE16" i="7"/>
  <c r="BE100" i="7" s="1"/>
  <c r="BD16" i="7"/>
  <c r="BD100" i="7" s="1"/>
  <c r="BC16" i="7"/>
  <c r="BC100" i="7" s="1"/>
  <c r="BB16" i="7"/>
  <c r="BB100" i="7" s="1"/>
  <c r="BA16" i="7"/>
  <c r="BA100" i="7" s="1"/>
  <c r="AZ16" i="7"/>
  <c r="AZ100" i="7" s="1"/>
  <c r="AY16" i="7"/>
  <c r="AY100" i="7" s="1"/>
  <c r="AX16" i="7"/>
  <c r="AX100" i="7" s="1"/>
  <c r="AW16" i="7"/>
  <c r="AW100" i="7" s="1"/>
  <c r="AV16" i="7"/>
  <c r="AV100" i="7" s="1"/>
  <c r="AU16" i="7"/>
  <c r="AU100" i="7" s="1"/>
  <c r="AT16" i="7"/>
  <c r="AT100" i="7" s="1"/>
  <c r="AS16" i="7"/>
  <c r="AS100" i="7" s="1"/>
  <c r="AR16" i="7"/>
  <c r="AR100" i="7" s="1"/>
  <c r="AQ16" i="7"/>
  <c r="AQ100" i="7" s="1"/>
  <c r="AP16" i="7"/>
  <c r="AP100" i="7" s="1"/>
  <c r="AO16" i="7"/>
  <c r="AO100" i="7" s="1"/>
  <c r="AN16" i="7"/>
  <c r="AN100" i="7" s="1"/>
  <c r="AM16" i="7"/>
  <c r="AM100" i="7" s="1"/>
  <c r="AL16" i="7"/>
  <c r="AL100" i="7" s="1"/>
  <c r="AK16" i="7"/>
  <c r="AK100" i="7" s="1"/>
  <c r="AJ16" i="7"/>
  <c r="AJ100" i="7" s="1"/>
  <c r="AI16" i="7"/>
  <c r="AI100" i="7" s="1"/>
  <c r="AH16" i="7"/>
  <c r="AH100" i="7" s="1"/>
  <c r="AG16" i="7"/>
  <c r="AG100" i="7" s="1"/>
  <c r="AF16" i="7"/>
  <c r="AF100" i="7" s="1"/>
  <c r="AC16" i="7"/>
  <c r="AC100" i="7" s="1"/>
  <c r="J16" i="7"/>
  <c r="J100" i="7" s="1"/>
  <c r="I16" i="7"/>
  <c r="I100" i="7" s="1"/>
  <c r="G16" i="7"/>
  <c r="G100" i="7" s="1"/>
  <c r="F16" i="7"/>
  <c r="F100" i="7" s="1"/>
  <c r="E16" i="7"/>
  <c r="E100" i="7" s="1"/>
  <c r="E101" i="7" s="1"/>
  <c r="R15" i="7"/>
  <c r="Q15" i="7"/>
  <c r="P15" i="7"/>
  <c r="T14" i="7"/>
  <c r="S14" i="7"/>
  <c r="R14" i="7"/>
  <c r="Q14" i="7"/>
  <c r="P14" i="7"/>
  <c r="O14" i="7"/>
  <c r="M14" i="7"/>
  <c r="K14" i="7"/>
  <c r="AD13" i="7"/>
  <c r="Z12" i="7"/>
  <c r="Y12" i="7"/>
  <c r="X12" i="7"/>
  <c r="W12" i="7"/>
  <c r="T12" i="7"/>
  <c r="T16" i="7" s="1"/>
  <c r="T100" i="7" s="1"/>
  <c r="S12" i="7"/>
  <c r="R12" i="7"/>
  <c r="Q11" i="7"/>
  <c r="Q16" i="7" s="1"/>
  <c r="P11" i="7"/>
  <c r="P16" i="7" s="1"/>
  <c r="P100" i="7" s="1"/>
  <c r="O11" i="7"/>
  <c r="N11" i="7"/>
  <c r="N16" i="7" s="1"/>
  <c r="N100" i="7" s="1"/>
  <c r="M11" i="7"/>
  <c r="BY11" i="7" s="1"/>
  <c r="AB97" i="7" s="1"/>
  <c r="AA10" i="7"/>
  <c r="Z9" i="7"/>
  <c r="Y9" i="7"/>
  <c r="X9" i="7"/>
  <c r="BY8" i="7"/>
  <c r="BY7" i="7"/>
  <c r="V6" i="7"/>
  <c r="R6" i="7"/>
  <c r="O6" i="7"/>
  <c r="M6" i="7"/>
  <c r="L6" i="7"/>
  <c r="H5" i="7"/>
  <c r="W200" i="6"/>
  <c r="V200" i="6"/>
  <c r="U200" i="6"/>
  <c r="T200" i="6"/>
  <c r="S200" i="6"/>
  <c r="D188" i="6"/>
  <c r="BX181" i="6"/>
  <c r="BW181" i="6"/>
  <c r="BV181" i="6"/>
  <c r="BU181" i="6"/>
  <c r="BT181" i="6"/>
  <c r="BS181" i="6"/>
  <c r="BR181" i="6"/>
  <c r="BQ181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S184" i="6" s="1"/>
  <c r="R181" i="6"/>
  <c r="R184" i="6" s="1"/>
  <c r="Q181" i="6"/>
  <c r="Q184" i="6" s="1"/>
  <c r="P181" i="6"/>
  <c r="P184" i="6" s="1"/>
  <c r="O181" i="6"/>
  <c r="O184" i="6" s="1"/>
  <c r="N181" i="6"/>
  <c r="N184" i="6" s="1"/>
  <c r="M181" i="6"/>
  <c r="M184" i="6" s="1"/>
  <c r="L181" i="6"/>
  <c r="L184" i="6" s="1"/>
  <c r="K181" i="6"/>
  <c r="K184" i="6" s="1"/>
  <c r="J181" i="6"/>
  <c r="J184" i="6" s="1"/>
  <c r="I181" i="6"/>
  <c r="I184" i="6" s="1"/>
  <c r="H181" i="6"/>
  <c r="G181" i="6"/>
  <c r="F181" i="6"/>
  <c r="E181" i="6"/>
  <c r="BX179" i="6"/>
  <c r="BW179" i="6"/>
  <c r="BW184" i="6" s="1"/>
  <c r="BV179" i="6"/>
  <c r="BV184" i="6" s="1"/>
  <c r="BU179" i="6"/>
  <c r="BU184" i="6" s="1"/>
  <c r="BT179" i="6"/>
  <c r="BT184" i="6" s="1"/>
  <c r="BS179" i="6"/>
  <c r="BS184" i="6" s="1"/>
  <c r="BR179" i="6"/>
  <c r="BR184" i="6" s="1"/>
  <c r="BQ179" i="6"/>
  <c r="BQ184" i="6" s="1"/>
  <c r="BP179" i="6"/>
  <c r="BP184" i="6" s="1"/>
  <c r="BO179" i="6"/>
  <c r="BO184" i="6" s="1"/>
  <c r="BN179" i="6"/>
  <c r="BN184" i="6" s="1"/>
  <c r="BM179" i="6"/>
  <c r="BM184" i="6" s="1"/>
  <c r="BL179" i="6"/>
  <c r="BL184" i="6" s="1"/>
  <c r="BK179" i="6"/>
  <c r="BK184" i="6" s="1"/>
  <c r="BJ179" i="6"/>
  <c r="BJ184" i="6" s="1"/>
  <c r="BI179" i="6"/>
  <c r="BI184" i="6" s="1"/>
  <c r="BH179" i="6"/>
  <c r="BH184" i="6" s="1"/>
  <c r="BG179" i="6"/>
  <c r="BG184" i="6" s="1"/>
  <c r="BF179" i="6"/>
  <c r="BF184" i="6" s="1"/>
  <c r="BE179" i="6"/>
  <c r="BE184" i="6" s="1"/>
  <c r="BD179" i="6"/>
  <c r="BD184" i="6" s="1"/>
  <c r="BC179" i="6"/>
  <c r="BC184" i="6" s="1"/>
  <c r="BB179" i="6"/>
  <c r="BB184" i="6" s="1"/>
  <c r="BA179" i="6"/>
  <c r="BA184" i="6" s="1"/>
  <c r="AZ179" i="6"/>
  <c r="AZ184" i="6" s="1"/>
  <c r="AY179" i="6"/>
  <c r="AY184" i="6" s="1"/>
  <c r="AX179" i="6"/>
  <c r="AX184" i="6" s="1"/>
  <c r="AW179" i="6"/>
  <c r="AW184" i="6" s="1"/>
  <c r="AV179" i="6"/>
  <c r="AV184" i="6" s="1"/>
  <c r="AU179" i="6"/>
  <c r="AU184" i="6" s="1"/>
  <c r="AT179" i="6"/>
  <c r="AT184" i="6" s="1"/>
  <c r="AS179" i="6"/>
  <c r="AS184" i="6" s="1"/>
  <c r="AR179" i="6"/>
  <c r="AR184" i="6" s="1"/>
  <c r="AQ179" i="6"/>
  <c r="AQ184" i="6" s="1"/>
  <c r="AP179" i="6"/>
  <c r="AP184" i="6" s="1"/>
  <c r="AO179" i="6"/>
  <c r="AO184" i="6" s="1"/>
  <c r="AN179" i="6"/>
  <c r="AN184" i="6" s="1"/>
  <c r="AM179" i="6"/>
  <c r="AM184" i="6" s="1"/>
  <c r="AL179" i="6"/>
  <c r="AL184" i="6" s="1"/>
  <c r="AK179" i="6"/>
  <c r="AK184" i="6" s="1"/>
  <c r="AJ179" i="6"/>
  <c r="AJ184" i="6" s="1"/>
  <c r="AI179" i="6"/>
  <c r="AI184" i="6" s="1"/>
  <c r="AH179" i="6"/>
  <c r="AH184" i="6" s="1"/>
  <c r="AG179" i="6"/>
  <c r="AG184" i="6" s="1"/>
  <c r="AF179" i="6"/>
  <c r="AF184" i="6" s="1"/>
  <c r="AE179" i="6"/>
  <c r="AE184" i="6" s="1"/>
  <c r="AD179" i="6"/>
  <c r="AD184" i="6" s="1"/>
  <c r="AC179" i="6"/>
  <c r="AC184" i="6" s="1"/>
  <c r="AB179" i="6"/>
  <c r="AB184" i="6" s="1"/>
  <c r="AA179" i="6"/>
  <c r="AA184" i="6" s="1"/>
  <c r="Z179" i="6"/>
  <c r="Z184" i="6" s="1"/>
  <c r="Y179" i="6"/>
  <c r="Y184" i="6" s="1"/>
  <c r="X179" i="6"/>
  <c r="X184" i="6" s="1"/>
  <c r="W179" i="6"/>
  <c r="W184" i="6" s="1"/>
  <c r="V179" i="6"/>
  <c r="V184" i="6" s="1"/>
  <c r="U179" i="6"/>
  <c r="U184" i="6" s="1"/>
  <c r="T179" i="6"/>
  <c r="H179" i="6"/>
  <c r="H184" i="6" s="1"/>
  <c r="G179" i="6"/>
  <c r="G184" i="6" s="1"/>
  <c r="F179" i="6"/>
  <c r="F184" i="6" s="1"/>
  <c r="E179" i="6"/>
  <c r="E184" i="6" s="1"/>
  <c r="D172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BX163" i="6"/>
  <c r="BW163" i="6"/>
  <c r="BW168" i="6" s="1"/>
  <c r="BV163" i="6"/>
  <c r="BV168" i="6" s="1"/>
  <c r="BU163" i="6"/>
  <c r="BU168" i="6" s="1"/>
  <c r="BT163" i="6"/>
  <c r="BT168" i="6" s="1"/>
  <c r="BS163" i="6"/>
  <c r="BS168" i="6" s="1"/>
  <c r="BR163" i="6"/>
  <c r="BR168" i="6" s="1"/>
  <c r="BQ163" i="6"/>
  <c r="BQ168" i="6" s="1"/>
  <c r="BP163" i="6"/>
  <c r="BP168" i="6" s="1"/>
  <c r="BO163" i="6"/>
  <c r="BO168" i="6" s="1"/>
  <c r="BN163" i="6"/>
  <c r="BN168" i="6" s="1"/>
  <c r="BM163" i="6"/>
  <c r="BM168" i="6" s="1"/>
  <c r="BL163" i="6"/>
  <c r="BL168" i="6" s="1"/>
  <c r="BK163" i="6"/>
  <c r="BK168" i="6" s="1"/>
  <c r="BJ163" i="6"/>
  <c r="BJ168" i="6" s="1"/>
  <c r="BI163" i="6"/>
  <c r="BI168" i="6" s="1"/>
  <c r="BH163" i="6"/>
  <c r="BH168" i="6" s="1"/>
  <c r="BG163" i="6"/>
  <c r="BG168" i="6" s="1"/>
  <c r="BF163" i="6"/>
  <c r="BF168" i="6" s="1"/>
  <c r="BE163" i="6"/>
  <c r="BE168" i="6" s="1"/>
  <c r="BD163" i="6"/>
  <c r="BD168" i="6" s="1"/>
  <c r="BC163" i="6"/>
  <c r="BC168" i="6" s="1"/>
  <c r="BB163" i="6"/>
  <c r="BB168" i="6" s="1"/>
  <c r="BA163" i="6"/>
  <c r="BA168" i="6" s="1"/>
  <c r="AZ163" i="6"/>
  <c r="AZ168" i="6" s="1"/>
  <c r="AY163" i="6"/>
  <c r="AY168" i="6" s="1"/>
  <c r="AX163" i="6"/>
  <c r="AX168" i="6" s="1"/>
  <c r="AW163" i="6"/>
  <c r="AW168" i="6" s="1"/>
  <c r="AV163" i="6"/>
  <c r="AV168" i="6" s="1"/>
  <c r="AU163" i="6"/>
  <c r="AU168" i="6" s="1"/>
  <c r="AT163" i="6"/>
  <c r="AT168" i="6" s="1"/>
  <c r="AS163" i="6"/>
  <c r="AS168" i="6" s="1"/>
  <c r="AR163" i="6"/>
  <c r="AR168" i="6" s="1"/>
  <c r="AQ163" i="6"/>
  <c r="AQ168" i="6" s="1"/>
  <c r="AP163" i="6"/>
  <c r="AP168" i="6" s="1"/>
  <c r="AO163" i="6"/>
  <c r="AO168" i="6" s="1"/>
  <c r="AN163" i="6"/>
  <c r="AN168" i="6" s="1"/>
  <c r="AM163" i="6"/>
  <c r="AM168" i="6" s="1"/>
  <c r="AL163" i="6"/>
  <c r="AL168" i="6" s="1"/>
  <c r="AK163" i="6"/>
  <c r="AK168" i="6" s="1"/>
  <c r="AJ163" i="6"/>
  <c r="AJ168" i="6" s="1"/>
  <c r="AI163" i="6"/>
  <c r="AI168" i="6" s="1"/>
  <c r="AH163" i="6"/>
  <c r="AH168" i="6" s="1"/>
  <c r="AG163" i="6"/>
  <c r="AG168" i="6" s="1"/>
  <c r="AF163" i="6"/>
  <c r="AF168" i="6" s="1"/>
  <c r="AE163" i="6"/>
  <c r="AE168" i="6" s="1"/>
  <c r="AD163" i="6"/>
  <c r="AD168" i="6" s="1"/>
  <c r="AC163" i="6"/>
  <c r="AC168" i="6" s="1"/>
  <c r="AB163" i="6"/>
  <c r="AB168" i="6" s="1"/>
  <c r="AA163" i="6"/>
  <c r="AA168" i="6" s="1"/>
  <c r="Z163" i="6"/>
  <c r="Z168" i="6" s="1"/>
  <c r="Y163" i="6"/>
  <c r="Y168" i="6" s="1"/>
  <c r="X163" i="6"/>
  <c r="X168" i="6" s="1"/>
  <c r="W163" i="6"/>
  <c r="W168" i="6" s="1"/>
  <c r="V163" i="6"/>
  <c r="V168" i="6" s="1"/>
  <c r="U163" i="6"/>
  <c r="U168" i="6" s="1"/>
  <c r="T163" i="6"/>
  <c r="S163" i="6"/>
  <c r="S168" i="6" s="1"/>
  <c r="R163" i="6"/>
  <c r="R168" i="6" s="1"/>
  <c r="Q163" i="6"/>
  <c r="Q168" i="6" s="1"/>
  <c r="P163" i="6"/>
  <c r="P168" i="6" s="1"/>
  <c r="O163" i="6"/>
  <c r="O168" i="6" s="1"/>
  <c r="N163" i="6"/>
  <c r="N168" i="6" s="1"/>
  <c r="M163" i="6"/>
  <c r="M168" i="6" s="1"/>
  <c r="L163" i="6"/>
  <c r="L168" i="6" s="1"/>
  <c r="K163" i="6"/>
  <c r="K168" i="6" s="1"/>
  <c r="J163" i="6"/>
  <c r="J168" i="6" s="1"/>
  <c r="I163" i="6"/>
  <c r="I168" i="6" s="1"/>
  <c r="H163" i="6"/>
  <c r="H168" i="6" s="1"/>
  <c r="G163" i="6"/>
  <c r="G168" i="6" s="1"/>
  <c r="F163" i="6"/>
  <c r="F168" i="6" s="1"/>
  <c r="E163" i="6"/>
  <c r="E168" i="6" s="1"/>
  <c r="D156" i="6"/>
  <c r="T150" i="6"/>
  <c r="BX149" i="6"/>
  <c r="BW149" i="6"/>
  <c r="BV149" i="6"/>
  <c r="BU149" i="6"/>
  <c r="BT149" i="6"/>
  <c r="BS149" i="6"/>
  <c r="BR149" i="6"/>
  <c r="BQ149" i="6"/>
  <c r="BP149" i="6"/>
  <c r="BO149" i="6"/>
  <c r="BN149" i="6"/>
  <c r="BM149" i="6"/>
  <c r="BL149" i="6"/>
  <c r="BK149" i="6"/>
  <c r="BJ149" i="6"/>
  <c r="BI149" i="6"/>
  <c r="BH149" i="6"/>
  <c r="BG149" i="6"/>
  <c r="BF149" i="6"/>
  <c r="BE149" i="6"/>
  <c r="BD149" i="6"/>
  <c r="BC149" i="6"/>
  <c r="BB149" i="6"/>
  <c r="BA149" i="6"/>
  <c r="AZ149" i="6"/>
  <c r="AY149" i="6"/>
  <c r="AX149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K152" i="6" s="1"/>
  <c r="J149" i="6"/>
  <c r="I149" i="6"/>
  <c r="I152" i="6" s="1"/>
  <c r="H149" i="6"/>
  <c r="G149" i="6"/>
  <c r="F149" i="6"/>
  <c r="E149" i="6"/>
  <c r="BX147" i="6"/>
  <c r="BW147" i="6"/>
  <c r="BW152" i="6" s="1"/>
  <c r="BV147" i="6"/>
  <c r="BV152" i="6" s="1"/>
  <c r="BU147" i="6"/>
  <c r="BU152" i="6" s="1"/>
  <c r="BT147" i="6"/>
  <c r="BT152" i="6" s="1"/>
  <c r="BS147" i="6"/>
  <c r="BS152" i="6" s="1"/>
  <c r="BR147" i="6"/>
  <c r="BR152" i="6" s="1"/>
  <c r="BQ147" i="6"/>
  <c r="BQ152" i="6" s="1"/>
  <c r="BP147" i="6"/>
  <c r="BP152" i="6" s="1"/>
  <c r="BO147" i="6"/>
  <c r="BO152" i="6" s="1"/>
  <c r="BN147" i="6"/>
  <c r="BN152" i="6" s="1"/>
  <c r="BM147" i="6"/>
  <c r="BM152" i="6" s="1"/>
  <c r="BL147" i="6"/>
  <c r="BL152" i="6" s="1"/>
  <c r="BK147" i="6"/>
  <c r="BK152" i="6" s="1"/>
  <c r="BJ147" i="6"/>
  <c r="BJ152" i="6" s="1"/>
  <c r="BI147" i="6"/>
  <c r="BI152" i="6" s="1"/>
  <c r="BH147" i="6"/>
  <c r="BH152" i="6" s="1"/>
  <c r="BG147" i="6"/>
  <c r="BG152" i="6" s="1"/>
  <c r="BF147" i="6"/>
  <c r="BF152" i="6" s="1"/>
  <c r="BE147" i="6"/>
  <c r="BE152" i="6" s="1"/>
  <c r="BD147" i="6"/>
  <c r="BD152" i="6" s="1"/>
  <c r="BC147" i="6"/>
  <c r="BC152" i="6" s="1"/>
  <c r="BB147" i="6"/>
  <c r="BB152" i="6" s="1"/>
  <c r="BA147" i="6"/>
  <c r="BA152" i="6" s="1"/>
  <c r="AZ147" i="6"/>
  <c r="AZ152" i="6" s="1"/>
  <c r="AY147" i="6"/>
  <c r="AY152" i="6" s="1"/>
  <c r="AX147" i="6"/>
  <c r="AX152" i="6" s="1"/>
  <c r="AW147" i="6"/>
  <c r="AW152" i="6" s="1"/>
  <c r="AV147" i="6"/>
  <c r="AV152" i="6" s="1"/>
  <c r="AU147" i="6"/>
  <c r="AU152" i="6" s="1"/>
  <c r="AT147" i="6"/>
  <c r="AT152" i="6" s="1"/>
  <c r="AS147" i="6"/>
  <c r="AS152" i="6" s="1"/>
  <c r="AR147" i="6"/>
  <c r="AR152" i="6" s="1"/>
  <c r="AQ147" i="6"/>
  <c r="AQ152" i="6" s="1"/>
  <c r="AP147" i="6"/>
  <c r="AP152" i="6" s="1"/>
  <c r="AO147" i="6"/>
  <c r="AO152" i="6" s="1"/>
  <c r="AN147" i="6"/>
  <c r="AN152" i="6" s="1"/>
  <c r="AM147" i="6"/>
  <c r="AM152" i="6" s="1"/>
  <c r="AL147" i="6"/>
  <c r="AL152" i="6" s="1"/>
  <c r="AK147" i="6"/>
  <c r="AK152" i="6" s="1"/>
  <c r="AJ147" i="6"/>
  <c r="AJ152" i="6" s="1"/>
  <c r="AI147" i="6"/>
  <c r="AI152" i="6" s="1"/>
  <c r="AH147" i="6"/>
  <c r="AH152" i="6" s="1"/>
  <c r="AG147" i="6"/>
  <c r="AG152" i="6" s="1"/>
  <c r="AF147" i="6"/>
  <c r="AF152" i="6" s="1"/>
  <c r="AE147" i="6"/>
  <c r="AE152" i="6" s="1"/>
  <c r="AD147" i="6"/>
  <c r="AD152" i="6" s="1"/>
  <c r="AC147" i="6"/>
  <c r="AC152" i="6" s="1"/>
  <c r="AB147" i="6"/>
  <c r="AB152" i="6" s="1"/>
  <c r="AA147" i="6"/>
  <c r="AA152" i="6" s="1"/>
  <c r="Z147" i="6"/>
  <c r="Z152" i="6" s="1"/>
  <c r="Y147" i="6"/>
  <c r="Y152" i="6" s="1"/>
  <c r="X147" i="6"/>
  <c r="X152" i="6" s="1"/>
  <c r="W147" i="6"/>
  <c r="W152" i="6" s="1"/>
  <c r="V147" i="6"/>
  <c r="V152" i="6" s="1"/>
  <c r="U147" i="6"/>
  <c r="U152" i="6" s="1"/>
  <c r="S147" i="6"/>
  <c r="S152" i="6" s="1"/>
  <c r="P147" i="6"/>
  <c r="P152" i="6" s="1"/>
  <c r="O147" i="6"/>
  <c r="O152" i="6" s="1"/>
  <c r="N147" i="6"/>
  <c r="N152" i="6" s="1"/>
  <c r="M147" i="6"/>
  <c r="M152" i="6" s="1"/>
  <c r="J147" i="6"/>
  <c r="J152" i="6" s="1"/>
  <c r="H147" i="6"/>
  <c r="G147" i="6"/>
  <c r="G152" i="6" s="1"/>
  <c r="F147" i="6"/>
  <c r="F152" i="6" s="1"/>
  <c r="E147" i="6"/>
  <c r="E152" i="6" s="1"/>
  <c r="E153" i="6" s="1"/>
  <c r="F153" i="6" s="1"/>
  <c r="G153" i="6" s="1"/>
  <c r="D140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BX131" i="6"/>
  <c r="BW131" i="6"/>
  <c r="BW136" i="6" s="1"/>
  <c r="BV131" i="6"/>
  <c r="BV136" i="6" s="1"/>
  <c r="BU131" i="6"/>
  <c r="BU136" i="6" s="1"/>
  <c r="BT131" i="6"/>
  <c r="BT136" i="6" s="1"/>
  <c r="BS131" i="6"/>
  <c r="BS136" i="6" s="1"/>
  <c r="BR131" i="6"/>
  <c r="BR136" i="6" s="1"/>
  <c r="BQ131" i="6"/>
  <c r="BQ136" i="6" s="1"/>
  <c r="BP131" i="6"/>
  <c r="BP136" i="6" s="1"/>
  <c r="BO131" i="6"/>
  <c r="BO136" i="6" s="1"/>
  <c r="BN131" i="6"/>
  <c r="BN136" i="6" s="1"/>
  <c r="BM131" i="6"/>
  <c r="BM136" i="6" s="1"/>
  <c r="BL131" i="6"/>
  <c r="BL136" i="6" s="1"/>
  <c r="BK131" i="6"/>
  <c r="BK136" i="6" s="1"/>
  <c r="BJ131" i="6"/>
  <c r="BJ136" i="6" s="1"/>
  <c r="BI131" i="6"/>
  <c r="BI136" i="6" s="1"/>
  <c r="BH131" i="6"/>
  <c r="BH136" i="6" s="1"/>
  <c r="BG131" i="6"/>
  <c r="BG136" i="6" s="1"/>
  <c r="BF131" i="6"/>
  <c r="BF136" i="6" s="1"/>
  <c r="BE131" i="6"/>
  <c r="BE136" i="6" s="1"/>
  <c r="BD131" i="6"/>
  <c r="BD136" i="6" s="1"/>
  <c r="BC131" i="6"/>
  <c r="BC136" i="6" s="1"/>
  <c r="BB131" i="6"/>
  <c r="BB136" i="6" s="1"/>
  <c r="BA131" i="6"/>
  <c r="BA136" i="6" s="1"/>
  <c r="AZ131" i="6"/>
  <c r="AZ136" i="6" s="1"/>
  <c r="AY131" i="6"/>
  <c r="AY136" i="6" s="1"/>
  <c r="AX131" i="6"/>
  <c r="AX136" i="6" s="1"/>
  <c r="AW131" i="6"/>
  <c r="AW136" i="6" s="1"/>
  <c r="AV131" i="6"/>
  <c r="AV136" i="6" s="1"/>
  <c r="AU131" i="6"/>
  <c r="AU136" i="6" s="1"/>
  <c r="AT131" i="6"/>
  <c r="AT136" i="6" s="1"/>
  <c r="AS131" i="6"/>
  <c r="AS136" i="6" s="1"/>
  <c r="AR131" i="6"/>
  <c r="AR136" i="6" s="1"/>
  <c r="AQ131" i="6"/>
  <c r="AQ136" i="6" s="1"/>
  <c r="AP131" i="6"/>
  <c r="AP136" i="6" s="1"/>
  <c r="AO131" i="6"/>
  <c r="AO136" i="6" s="1"/>
  <c r="AN131" i="6"/>
  <c r="AN136" i="6" s="1"/>
  <c r="AM131" i="6"/>
  <c r="AM136" i="6" s="1"/>
  <c r="AL131" i="6"/>
  <c r="AL136" i="6" s="1"/>
  <c r="AK131" i="6"/>
  <c r="AK136" i="6" s="1"/>
  <c r="AJ131" i="6"/>
  <c r="AJ136" i="6" s="1"/>
  <c r="AI131" i="6"/>
  <c r="AI136" i="6" s="1"/>
  <c r="AH131" i="6"/>
  <c r="AH136" i="6" s="1"/>
  <c r="AG131" i="6"/>
  <c r="AG136" i="6" s="1"/>
  <c r="AE131" i="6"/>
  <c r="AE136" i="6" s="1"/>
  <c r="AD131" i="6"/>
  <c r="AD136" i="6" s="1"/>
  <c r="AC131" i="6"/>
  <c r="AC136" i="6" s="1"/>
  <c r="AB131" i="6"/>
  <c r="AB136" i="6" s="1"/>
  <c r="AA131" i="6"/>
  <c r="AA136" i="6" s="1"/>
  <c r="Z131" i="6"/>
  <c r="Z136" i="6" s="1"/>
  <c r="Y131" i="6"/>
  <c r="Y136" i="6" s="1"/>
  <c r="X131" i="6"/>
  <c r="X136" i="6" s="1"/>
  <c r="W131" i="6"/>
  <c r="W136" i="6" s="1"/>
  <c r="V131" i="6"/>
  <c r="V136" i="6" s="1"/>
  <c r="U131" i="6"/>
  <c r="U136" i="6" s="1"/>
  <c r="T131" i="6"/>
  <c r="S131" i="6"/>
  <c r="S136" i="6" s="1"/>
  <c r="R131" i="6"/>
  <c r="R136" i="6" s="1"/>
  <c r="Q131" i="6"/>
  <c r="Q136" i="6" s="1"/>
  <c r="P131" i="6"/>
  <c r="P136" i="6" s="1"/>
  <c r="N131" i="6"/>
  <c r="N136" i="6" s="1"/>
  <c r="K131" i="6"/>
  <c r="K136" i="6" s="1"/>
  <c r="J131" i="6"/>
  <c r="J136" i="6" s="1"/>
  <c r="I131" i="6"/>
  <c r="I136" i="6" s="1"/>
  <c r="H131" i="6"/>
  <c r="H136" i="6" s="1"/>
  <c r="G131" i="6"/>
  <c r="G136" i="6" s="1"/>
  <c r="F131" i="6"/>
  <c r="F136" i="6" s="1"/>
  <c r="E131" i="6"/>
  <c r="Z128" i="6"/>
  <c r="Y128" i="6"/>
  <c r="X128" i="6"/>
  <c r="W128" i="6"/>
  <c r="V128" i="6"/>
  <c r="U128" i="6"/>
  <c r="T128" i="6"/>
  <c r="S128" i="6"/>
  <c r="R128" i="6"/>
  <c r="Q128" i="6"/>
  <c r="P128" i="6"/>
  <c r="N128" i="6"/>
  <c r="K128" i="6"/>
  <c r="J128" i="6"/>
  <c r="I128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BX113" i="6"/>
  <c r="BW113" i="6"/>
  <c r="BW119" i="6" s="1"/>
  <c r="BV113" i="6"/>
  <c r="BV119" i="6" s="1"/>
  <c r="BU113" i="6"/>
  <c r="BU119" i="6" s="1"/>
  <c r="BT113" i="6"/>
  <c r="BT119" i="6" s="1"/>
  <c r="BS113" i="6"/>
  <c r="BS119" i="6" s="1"/>
  <c r="BR113" i="6"/>
  <c r="BR119" i="6" s="1"/>
  <c r="BQ113" i="6"/>
  <c r="BQ119" i="6" s="1"/>
  <c r="BP113" i="6"/>
  <c r="BP119" i="6" s="1"/>
  <c r="BO113" i="6"/>
  <c r="BO119" i="6" s="1"/>
  <c r="BN113" i="6"/>
  <c r="BN119" i="6" s="1"/>
  <c r="BM113" i="6"/>
  <c r="BM119" i="6" s="1"/>
  <c r="BL113" i="6"/>
  <c r="BL119" i="6" s="1"/>
  <c r="BK113" i="6"/>
  <c r="BK119" i="6" s="1"/>
  <c r="BJ113" i="6"/>
  <c r="BJ119" i="6" s="1"/>
  <c r="BI113" i="6"/>
  <c r="BI119" i="6" s="1"/>
  <c r="BH113" i="6"/>
  <c r="BH119" i="6" s="1"/>
  <c r="BG113" i="6"/>
  <c r="BG119" i="6" s="1"/>
  <c r="BF113" i="6"/>
  <c r="BF119" i="6" s="1"/>
  <c r="BE113" i="6"/>
  <c r="BE119" i="6" s="1"/>
  <c r="BD113" i="6"/>
  <c r="BD119" i="6" s="1"/>
  <c r="BC113" i="6"/>
  <c r="BC119" i="6" s="1"/>
  <c r="BB113" i="6"/>
  <c r="BB119" i="6" s="1"/>
  <c r="BA113" i="6"/>
  <c r="BA119" i="6" s="1"/>
  <c r="AZ113" i="6"/>
  <c r="AZ119" i="6" s="1"/>
  <c r="AY113" i="6"/>
  <c r="AY119" i="6" s="1"/>
  <c r="AX113" i="6"/>
  <c r="AX119" i="6" s="1"/>
  <c r="AW113" i="6"/>
  <c r="AW119" i="6" s="1"/>
  <c r="AV113" i="6"/>
  <c r="AV119" i="6" s="1"/>
  <c r="AU113" i="6"/>
  <c r="AU119" i="6" s="1"/>
  <c r="AT113" i="6"/>
  <c r="AT119" i="6" s="1"/>
  <c r="AS113" i="6"/>
  <c r="AS119" i="6" s="1"/>
  <c r="AR113" i="6"/>
  <c r="AR119" i="6" s="1"/>
  <c r="AQ113" i="6"/>
  <c r="AQ119" i="6" s="1"/>
  <c r="AP113" i="6"/>
  <c r="AP119" i="6" s="1"/>
  <c r="AO113" i="6"/>
  <c r="AO119" i="6" s="1"/>
  <c r="AN113" i="6"/>
  <c r="AN119" i="6" s="1"/>
  <c r="AM113" i="6"/>
  <c r="AM119" i="6" s="1"/>
  <c r="AL113" i="6"/>
  <c r="AL119" i="6" s="1"/>
  <c r="AK113" i="6"/>
  <c r="AK119" i="6" s="1"/>
  <c r="AJ113" i="6"/>
  <c r="AJ119" i="6" s="1"/>
  <c r="AI113" i="6"/>
  <c r="AI119" i="6" s="1"/>
  <c r="AH113" i="6"/>
  <c r="AH119" i="6" s="1"/>
  <c r="AG113" i="6"/>
  <c r="AG119" i="6" s="1"/>
  <c r="AE113" i="6"/>
  <c r="AE119" i="6" s="1"/>
  <c r="AD113" i="6"/>
  <c r="AD119" i="6" s="1"/>
  <c r="AC113" i="6"/>
  <c r="AC119" i="6" s="1"/>
  <c r="AB113" i="6"/>
  <c r="AB119" i="6" s="1"/>
  <c r="AA113" i="6"/>
  <c r="AA119" i="6" s="1"/>
  <c r="Z113" i="6"/>
  <c r="Z119" i="6" s="1"/>
  <c r="Y113" i="6"/>
  <c r="Y119" i="6" s="1"/>
  <c r="X113" i="6"/>
  <c r="X119" i="6" s="1"/>
  <c r="W113" i="6"/>
  <c r="W119" i="6" s="1"/>
  <c r="V113" i="6"/>
  <c r="V119" i="6" s="1"/>
  <c r="U113" i="6"/>
  <c r="U119" i="6" s="1"/>
  <c r="T113" i="6"/>
  <c r="T119" i="6" s="1"/>
  <c r="S113" i="6"/>
  <c r="S119" i="6" s="1"/>
  <c r="R113" i="6"/>
  <c r="R119" i="6" s="1"/>
  <c r="Q113" i="6"/>
  <c r="Q119" i="6" s="1"/>
  <c r="P113" i="6"/>
  <c r="P119" i="6" s="1"/>
  <c r="N113" i="6"/>
  <c r="N119" i="6" s="1"/>
  <c r="K113" i="6"/>
  <c r="K119" i="6" s="1"/>
  <c r="J113" i="6"/>
  <c r="J119" i="6" s="1"/>
  <c r="I113" i="6"/>
  <c r="I119" i="6" s="1"/>
  <c r="H113" i="6"/>
  <c r="G113" i="6"/>
  <c r="G119" i="6" s="1"/>
  <c r="F113" i="6"/>
  <c r="F119" i="6" s="1"/>
  <c r="E113" i="6"/>
  <c r="E119" i="6" s="1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N105" i="6"/>
  <c r="K105" i="6"/>
  <c r="J105" i="6"/>
  <c r="I105" i="6"/>
  <c r="H105" i="6"/>
  <c r="G105" i="6"/>
  <c r="F105" i="6"/>
  <c r="E105" i="6"/>
  <c r="G101" i="6"/>
  <c r="AE97" i="6"/>
  <c r="AD97" i="6"/>
  <c r="AC97" i="6"/>
  <c r="AB97" i="6"/>
  <c r="AA97" i="6"/>
  <c r="Z97" i="6"/>
  <c r="Y97" i="6"/>
  <c r="X97" i="6"/>
  <c r="W97" i="6"/>
  <c r="V97" i="6"/>
  <c r="U97" i="6"/>
  <c r="T97" i="6"/>
  <c r="Q97" i="6"/>
  <c r="BY95" i="6"/>
  <c r="BY94" i="6"/>
  <c r="BY93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BY89" i="6"/>
  <c r="BY88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BY85" i="6"/>
  <c r="BY84" i="6"/>
  <c r="BY83" i="6"/>
  <c r="BY82" i="6"/>
  <c r="BY81" i="6"/>
  <c r="BY79" i="6"/>
  <c r="BY78" i="6"/>
  <c r="BY77" i="6"/>
  <c r="BY76" i="6"/>
  <c r="BY75" i="6"/>
  <c r="BY74" i="6"/>
  <c r="BY73" i="6"/>
  <c r="U72" i="6"/>
  <c r="BY72" i="6" s="1"/>
  <c r="BY71" i="6"/>
  <c r="BY70" i="6"/>
  <c r="BY69" i="6"/>
  <c r="BY68" i="6"/>
  <c r="BY67" i="6"/>
  <c r="BY66" i="6"/>
  <c r="BY65" i="6"/>
  <c r="BY64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F101" i="11" s="1"/>
  <c r="R62" i="6"/>
  <c r="Q62" i="6"/>
  <c r="P62" i="6"/>
  <c r="O62" i="6"/>
  <c r="N62" i="6"/>
  <c r="M62" i="6"/>
  <c r="W61" i="6"/>
  <c r="V61" i="6"/>
  <c r="U61" i="6"/>
  <c r="BY60" i="6"/>
  <c r="BY59" i="6"/>
  <c r="BY58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A54" i="6"/>
  <c r="U54" i="6"/>
  <c r="O54" i="6"/>
  <c r="I54" i="6"/>
  <c r="BY54" i="6" s="1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F114" i="11" s="1"/>
  <c r="R53" i="6"/>
  <c r="Q53" i="6"/>
  <c r="P53" i="6"/>
  <c r="N53" i="6"/>
  <c r="M53" i="6"/>
  <c r="L53" i="6"/>
  <c r="K53" i="6"/>
  <c r="J53" i="6"/>
  <c r="I53" i="6"/>
  <c r="H53" i="6"/>
  <c r="BY52" i="6"/>
  <c r="BY51" i="6"/>
  <c r="BY50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Q48" i="6"/>
  <c r="K48" i="6"/>
  <c r="Y47" i="6"/>
  <c r="W47" i="6"/>
  <c r="S47" i="6"/>
  <c r="BY47" i="6" s="1"/>
  <c r="P46" i="6"/>
  <c r="K46" i="6"/>
  <c r="I46" i="6"/>
  <c r="H46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F89" i="11" s="1"/>
  <c r="Q45" i="6"/>
  <c r="P45" i="6"/>
  <c r="O45" i="6"/>
  <c r="N45" i="6"/>
  <c r="M45" i="6"/>
  <c r="L45" i="6"/>
  <c r="K45" i="6"/>
  <c r="J45" i="6"/>
  <c r="H45" i="6"/>
  <c r="AF44" i="6"/>
  <c r="R44" i="6"/>
  <c r="J44" i="6"/>
  <c r="H44" i="6"/>
  <c r="BY44" i="6" s="1"/>
  <c r="Q43" i="6"/>
  <c r="P43" i="6"/>
  <c r="O43" i="6"/>
  <c r="N43" i="6"/>
  <c r="M43" i="6"/>
  <c r="L43" i="6"/>
  <c r="K43" i="6"/>
  <c r="I43" i="6"/>
  <c r="H43" i="6"/>
  <c r="Q42" i="6"/>
  <c r="P42" i="6"/>
  <c r="O42" i="6"/>
  <c r="N42" i="6"/>
  <c r="M42" i="6"/>
  <c r="L42" i="6"/>
  <c r="K42" i="6"/>
  <c r="J42" i="6"/>
  <c r="I42" i="6"/>
  <c r="H42" i="6"/>
  <c r="Y41" i="6"/>
  <c r="X41" i="6"/>
  <c r="W41" i="6"/>
  <c r="V41" i="6"/>
  <c r="U41" i="6"/>
  <c r="T41" i="6"/>
  <c r="S41" i="6"/>
  <c r="BY41" i="6" s="1"/>
  <c r="BY40" i="6"/>
  <c r="Y39" i="6"/>
  <c r="X39" i="6"/>
  <c r="W39" i="6"/>
  <c r="V39" i="6"/>
  <c r="U39" i="6"/>
  <c r="T39" i="6"/>
  <c r="S39" i="6"/>
  <c r="R39" i="6"/>
  <c r="BY39" i="6" s="1"/>
  <c r="P38" i="6"/>
  <c r="O38" i="6"/>
  <c r="M38" i="6"/>
  <c r="L38" i="6"/>
  <c r="J38" i="6"/>
  <c r="I38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BY36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U32" i="6"/>
  <c r="I32" i="6"/>
  <c r="Y31" i="6"/>
  <c r="X31" i="6"/>
  <c r="W31" i="6"/>
  <c r="V31" i="6"/>
  <c r="U31" i="6"/>
  <c r="T31" i="6"/>
  <c r="P31" i="6"/>
  <c r="O31" i="6"/>
  <c r="N31" i="6"/>
  <c r="H31" i="6"/>
  <c r="BY31" i="6" s="1"/>
  <c r="W30" i="6"/>
  <c r="V30" i="6"/>
  <c r="U30" i="6"/>
  <c r="BY30" i="6" s="1"/>
  <c r="BY29" i="6"/>
  <c r="BY28" i="6"/>
  <c r="CG27" i="6"/>
  <c r="R27" i="6"/>
  <c r="P27" i="6"/>
  <c r="O27" i="6"/>
  <c r="N27" i="6"/>
  <c r="M27" i="6"/>
  <c r="L27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T26" i="6"/>
  <c r="S26" i="6"/>
  <c r="R26" i="6"/>
  <c r="P26" i="6"/>
  <c r="O26" i="6"/>
  <c r="N26" i="6"/>
  <c r="M26" i="6"/>
  <c r="L26" i="6"/>
  <c r="K26" i="6"/>
  <c r="J26" i="6"/>
  <c r="I26" i="6"/>
  <c r="H26" i="6"/>
  <c r="G26" i="6"/>
  <c r="F26" i="6"/>
  <c r="E26" i="6"/>
  <c r="T25" i="6"/>
  <c r="BY25" i="6" s="1"/>
  <c r="CG24" i="6"/>
  <c r="T24" i="6"/>
  <c r="R24" i="6"/>
  <c r="R147" i="6" s="1"/>
  <c r="R152" i="6" s="1"/>
  <c r="Q24" i="6"/>
  <c r="Q147" i="6" s="1"/>
  <c r="Q152" i="6" s="1"/>
  <c r="L24" i="6"/>
  <c r="L147" i="6" s="1"/>
  <c r="L152" i="6" s="1"/>
  <c r="I24" i="6"/>
  <c r="BY24" i="6" s="1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BY22" i="6"/>
  <c r="BY21" i="6"/>
  <c r="BY20" i="6"/>
  <c r="BY19" i="6"/>
  <c r="J18" i="6"/>
  <c r="H18" i="6"/>
  <c r="BY18" i="6" s="1"/>
  <c r="BY17" i="6"/>
  <c r="BX17" i="6"/>
  <c r="BX98" i="6" s="1"/>
  <c r="BW17" i="6"/>
  <c r="BW98" i="6" s="1"/>
  <c r="BV17" i="6"/>
  <c r="BV98" i="6" s="1"/>
  <c r="BU17" i="6"/>
  <c r="BU98" i="6" s="1"/>
  <c r="BT17" i="6"/>
  <c r="BT98" i="6" s="1"/>
  <c r="BS17" i="6"/>
  <c r="BS98" i="6" s="1"/>
  <c r="BR17" i="6"/>
  <c r="BR98" i="6" s="1"/>
  <c r="BQ17" i="6"/>
  <c r="BQ98" i="6" s="1"/>
  <c r="BP17" i="6"/>
  <c r="BP98" i="6" s="1"/>
  <c r="BO17" i="6"/>
  <c r="BO98" i="6" s="1"/>
  <c r="BN17" i="6"/>
  <c r="BN98" i="6" s="1"/>
  <c r="BM17" i="6"/>
  <c r="BM98" i="6" s="1"/>
  <c r="BL17" i="6"/>
  <c r="BL98" i="6" s="1"/>
  <c r="BK17" i="6"/>
  <c r="BK98" i="6" s="1"/>
  <c r="BJ17" i="6"/>
  <c r="BJ98" i="6" s="1"/>
  <c r="BI17" i="6"/>
  <c r="BI98" i="6" s="1"/>
  <c r="BH17" i="6"/>
  <c r="BH98" i="6" s="1"/>
  <c r="BG17" i="6"/>
  <c r="BG98" i="6" s="1"/>
  <c r="BF17" i="6"/>
  <c r="BF98" i="6" s="1"/>
  <c r="BE17" i="6"/>
  <c r="BE98" i="6" s="1"/>
  <c r="BD17" i="6"/>
  <c r="BD98" i="6" s="1"/>
  <c r="BC17" i="6"/>
  <c r="BC98" i="6" s="1"/>
  <c r="BB17" i="6"/>
  <c r="BB98" i="6" s="1"/>
  <c r="BA17" i="6"/>
  <c r="BA98" i="6" s="1"/>
  <c r="AZ17" i="6"/>
  <c r="AZ98" i="6" s="1"/>
  <c r="AY17" i="6"/>
  <c r="AY98" i="6" s="1"/>
  <c r="AX17" i="6"/>
  <c r="AX98" i="6" s="1"/>
  <c r="AW17" i="6"/>
  <c r="AW98" i="6" s="1"/>
  <c r="AV17" i="6"/>
  <c r="AV98" i="6" s="1"/>
  <c r="AU17" i="6"/>
  <c r="AU98" i="6" s="1"/>
  <c r="AT17" i="6"/>
  <c r="AT98" i="6" s="1"/>
  <c r="AS17" i="6"/>
  <c r="AS98" i="6" s="1"/>
  <c r="AR17" i="6"/>
  <c r="AR98" i="6" s="1"/>
  <c r="AQ17" i="6"/>
  <c r="AQ98" i="6" s="1"/>
  <c r="AP17" i="6"/>
  <c r="AP98" i="6" s="1"/>
  <c r="AO17" i="6"/>
  <c r="AO98" i="6" s="1"/>
  <c r="AN17" i="6"/>
  <c r="AN98" i="6" s="1"/>
  <c r="AM17" i="6"/>
  <c r="AM98" i="6" s="1"/>
  <c r="AL17" i="6"/>
  <c r="AL98" i="6" s="1"/>
  <c r="AK17" i="6"/>
  <c r="AK98" i="6" s="1"/>
  <c r="AJ17" i="6"/>
  <c r="AJ98" i="6" s="1"/>
  <c r="AI17" i="6"/>
  <c r="AI98" i="6" s="1"/>
  <c r="AH17" i="6"/>
  <c r="AH98" i="6" s="1"/>
  <c r="AG17" i="6"/>
  <c r="AG98" i="6" s="1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P98" i="6" s="1"/>
  <c r="O17" i="6"/>
  <c r="O98" i="6" s="1"/>
  <c r="N17" i="6"/>
  <c r="N98" i="6" s="1"/>
  <c r="M17" i="6"/>
  <c r="M98" i="6" s="1"/>
  <c r="L17" i="6"/>
  <c r="L98" i="6" s="1"/>
  <c r="K17" i="6"/>
  <c r="K98" i="6" s="1"/>
  <c r="J17" i="6"/>
  <c r="J98" i="6" s="1"/>
  <c r="I17" i="6"/>
  <c r="I98" i="6" s="1"/>
  <c r="H17" i="6"/>
  <c r="H98" i="6" s="1"/>
  <c r="H99" i="6" s="1"/>
  <c r="I99" i="6" s="1"/>
  <c r="J99" i="6" s="1"/>
  <c r="K99" i="6" s="1"/>
  <c r="L99" i="6" s="1"/>
  <c r="M99" i="6" s="1"/>
  <c r="N99" i="6" s="1"/>
  <c r="O99" i="6" s="1"/>
  <c r="P99" i="6" s="1"/>
  <c r="G17" i="6"/>
  <c r="G98" i="6" s="1"/>
  <c r="F17" i="6"/>
  <c r="F98" i="6" s="1"/>
  <c r="E17" i="6"/>
  <c r="E98" i="6" s="1"/>
  <c r="CB16" i="6"/>
  <c r="BX16" i="6"/>
  <c r="BX100" i="6" s="1"/>
  <c r="BW16" i="6"/>
  <c r="BW100" i="6" s="1"/>
  <c r="BV16" i="6"/>
  <c r="BV100" i="6" s="1"/>
  <c r="BU16" i="6"/>
  <c r="BU100" i="6" s="1"/>
  <c r="BT16" i="6"/>
  <c r="BT100" i="6" s="1"/>
  <c r="BS16" i="6"/>
  <c r="BS100" i="6" s="1"/>
  <c r="BR16" i="6"/>
  <c r="BR100" i="6" s="1"/>
  <c r="BQ16" i="6"/>
  <c r="BQ100" i="6" s="1"/>
  <c r="BP16" i="6"/>
  <c r="BP100" i="6" s="1"/>
  <c r="BO16" i="6"/>
  <c r="BO100" i="6" s="1"/>
  <c r="BN16" i="6"/>
  <c r="BN100" i="6" s="1"/>
  <c r="BM16" i="6"/>
  <c r="BM100" i="6" s="1"/>
  <c r="BL16" i="6"/>
  <c r="BL100" i="6" s="1"/>
  <c r="BK16" i="6"/>
  <c r="BK100" i="6" s="1"/>
  <c r="BJ16" i="6"/>
  <c r="BJ100" i="6" s="1"/>
  <c r="BI16" i="6"/>
  <c r="BI100" i="6" s="1"/>
  <c r="BH16" i="6"/>
  <c r="BH100" i="6" s="1"/>
  <c r="BG16" i="6"/>
  <c r="BG100" i="6" s="1"/>
  <c r="BF16" i="6"/>
  <c r="BF100" i="6" s="1"/>
  <c r="BE16" i="6"/>
  <c r="BE100" i="6" s="1"/>
  <c r="BD16" i="6"/>
  <c r="BD100" i="6" s="1"/>
  <c r="BC16" i="6"/>
  <c r="BC100" i="6" s="1"/>
  <c r="BB16" i="6"/>
  <c r="BB100" i="6" s="1"/>
  <c r="BA16" i="6"/>
  <c r="BA100" i="6" s="1"/>
  <c r="AZ16" i="6"/>
  <c r="AZ100" i="6" s="1"/>
  <c r="AY16" i="6"/>
  <c r="AY100" i="6" s="1"/>
  <c r="AX16" i="6"/>
  <c r="AX100" i="6" s="1"/>
  <c r="AW16" i="6"/>
  <c r="AW100" i="6" s="1"/>
  <c r="AV16" i="6"/>
  <c r="AV100" i="6" s="1"/>
  <c r="AU16" i="6"/>
  <c r="AU100" i="6" s="1"/>
  <c r="AT16" i="6"/>
  <c r="AT100" i="6" s="1"/>
  <c r="AS16" i="6"/>
  <c r="AS100" i="6" s="1"/>
  <c r="AR16" i="6"/>
  <c r="AR100" i="6" s="1"/>
  <c r="AQ16" i="6"/>
  <c r="AQ100" i="6" s="1"/>
  <c r="AP16" i="6"/>
  <c r="AP100" i="6" s="1"/>
  <c r="AO16" i="6"/>
  <c r="AO100" i="6" s="1"/>
  <c r="AN16" i="6"/>
  <c r="AN100" i="6" s="1"/>
  <c r="AM16" i="6"/>
  <c r="AM100" i="6" s="1"/>
  <c r="AL16" i="6"/>
  <c r="AL100" i="6" s="1"/>
  <c r="AK16" i="6"/>
  <c r="AK100" i="6" s="1"/>
  <c r="AJ16" i="6"/>
  <c r="AJ100" i="6" s="1"/>
  <c r="AI16" i="6"/>
  <c r="AI100" i="6" s="1"/>
  <c r="AH16" i="6"/>
  <c r="AH100" i="6" s="1"/>
  <c r="AG16" i="6"/>
  <c r="AG100" i="6" s="1"/>
  <c r="J16" i="6"/>
  <c r="J100" i="6" s="1"/>
  <c r="I16" i="6"/>
  <c r="I100" i="6" s="1"/>
  <c r="G16" i="6"/>
  <c r="G100" i="6" s="1"/>
  <c r="F16" i="6"/>
  <c r="F100" i="6" s="1"/>
  <c r="E16" i="6"/>
  <c r="E100" i="6" s="1"/>
  <c r="E101" i="6" s="1"/>
  <c r="Q15" i="6"/>
  <c r="P15" i="6"/>
  <c r="S14" i="6"/>
  <c r="R14" i="6"/>
  <c r="Q14" i="6"/>
  <c r="P14" i="6"/>
  <c r="O14" i="6"/>
  <c r="M14" i="6"/>
  <c r="K14" i="6"/>
  <c r="Q11" i="6"/>
  <c r="Q16" i="6" s="1"/>
  <c r="P11" i="6"/>
  <c r="P16" i="6" s="1"/>
  <c r="P100" i="6" s="1"/>
  <c r="O11" i="6"/>
  <c r="N11" i="6"/>
  <c r="N16" i="6" s="1"/>
  <c r="N100" i="6" s="1"/>
  <c r="M11" i="6"/>
  <c r="BY11" i="6" s="1"/>
  <c r="X10" i="6"/>
  <c r="W9" i="6"/>
  <c r="V9" i="6"/>
  <c r="U9" i="6"/>
  <c r="BY8" i="6"/>
  <c r="BY7" i="6"/>
  <c r="O6" i="6"/>
  <c r="M6" i="6"/>
  <c r="L6" i="6"/>
  <c r="H5" i="6"/>
  <c r="C128" i="5"/>
  <c r="F114" i="5"/>
  <c r="F103" i="5"/>
  <c r="B103" i="5"/>
  <c r="F102" i="5"/>
  <c r="B102" i="5"/>
  <c r="F101" i="5"/>
  <c r="F100" i="5"/>
  <c r="B99" i="5"/>
  <c r="F89" i="5"/>
  <c r="F88" i="5"/>
  <c r="K80" i="5"/>
  <c r="I80" i="5"/>
  <c r="F79" i="5"/>
  <c r="F71" i="5"/>
  <c r="B71" i="5"/>
  <c r="B70" i="5"/>
  <c r="F69" i="5"/>
  <c r="B69" i="5"/>
  <c r="F68" i="5"/>
  <c r="B68" i="5"/>
  <c r="B67" i="5"/>
  <c r="B66" i="5"/>
  <c r="B65" i="5"/>
  <c r="B63" i="5"/>
  <c r="B62" i="5"/>
  <c r="F59" i="5"/>
  <c r="F58" i="5"/>
  <c r="B58" i="5"/>
  <c r="B57" i="5"/>
  <c r="B55" i="5"/>
  <c r="B50" i="5"/>
  <c r="R49" i="5"/>
  <c r="R50" i="5" s="1"/>
  <c r="R51" i="5" s="1"/>
  <c r="R52" i="5" s="1"/>
  <c r="B49" i="5"/>
  <c r="B47" i="5"/>
  <c r="F42" i="5"/>
  <c r="B41" i="5"/>
  <c r="F39" i="5"/>
  <c r="R38" i="5"/>
  <c r="B38" i="5"/>
  <c r="B37" i="5"/>
  <c r="F36" i="5"/>
  <c r="F35" i="5"/>
  <c r="B35" i="5"/>
  <c r="M31" i="5"/>
  <c r="B29" i="5"/>
  <c r="B27" i="5"/>
  <c r="J22" i="5"/>
  <c r="J23" i="5" s="1"/>
  <c r="B22" i="5"/>
  <c r="F19" i="5"/>
  <c r="C23" i="5" s="1"/>
  <c r="B19" i="5"/>
  <c r="B17" i="5"/>
  <c r="Q39" i="5" s="1"/>
  <c r="M16" i="5"/>
  <c r="K16" i="5"/>
  <c r="J16" i="5"/>
  <c r="I16" i="5"/>
  <c r="M15" i="5"/>
  <c r="K15" i="5"/>
  <c r="J15" i="5"/>
  <c r="I15" i="5"/>
  <c r="R14" i="5"/>
  <c r="K14" i="5"/>
  <c r="J14" i="5"/>
  <c r="I14" i="5"/>
  <c r="K13" i="5"/>
  <c r="J13" i="5"/>
  <c r="I13" i="5"/>
  <c r="B13" i="5"/>
  <c r="K12" i="5"/>
  <c r="J12" i="5"/>
  <c r="I12" i="5"/>
  <c r="B12" i="5"/>
  <c r="K11" i="5"/>
  <c r="J11" i="5"/>
  <c r="F31" i="5" s="1"/>
  <c r="I11" i="5"/>
  <c r="B11" i="5"/>
  <c r="N10" i="5"/>
  <c r="M10" i="5"/>
  <c r="K10" i="5"/>
  <c r="J10" i="5"/>
  <c r="I10" i="5"/>
  <c r="F10" i="5"/>
  <c r="B10" i="5"/>
  <c r="M9" i="5"/>
  <c r="L9" i="5"/>
  <c r="K9" i="5"/>
  <c r="J9" i="5"/>
  <c r="I9" i="5"/>
  <c r="F9" i="5"/>
  <c r="M8" i="5"/>
  <c r="K8" i="5"/>
  <c r="J8" i="5"/>
  <c r="I8" i="5"/>
  <c r="F8" i="5"/>
  <c r="B8" i="5"/>
  <c r="Q36" i="5" s="1"/>
  <c r="E10" i="3"/>
  <c r="D10" i="3"/>
  <c r="B10" i="3"/>
  <c r="C10" i="3" s="1"/>
  <c r="A10" i="3"/>
  <c r="E9" i="3"/>
  <c r="D9" i="3"/>
  <c r="B9" i="3"/>
  <c r="C9" i="3" s="1"/>
  <c r="A9" i="3"/>
  <c r="E8" i="3"/>
  <c r="D8" i="3"/>
  <c r="B8" i="3"/>
  <c r="C8" i="3" s="1"/>
  <c r="A8" i="3"/>
  <c r="D7" i="3"/>
  <c r="B7" i="3"/>
  <c r="A7" i="3"/>
  <c r="D6" i="3"/>
  <c r="B6" i="3"/>
  <c r="A6" i="3"/>
  <c r="D5" i="3"/>
  <c r="B5" i="3"/>
  <c r="A5" i="3"/>
  <c r="E4" i="3"/>
  <c r="D4" i="3"/>
  <c r="B4" i="3"/>
  <c r="C4" i="3" s="1"/>
  <c r="A4" i="3"/>
  <c r="E3" i="3"/>
  <c r="D3" i="3"/>
  <c r="B3" i="3"/>
  <c r="A3" i="3"/>
  <c r="D2" i="3"/>
  <c r="G1" i="3"/>
  <c r="B1" i="3"/>
  <c r="B10" i="2"/>
  <c r="B9" i="2"/>
  <c r="B8" i="2"/>
  <c r="B7" i="2"/>
  <c r="F6" i="2"/>
  <c r="E7" i="3" s="1"/>
  <c r="B6" i="2"/>
  <c r="F5" i="2"/>
  <c r="E6" i="3" s="1"/>
  <c r="B5" i="2"/>
  <c r="F4" i="2"/>
  <c r="E5" i="3" s="1"/>
  <c r="B4" i="2"/>
  <c r="B2" i="2"/>
  <c r="J11" i="1"/>
  <c r="K11" i="1" s="1"/>
  <c r="F11" i="1"/>
  <c r="G11" i="1" s="1"/>
  <c r="J10" i="1"/>
  <c r="K10" i="1" s="1"/>
  <c r="F10" i="1"/>
  <c r="J9" i="1"/>
  <c r="K9" i="1" s="1"/>
  <c r="G9" i="1"/>
  <c r="F9" i="1"/>
  <c r="I8" i="1"/>
  <c r="F8" i="1"/>
  <c r="I7" i="1"/>
  <c r="F7" i="1"/>
  <c r="I6" i="1"/>
  <c r="F6" i="1"/>
  <c r="I5" i="1"/>
  <c r="F5" i="1"/>
  <c r="L4" i="1"/>
  <c r="K4" i="1"/>
  <c r="H4" i="1"/>
  <c r="M4" i="1" s="1"/>
  <c r="F4" i="1"/>
  <c r="J3" i="1"/>
  <c r="K3" i="1" s="1"/>
  <c r="G3" i="1"/>
  <c r="J2" i="1"/>
  <c r="F2" i="1"/>
  <c r="F31" i="11" l="1"/>
  <c r="F49" i="11"/>
  <c r="F50" i="11" s="1"/>
  <c r="C51" i="11" s="1"/>
  <c r="N9" i="27"/>
  <c r="J17" i="11"/>
  <c r="AI96" i="12"/>
  <c r="AI97" i="12" s="1"/>
  <c r="BG96" i="12"/>
  <c r="BG97" i="12" s="1"/>
  <c r="AZ96" i="12"/>
  <c r="F96" i="12"/>
  <c r="V96" i="12"/>
  <c r="V97" i="12" s="1"/>
  <c r="AD96" i="12"/>
  <c r="AD97" i="12" s="1"/>
  <c r="AL96" i="12"/>
  <c r="AL97" i="12" s="1"/>
  <c r="AT96" i="12"/>
  <c r="AT97" i="12" s="1"/>
  <c r="BB96" i="12"/>
  <c r="BB97" i="12" s="1"/>
  <c r="BJ96" i="12"/>
  <c r="BJ97" i="12" s="1"/>
  <c r="BR96" i="12"/>
  <c r="BR97" i="12" s="1"/>
  <c r="AA96" i="12"/>
  <c r="AA97" i="12" s="1"/>
  <c r="AY96" i="12"/>
  <c r="AB96" i="12"/>
  <c r="BH96" i="12"/>
  <c r="BH97" i="12" s="1"/>
  <c r="AC96" i="12"/>
  <c r="BA96" i="12"/>
  <c r="G96" i="12"/>
  <c r="G97" i="12" s="1"/>
  <c r="W96" i="12"/>
  <c r="W97" i="12" s="1"/>
  <c r="AE96" i="12"/>
  <c r="AE97" i="12" s="1"/>
  <c r="AM96" i="12"/>
  <c r="AM97" i="12" s="1"/>
  <c r="AU96" i="12"/>
  <c r="AU97" i="12" s="1"/>
  <c r="BC96" i="12"/>
  <c r="BC97" i="12" s="1"/>
  <c r="BK96" i="12"/>
  <c r="BK97" i="12" s="1"/>
  <c r="BS96" i="12"/>
  <c r="BS97" i="12" s="1"/>
  <c r="AX97" i="12"/>
  <c r="AY97" i="12"/>
  <c r="BO96" i="12"/>
  <c r="BO97" i="12" s="1"/>
  <c r="AZ97" i="12"/>
  <c r="AJ96" i="12"/>
  <c r="AJ97" i="12" s="1"/>
  <c r="BP96" i="12"/>
  <c r="U96" i="12"/>
  <c r="U97" i="12" s="1"/>
  <c r="AK96" i="12"/>
  <c r="AK97" i="12" s="1"/>
  <c r="AS96" i="12"/>
  <c r="AS97" i="12" s="1"/>
  <c r="BI96" i="12"/>
  <c r="BI97" i="12" s="1"/>
  <c r="X96" i="12"/>
  <c r="X97" i="12" s="1"/>
  <c r="AF96" i="12"/>
  <c r="AF97" i="12" s="1"/>
  <c r="AN96" i="12"/>
  <c r="AN97" i="12" s="1"/>
  <c r="AV96" i="12"/>
  <c r="AV97" i="12" s="1"/>
  <c r="BD96" i="12"/>
  <c r="BD97" i="12" s="1"/>
  <c r="BL96" i="12"/>
  <c r="BL97" i="12" s="1"/>
  <c r="BT96" i="12"/>
  <c r="BT97" i="12" s="1"/>
  <c r="I23" i="12"/>
  <c r="AQ96" i="12"/>
  <c r="AQ97" i="12" s="1"/>
  <c r="BW96" i="12"/>
  <c r="BW97" i="12" s="1"/>
  <c r="AB97" i="12"/>
  <c r="BP97" i="12"/>
  <c r="AR96" i="12"/>
  <c r="AR97" i="12" s="1"/>
  <c r="BX96" i="12"/>
  <c r="BX97" i="12" s="1"/>
  <c r="AC97" i="12"/>
  <c r="BA97" i="12"/>
  <c r="E96" i="12"/>
  <c r="E97" i="12" s="1"/>
  <c r="E98" i="12" s="1"/>
  <c r="BQ96" i="12"/>
  <c r="BQ97" i="12" s="1"/>
  <c r="F97" i="12"/>
  <c r="Y96" i="12"/>
  <c r="Y97" i="12" s="1"/>
  <c r="AG96" i="12"/>
  <c r="AG97" i="12" s="1"/>
  <c r="AO96" i="12"/>
  <c r="AO97" i="12" s="1"/>
  <c r="AW96" i="12"/>
  <c r="AW97" i="12" s="1"/>
  <c r="BE96" i="12"/>
  <c r="BE97" i="12" s="1"/>
  <c r="BM96" i="12"/>
  <c r="BM97" i="12" s="1"/>
  <c r="BU96" i="12"/>
  <c r="BU97" i="12" s="1"/>
  <c r="L8" i="27"/>
  <c r="L8" i="11"/>
  <c r="L8" i="5"/>
  <c r="G2" i="1"/>
  <c r="N8" i="5" s="1"/>
  <c r="K2" i="1"/>
  <c r="N9" i="11"/>
  <c r="N9" i="5"/>
  <c r="L3" i="1"/>
  <c r="H3" i="1"/>
  <c r="M3" i="1" s="1"/>
  <c r="L10" i="27"/>
  <c r="L10" i="11"/>
  <c r="L10" i="5"/>
  <c r="L11" i="27"/>
  <c r="L11" i="11"/>
  <c r="L11" i="5"/>
  <c r="G5" i="1"/>
  <c r="M11" i="27"/>
  <c r="M11" i="11"/>
  <c r="M11" i="5"/>
  <c r="J5" i="1"/>
  <c r="L12" i="27"/>
  <c r="L12" i="11"/>
  <c r="L12" i="5"/>
  <c r="G6" i="1"/>
  <c r="M12" i="27"/>
  <c r="M12" i="11"/>
  <c r="M12" i="5"/>
  <c r="J6" i="1"/>
  <c r="K6" i="1" s="1"/>
  <c r="L13" i="27"/>
  <c r="L13" i="11"/>
  <c r="L13" i="5"/>
  <c r="G7" i="1"/>
  <c r="M13" i="27"/>
  <c r="M13" i="11"/>
  <c r="M13" i="5"/>
  <c r="J7" i="1"/>
  <c r="K7" i="1" s="1"/>
  <c r="L14" i="27"/>
  <c r="L14" i="11"/>
  <c r="L14" i="5"/>
  <c r="G8" i="1"/>
  <c r="M14" i="27"/>
  <c r="M14" i="11"/>
  <c r="M14" i="5"/>
  <c r="J8" i="1"/>
  <c r="K8" i="1" s="1"/>
  <c r="L15" i="27"/>
  <c r="L15" i="11"/>
  <c r="L15" i="5"/>
  <c r="N15" i="11"/>
  <c r="N15" i="5"/>
  <c r="L9" i="1"/>
  <c r="H9" i="1"/>
  <c r="M9" i="1" s="1"/>
  <c r="L16" i="27"/>
  <c r="L16" i="11"/>
  <c r="L16" i="5"/>
  <c r="G10" i="1"/>
  <c r="L11" i="1"/>
  <c r="H11" i="1"/>
  <c r="M11" i="1" s="1"/>
  <c r="BX3" i="26"/>
  <c r="BW3" i="26"/>
  <c r="BV3" i="26"/>
  <c r="BU3" i="26"/>
  <c r="BT3" i="26"/>
  <c r="BS3" i="26"/>
  <c r="BR3" i="26"/>
  <c r="BQ3" i="26"/>
  <c r="BP3" i="26"/>
  <c r="BO3" i="26"/>
  <c r="BN3" i="26"/>
  <c r="BM3" i="26"/>
  <c r="BL3" i="26"/>
  <c r="BK3" i="26"/>
  <c r="BJ3" i="26"/>
  <c r="BI3" i="26"/>
  <c r="BH3" i="26"/>
  <c r="BG3" i="26"/>
  <c r="BF3" i="26"/>
  <c r="BE3" i="26"/>
  <c r="BD3" i="26"/>
  <c r="BC3" i="26"/>
  <c r="BB3" i="26"/>
  <c r="BA3" i="26"/>
  <c r="AZ3" i="26"/>
  <c r="AY3" i="26"/>
  <c r="AX3" i="26"/>
  <c r="AW3" i="26"/>
  <c r="AV3" i="26"/>
  <c r="AU3" i="26"/>
  <c r="AT3" i="26"/>
  <c r="AS3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BX3" i="19"/>
  <c r="BW3" i="19"/>
  <c r="BV3" i="19"/>
  <c r="BU3" i="19"/>
  <c r="BT3" i="19"/>
  <c r="BS3" i="19"/>
  <c r="BR3" i="19"/>
  <c r="BQ3" i="19"/>
  <c r="BP3" i="19"/>
  <c r="BO3" i="19"/>
  <c r="BN3" i="19"/>
  <c r="BM3" i="19"/>
  <c r="BL3" i="19"/>
  <c r="BK3" i="19"/>
  <c r="BJ3" i="19"/>
  <c r="BI3" i="19"/>
  <c r="BH3" i="19"/>
  <c r="BG3" i="19"/>
  <c r="BF3" i="19"/>
  <c r="BE3" i="19"/>
  <c r="BD3" i="19"/>
  <c r="BC3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BX3" i="16"/>
  <c r="BW3" i="16"/>
  <c r="BV3" i="16"/>
  <c r="BU3" i="16"/>
  <c r="BT3" i="16"/>
  <c r="BS3" i="16"/>
  <c r="BR3" i="16"/>
  <c r="BQ3" i="16"/>
  <c r="BP3" i="16"/>
  <c r="BO3" i="16"/>
  <c r="BN3" i="16"/>
  <c r="BM3" i="16"/>
  <c r="BL3" i="16"/>
  <c r="BK3" i="16"/>
  <c r="BJ3" i="16"/>
  <c r="BI3" i="16"/>
  <c r="BH3" i="16"/>
  <c r="BG3" i="16"/>
  <c r="BF3" i="16"/>
  <c r="BE3" i="16"/>
  <c r="BD3" i="16"/>
  <c r="BC3" i="16"/>
  <c r="BB3" i="16"/>
  <c r="BA3" i="16"/>
  <c r="AZ3" i="16"/>
  <c r="AY3" i="16"/>
  <c r="AX3" i="16"/>
  <c r="AW3" i="16"/>
  <c r="AV3" i="16"/>
  <c r="AU3" i="16"/>
  <c r="AT3" i="16"/>
  <c r="AS3" i="16"/>
  <c r="AR3" i="16"/>
  <c r="AQ3" i="16"/>
  <c r="AP3" i="16"/>
  <c r="AO3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BX3" i="15"/>
  <c r="BW3" i="15"/>
  <c r="BV3" i="15"/>
  <c r="BU3" i="15"/>
  <c r="BT3" i="15"/>
  <c r="BS3" i="15"/>
  <c r="BR3" i="15"/>
  <c r="BQ3" i="15"/>
  <c r="BP3" i="15"/>
  <c r="BO3" i="15"/>
  <c r="BN3" i="15"/>
  <c r="BM3" i="15"/>
  <c r="BL3" i="15"/>
  <c r="BK3" i="15"/>
  <c r="BJ3" i="15"/>
  <c r="BI3" i="15"/>
  <c r="BH3" i="15"/>
  <c r="BG3" i="15"/>
  <c r="BF3" i="15"/>
  <c r="BE3" i="15"/>
  <c r="BD3" i="15"/>
  <c r="BC3" i="15"/>
  <c r="BB3" i="15"/>
  <c r="BA3" i="15"/>
  <c r="AZ3" i="15"/>
  <c r="AY3" i="15"/>
  <c r="AX3" i="15"/>
  <c r="AW3" i="15"/>
  <c r="AV3" i="15"/>
  <c r="AU3" i="15"/>
  <c r="AT3" i="15"/>
  <c r="AS3" i="15"/>
  <c r="AR3" i="15"/>
  <c r="AQ3" i="15"/>
  <c r="AP3" i="15"/>
  <c r="AO3" i="15"/>
  <c r="AN3" i="15"/>
  <c r="AM3" i="15"/>
  <c r="AL3" i="15"/>
  <c r="AK3" i="15"/>
  <c r="AJ3" i="15"/>
  <c r="AI3" i="15"/>
  <c r="AH3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BX3" i="14"/>
  <c r="BW3" i="14"/>
  <c r="BV3" i="14"/>
  <c r="BU3" i="14"/>
  <c r="BT3" i="14"/>
  <c r="BS3" i="14"/>
  <c r="BR3" i="14"/>
  <c r="BQ3" i="14"/>
  <c r="BP3" i="14"/>
  <c r="BO3" i="14"/>
  <c r="BN3" i="14"/>
  <c r="BM3" i="14"/>
  <c r="BL3" i="14"/>
  <c r="BK3" i="14"/>
  <c r="BJ3" i="14"/>
  <c r="BI3" i="14"/>
  <c r="BH3" i="14"/>
  <c r="BG3" i="14"/>
  <c r="BF3" i="14"/>
  <c r="BE3" i="14"/>
  <c r="BD3" i="14"/>
  <c r="BC3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BX3" i="12"/>
  <c r="BW3" i="12"/>
  <c r="BV3" i="12"/>
  <c r="BU3" i="12"/>
  <c r="BT3" i="12"/>
  <c r="BS3" i="12"/>
  <c r="BR3" i="12"/>
  <c r="BQ3" i="12"/>
  <c r="BP3" i="12"/>
  <c r="BO3" i="12"/>
  <c r="BN3" i="12"/>
  <c r="BM3" i="12"/>
  <c r="BL3" i="12"/>
  <c r="BK3" i="12"/>
  <c r="BJ3" i="12"/>
  <c r="BI3" i="12"/>
  <c r="BH3" i="12"/>
  <c r="BG3" i="12"/>
  <c r="BF3" i="12"/>
  <c r="BE3" i="12"/>
  <c r="BD3" i="12"/>
  <c r="BC3" i="12"/>
  <c r="BB3" i="12"/>
  <c r="BA3" i="12"/>
  <c r="AZ3" i="12"/>
  <c r="AY3" i="12"/>
  <c r="AX3" i="12"/>
  <c r="AW3" i="12"/>
  <c r="AV3" i="12"/>
  <c r="AU3" i="12"/>
  <c r="AT3" i="12"/>
  <c r="AS3" i="12"/>
  <c r="AR3" i="12"/>
  <c r="AQ3" i="12"/>
  <c r="AP3" i="12"/>
  <c r="AO3" i="12"/>
  <c r="AN3" i="12"/>
  <c r="AM3" i="12"/>
  <c r="AL3" i="12"/>
  <c r="AK3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P3" i="7"/>
  <c r="O3" i="7"/>
  <c r="N3" i="7"/>
  <c r="M3" i="7"/>
  <c r="L3" i="7"/>
  <c r="K3" i="7"/>
  <c r="J3" i="7"/>
  <c r="I3" i="7"/>
  <c r="H3" i="7"/>
  <c r="G3" i="7"/>
  <c r="F3" i="7"/>
  <c r="E3" i="7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C3" i="3"/>
  <c r="F3" i="3" s="1"/>
  <c r="G3" i="3"/>
  <c r="F4" i="3"/>
  <c r="G4" i="3"/>
  <c r="C5" i="3"/>
  <c r="F5" i="3" s="1"/>
  <c r="G5" i="3" s="1"/>
  <c r="C6" i="3"/>
  <c r="F6" i="3" s="1"/>
  <c r="G6" i="3" s="1"/>
  <c r="C7" i="3"/>
  <c r="F7" i="3" s="1"/>
  <c r="G7" i="3" s="1"/>
  <c r="F8" i="3"/>
  <c r="G8" i="3"/>
  <c r="F9" i="3"/>
  <c r="G9" i="3"/>
  <c r="F10" i="3"/>
  <c r="G10" i="3"/>
  <c r="F13" i="5"/>
  <c r="F12" i="5"/>
  <c r="C14" i="5" s="1"/>
  <c r="Y80" i="7"/>
  <c r="Y63" i="7" s="1"/>
  <c r="X80" i="7"/>
  <c r="X63" i="7" s="1"/>
  <c r="V80" i="7"/>
  <c r="V63" i="7" s="1"/>
  <c r="U80" i="7"/>
  <c r="U63" i="7" s="1"/>
  <c r="Y80" i="6"/>
  <c r="Y63" i="6" s="1"/>
  <c r="X80" i="6"/>
  <c r="X63" i="6" s="1"/>
  <c r="W80" i="6"/>
  <c r="W63" i="6" s="1"/>
  <c r="V80" i="6"/>
  <c r="V63" i="6" s="1"/>
  <c r="U80" i="6"/>
  <c r="U63" i="6" s="1"/>
  <c r="T80" i="6"/>
  <c r="T63" i="6" s="1"/>
  <c r="S80" i="6"/>
  <c r="S63" i="6" s="1"/>
  <c r="R80" i="6"/>
  <c r="J17" i="5"/>
  <c r="M17" i="5"/>
  <c r="H119" i="7"/>
  <c r="D127" i="7" s="1"/>
  <c r="H114" i="6"/>
  <c r="D122" i="6" s="1"/>
  <c r="Y27" i="26"/>
  <c r="X27" i="26"/>
  <c r="W27" i="26"/>
  <c r="V27" i="26"/>
  <c r="U27" i="26"/>
  <c r="T27" i="26"/>
  <c r="Z27" i="17"/>
  <c r="Y27" i="17"/>
  <c r="X27" i="17"/>
  <c r="W27" i="17"/>
  <c r="V27" i="17"/>
  <c r="U27" i="17"/>
  <c r="T27" i="17"/>
  <c r="S27" i="17"/>
  <c r="Z27" i="16"/>
  <c r="Y27" i="16"/>
  <c r="X27" i="16"/>
  <c r="W27" i="16"/>
  <c r="V27" i="16"/>
  <c r="U27" i="16"/>
  <c r="T27" i="16"/>
  <c r="S27" i="16"/>
  <c r="Z27" i="15"/>
  <c r="Y27" i="15"/>
  <c r="X27" i="15"/>
  <c r="W27" i="15"/>
  <c r="V27" i="15"/>
  <c r="U27" i="15"/>
  <c r="T27" i="15"/>
  <c r="S27" i="15"/>
  <c r="Y27" i="6"/>
  <c r="X27" i="6"/>
  <c r="W27" i="6"/>
  <c r="V27" i="6"/>
  <c r="U27" i="6"/>
  <c r="F49" i="5"/>
  <c r="F41" i="5"/>
  <c r="R39" i="5"/>
  <c r="F24" i="5"/>
  <c r="AA15" i="26"/>
  <c r="AA15" i="7"/>
  <c r="AA15" i="6"/>
  <c r="M32" i="12"/>
  <c r="M26" i="12" s="1"/>
  <c r="L32" i="12"/>
  <c r="L26" i="12" s="1"/>
  <c r="K32" i="12"/>
  <c r="K26" i="12" s="1"/>
  <c r="J32" i="12"/>
  <c r="J26" i="12" s="1"/>
  <c r="I32" i="12"/>
  <c r="I26" i="12" s="1"/>
  <c r="H32" i="12"/>
  <c r="F40" i="5"/>
  <c r="C43" i="5" s="1"/>
  <c r="N39" i="12"/>
  <c r="M39" i="12"/>
  <c r="L39" i="12"/>
  <c r="K39" i="12"/>
  <c r="J39" i="12"/>
  <c r="I39" i="12"/>
  <c r="T45" i="20"/>
  <c r="S45" i="20"/>
  <c r="R45" i="20"/>
  <c r="Q45" i="20"/>
  <c r="P45" i="20"/>
  <c r="O45" i="20"/>
  <c r="N45" i="20"/>
  <c r="M45" i="20"/>
  <c r="L45" i="20"/>
  <c r="K45" i="20"/>
  <c r="J45" i="20"/>
  <c r="T45" i="19"/>
  <c r="T37" i="19" s="1"/>
  <c r="S45" i="19"/>
  <c r="S37" i="19" s="1"/>
  <c r="R45" i="19"/>
  <c r="R37" i="19" s="1"/>
  <c r="Q45" i="19"/>
  <c r="Q37" i="19" s="1"/>
  <c r="P45" i="19"/>
  <c r="O45" i="19"/>
  <c r="O37" i="19" s="1"/>
  <c r="Q14" i="19" s="1"/>
  <c r="N45" i="19"/>
  <c r="N37" i="19" s="1"/>
  <c r="P14" i="19" s="1"/>
  <c r="P16" i="19" s="1"/>
  <c r="M45" i="19"/>
  <c r="M37" i="19" s="1"/>
  <c r="O14" i="19" s="1"/>
  <c r="L45" i="19"/>
  <c r="L37" i="19" s="1"/>
  <c r="N14" i="19" s="1"/>
  <c r="K45" i="19"/>
  <c r="P45" i="17"/>
  <c r="P37" i="17" s="1"/>
  <c r="P45" i="16"/>
  <c r="P37" i="16" s="1"/>
  <c r="P45" i="15"/>
  <c r="O45" i="15"/>
  <c r="O37" i="15" s="1"/>
  <c r="Q14" i="15" s="1"/>
  <c r="Q16" i="15" s="1"/>
  <c r="T43" i="14"/>
  <c r="S43" i="14"/>
  <c r="R43" i="14"/>
  <c r="Q43" i="14"/>
  <c r="P43" i="14"/>
  <c r="O43" i="14"/>
  <c r="N43" i="14"/>
  <c r="M43" i="14"/>
  <c r="L43" i="14"/>
  <c r="K43" i="14"/>
  <c r="J43" i="14"/>
  <c r="T43" i="12"/>
  <c r="S43" i="12"/>
  <c r="R43" i="12"/>
  <c r="Q43" i="12"/>
  <c r="P43" i="12"/>
  <c r="O43" i="12"/>
  <c r="N43" i="12"/>
  <c r="M43" i="12"/>
  <c r="L43" i="12"/>
  <c r="K43" i="12"/>
  <c r="J43" i="12"/>
  <c r="I43" i="12"/>
  <c r="Z46" i="26"/>
  <c r="T46" i="26"/>
  <c r="S46" i="26"/>
  <c r="R46" i="26"/>
  <c r="T46" i="20"/>
  <c r="P46" i="20"/>
  <c r="K46" i="20"/>
  <c r="AC46" i="19"/>
  <c r="AC37" i="19" s="1"/>
  <c r="P46" i="19"/>
  <c r="K46" i="19"/>
  <c r="Z46" i="17"/>
  <c r="T46" i="17"/>
  <c r="R46" i="17"/>
  <c r="Q46" i="17"/>
  <c r="Z46" i="16"/>
  <c r="T46" i="16"/>
  <c r="R46" i="16"/>
  <c r="Q46" i="16"/>
  <c r="Z46" i="15"/>
  <c r="T46" i="15"/>
  <c r="Q46" i="15"/>
  <c r="P46" i="15"/>
  <c r="T44" i="14"/>
  <c r="P44" i="14"/>
  <c r="K44" i="14"/>
  <c r="T44" i="12"/>
  <c r="P44" i="12"/>
  <c r="I44" i="12"/>
  <c r="AB46" i="7"/>
  <c r="W46" i="7"/>
  <c r="W37" i="7" s="1"/>
  <c r="V46" i="7"/>
  <c r="U46" i="7"/>
  <c r="Z46" i="6"/>
  <c r="T46" i="6"/>
  <c r="S46" i="6"/>
  <c r="R46" i="6"/>
  <c r="AA43" i="26"/>
  <c r="AA42" i="26" s="1"/>
  <c r="AA37" i="26" s="1"/>
  <c r="Z43" i="26"/>
  <c r="Z42" i="26" s="1"/>
  <c r="Y43" i="26"/>
  <c r="Y42" i="26" s="1"/>
  <c r="X43" i="26"/>
  <c r="X42" i="26" s="1"/>
  <c r="W43" i="26"/>
  <c r="W42" i="26" s="1"/>
  <c r="V43" i="26"/>
  <c r="V42" i="26" s="1"/>
  <c r="U43" i="26"/>
  <c r="U42" i="26" s="1"/>
  <c r="T43" i="26"/>
  <c r="T42" i="26" s="1"/>
  <c r="S43" i="26"/>
  <c r="S42" i="26" s="1"/>
  <c r="R43" i="26"/>
  <c r="R42" i="26" s="1"/>
  <c r="AA43" i="17"/>
  <c r="AA42" i="17" s="1"/>
  <c r="AA37" i="17" s="1"/>
  <c r="Z43" i="17"/>
  <c r="Z42" i="17" s="1"/>
  <c r="Y43" i="17"/>
  <c r="Y42" i="17" s="1"/>
  <c r="X43" i="17"/>
  <c r="X42" i="17" s="1"/>
  <c r="W43" i="17"/>
  <c r="W42" i="17" s="1"/>
  <c r="V43" i="17"/>
  <c r="V42" i="17" s="1"/>
  <c r="U43" i="17"/>
  <c r="U42" i="17" s="1"/>
  <c r="T43" i="17"/>
  <c r="T42" i="17" s="1"/>
  <c r="S43" i="17"/>
  <c r="S42" i="17" s="1"/>
  <c r="R43" i="17"/>
  <c r="R42" i="17" s="1"/>
  <c r="Q43" i="17"/>
  <c r="Q42" i="17" s="1"/>
  <c r="AA43" i="16"/>
  <c r="AA42" i="16" s="1"/>
  <c r="AA37" i="16" s="1"/>
  <c r="Z43" i="16"/>
  <c r="Z42" i="16" s="1"/>
  <c r="Y43" i="16"/>
  <c r="Y42" i="16" s="1"/>
  <c r="X43" i="16"/>
  <c r="X42" i="16" s="1"/>
  <c r="W43" i="16"/>
  <c r="W42" i="16" s="1"/>
  <c r="V43" i="16"/>
  <c r="V42" i="16" s="1"/>
  <c r="U43" i="16"/>
  <c r="U42" i="16" s="1"/>
  <c r="T43" i="16"/>
  <c r="T42" i="16" s="1"/>
  <c r="S43" i="16"/>
  <c r="S42" i="16" s="1"/>
  <c r="R43" i="16"/>
  <c r="R42" i="16" s="1"/>
  <c r="Q43" i="16"/>
  <c r="Q42" i="16" s="1"/>
  <c r="AA43" i="15"/>
  <c r="AA42" i="15" s="1"/>
  <c r="AA37" i="15" s="1"/>
  <c r="Z43" i="15"/>
  <c r="Z42" i="15" s="1"/>
  <c r="Y43" i="15"/>
  <c r="Y42" i="15" s="1"/>
  <c r="X43" i="15"/>
  <c r="X42" i="15" s="1"/>
  <c r="W43" i="15"/>
  <c r="W42" i="15" s="1"/>
  <c r="V43" i="15"/>
  <c r="V42" i="15" s="1"/>
  <c r="U43" i="15"/>
  <c r="U42" i="15" s="1"/>
  <c r="T43" i="15"/>
  <c r="T42" i="15" s="1"/>
  <c r="S43" i="15"/>
  <c r="S42" i="15" s="1"/>
  <c r="R43" i="15"/>
  <c r="R42" i="15" s="1"/>
  <c r="Q43" i="15"/>
  <c r="Q42" i="15" s="1"/>
  <c r="AB43" i="7"/>
  <c r="AB42" i="7" s="1"/>
  <c r="AB37" i="7" s="1"/>
  <c r="AA43" i="7"/>
  <c r="AA42" i="7" s="1"/>
  <c r="AA37" i="7" s="1"/>
  <c r="Z43" i="7"/>
  <c r="Z42" i="7" s="1"/>
  <c r="Y43" i="7"/>
  <c r="Y42" i="7" s="1"/>
  <c r="Y37" i="7" s="1"/>
  <c r="X43" i="7"/>
  <c r="X42" i="7" s="1"/>
  <c r="X37" i="7" s="1"/>
  <c r="V43" i="7"/>
  <c r="V42" i="7" s="1"/>
  <c r="V37" i="7" s="1"/>
  <c r="U43" i="7"/>
  <c r="U42" i="7" s="1"/>
  <c r="U37" i="7" s="1"/>
  <c r="AF43" i="6"/>
  <c r="AE43" i="6"/>
  <c r="AD43" i="6"/>
  <c r="AC43" i="6"/>
  <c r="AB43" i="6"/>
  <c r="AA43" i="6"/>
  <c r="AA42" i="6" s="1"/>
  <c r="AA37" i="6" s="1"/>
  <c r="Z43" i="6"/>
  <c r="Z42" i="6" s="1"/>
  <c r="Y43" i="6"/>
  <c r="Y42" i="6" s="1"/>
  <c r="X43" i="6"/>
  <c r="X42" i="6" s="1"/>
  <c r="W43" i="6"/>
  <c r="W42" i="6" s="1"/>
  <c r="V43" i="6"/>
  <c r="V42" i="6" s="1"/>
  <c r="U43" i="6"/>
  <c r="U42" i="6" s="1"/>
  <c r="T43" i="6"/>
  <c r="T42" i="6" s="1"/>
  <c r="S43" i="6"/>
  <c r="S42" i="6" s="1"/>
  <c r="R43" i="6"/>
  <c r="D126" i="5"/>
  <c r="C104" i="5"/>
  <c r="T53" i="20"/>
  <c r="T49" i="20" s="1"/>
  <c r="S53" i="20"/>
  <c r="S49" i="20" s="1"/>
  <c r="R53" i="20"/>
  <c r="R49" i="20" s="1"/>
  <c r="Q53" i="20"/>
  <c r="Q49" i="20" s="1"/>
  <c r="P53" i="20"/>
  <c r="P49" i="20" s="1"/>
  <c r="O53" i="20"/>
  <c r="O49" i="20" s="1"/>
  <c r="N53" i="20"/>
  <c r="N49" i="20" s="1"/>
  <c r="M53" i="20"/>
  <c r="M49" i="20" s="1"/>
  <c r="L53" i="20"/>
  <c r="L49" i="20" s="1"/>
  <c r="K53" i="20"/>
  <c r="K49" i="20" s="1"/>
  <c r="J53" i="20"/>
  <c r="J49" i="20" s="1"/>
  <c r="AC53" i="19"/>
  <c r="AC49" i="19" s="1"/>
  <c r="AB53" i="19"/>
  <c r="AB49" i="19" s="1"/>
  <c r="AA53" i="19"/>
  <c r="AA49" i="19" s="1"/>
  <c r="Z53" i="19"/>
  <c r="Z49" i="19" s="1"/>
  <c r="Y53" i="19"/>
  <c r="Y49" i="19" s="1"/>
  <c r="X53" i="19"/>
  <c r="X49" i="19" s="1"/>
  <c r="W53" i="19"/>
  <c r="W49" i="19" s="1"/>
  <c r="V53" i="19"/>
  <c r="V49" i="19" s="1"/>
  <c r="U53" i="19"/>
  <c r="U49" i="19" s="1"/>
  <c r="T53" i="19"/>
  <c r="T49" i="19" s="1"/>
  <c r="S53" i="19"/>
  <c r="S49" i="19" s="1"/>
  <c r="R53" i="19"/>
  <c r="R49" i="19" s="1"/>
  <c r="Q53" i="19"/>
  <c r="Q49" i="19" s="1"/>
  <c r="P53" i="19"/>
  <c r="P49" i="19" s="1"/>
  <c r="O53" i="19"/>
  <c r="O49" i="19" s="1"/>
  <c r="N53" i="19"/>
  <c r="N49" i="19" s="1"/>
  <c r="M53" i="19"/>
  <c r="M49" i="19" s="1"/>
  <c r="L53" i="19"/>
  <c r="L49" i="19" s="1"/>
  <c r="K53" i="19"/>
  <c r="K49" i="19" s="1"/>
  <c r="T51" i="14"/>
  <c r="T47" i="14" s="1"/>
  <c r="S51" i="14"/>
  <c r="S47" i="14" s="1"/>
  <c r="R51" i="14"/>
  <c r="R47" i="14" s="1"/>
  <c r="Q51" i="14"/>
  <c r="Q47" i="14" s="1"/>
  <c r="P51" i="14"/>
  <c r="P47" i="14" s="1"/>
  <c r="O51" i="14"/>
  <c r="O47" i="14" s="1"/>
  <c r="N51" i="14"/>
  <c r="N47" i="14" s="1"/>
  <c r="M51" i="14"/>
  <c r="M47" i="14" s="1"/>
  <c r="L51" i="14"/>
  <c r="L47" i="14" s="1"/>
  <c r="K51" i="14"/>
  <c r="K47" i="14" s="1"/>
  <c r="J51" i="14"/>
  <c r="J47" i="14" s="1"/>
  <c r="T51" i="12"/>
  <c r="T47" i="12" s="1"/>
  <c r="S51" i="12"/>
  <c r="S47" i="12" s="1"/>
  <c r="R51" i="12"/>
  <c r="R47" i="12" s="1"/>
  <c r="Q51" i="12"/>
  <c r="Q47" i="12" s="1"/>
  <c r="P51" i="12"/>
  <c r="P47" i="12" s="1"/>
  <c r="O51" i="12"/>
  <c r="O47" i="12" s="1"/>
  <c r="N51" i="12"/>
  <c r="N47" i="12" s="1"/>
  <c r="M51" i="12"/>
  <c r="M47" i="12" s="1"/>
  <c r="L51" i="12"/>
  <c r="L47" i="12" s="1"/>
  <c r="K51" i="12"/>
  <c r="K47" i="12" s="1"/>
  <c r="J51" i="12"/>
  <c r="J47" i="12" s="1"/>
  <c r="I51" i="12"/>
  <c r="I47" i="12" s="1"/>
  <c r="H128" i="6"/>
  <c r="H116" i="6"/>
  <c r="H16" i="6"/>
  <c r="H100" i="6" s="1"/>
  <c r="H101" i="6" s="1"/>
  <c r="BY5" i="6"/>
  <c r="L131" i="6"/>
  <c r="L136" i="6" s="1"/>
  <c r="L128" i="6"/>
  <c r="L113" i="6"/>
  <c r="L16" i="6"/>
  <c r="L100" i="6" s="1"/>
  <c r="BY6" i="6"/>
  <c r="AF92" i="6" s="1"/>
  <c r="M131" i="6"/>
  <c r="M136" i="6" s="1"/>
  <c r="M128" i="6"/>
  <c r="M113" i="6"/>
  <c r="M16" i="6"/>
  <c r="M100" i="6" s="1"/>
  <c r="O131" i="6"/>
  <c r="O136" i="6" s="1"/>
  <c r="O128" i="6"/>
  <c r="O113" i="6"/>
  <c r="O16" i="6"/>
  <c r="O100" i="6" s="1"/>
  <c r="AF61" i="6"/>
  <c r="AE61" i="6"/>
  <c r="AE55" i="6" s="1"/>
  <c r="AD61" i="6"/>
  <c r="AD55" i="6" s="1"/>
  <c r="AC61" i="6"/>
  <c r="AC55" i="6" s="1"/>
  <c r="AB61" i="6"/>
  <c r="AB55" i="6" s="1"/>
  <c r="AA61" i="6"/>
  <c r="AA55" i="6" s="1"/>
  <c r="Z61" i="6"/>
  <c r="Z55" i="6" s="1"/>
  <c r="Y61" i="6"/>
  <c r="X61" i="6"/>
  <c r="BY10" i="6"/>
  <c r="AF97" i="6"/>
  <c r="K16" i="6"/>
  <c r="K100" i="6" s="1"/>
  <c r="R16" i="6"/>
  <c r="BY15" i="6"/>
  <c r="F101" i="6"/>
  <c r="I101" i="6"/>
  <c r="J101" i="6"/>
  <c r="Q27" i="6"/>
  <c r="F39" i="11"/>
  <c r="F40" i="11" s="1"/>
  <c r="BY32" i="6"/>
  <c r="F67" i="11"/>
  <c r="BY43" i="6"/>
  <c r="F68" i="11"/>
  <c r="BY45" i="6"/>
  <c r="F69" i="11"/>
  <c r="BY46" i="6"/>
  <c r="F71" i="11"/>
  <c r="F102" i="11"/>
  <c r="BY53" i="6"/>
  <c r="BY49" i="6" s="1"/>
  <c r="F112" i="11"/>
  <c r="C116" i="11" s="1"/>
  <c r="BY61" i="6"/>
  <c r="F100" i="11"/>
  <c r="BY62" i="6"/>
  <c r="BY97" i="6"/>
  <c r="H119" i="6"/>
  <c r="E136" i="6"/>
  <c r="H152" i="6"/>
  <c r="T147" i="6"/>
  <c r="T152" i="6" s="1"/>
  <c r="D159" i="6"/>
  <c r="E169" i="6"/>
  <c r="F169" i="6" s="1"/>
  <c r="G169" i="6" s="1"/>
  <c r="H169" i="6" s="1"/>
  <c r="I169" i="6" s="1"/>
  <c r="J169" i="6" s="1"/>
  <c r="K169" i="6" s="1"/>
  <c r="L169" i="6" s="1"/>
  <c r="M169" i="6" s="1"/>
  <c r="D175" i="6"/>
  <c r="T168" i="6"/>
  <c r="E185" i="6"/>
  <c r="F185" i="6" s="1"/>
  <c r="G185" i="6" s="1"/>
  <c r="H185" i="6" s="1"/>
  <c r="I185" i="6" s="1"/>
  <c r="J185" i="6" s="1"/>
  <c r="K185" i="6" s="1"/>
  <c r="L185" i="6" s="1"/>
  <c r="M185" i="6" s="1"/>
  <c r="D191" i="6"/>
  <c r="T184" i="6"/>
  <c r="H133" i="7"/>
  <c r="H121" i="7"/>
  <c r="H16" i="7"/>
  <c r="H100" i="7" s="1"/>
  <c r="H101" i="7" s="1"/>
  <c r="BY5" i="7"/>
  <c r="L136" i="7"/>
  <c r="L141" i="7" s="1"/>
  <c r="L133" i="7"/>
  <c r="L118" i="7"/>
  <c r="L16" i="7"/>
  <c r="L100" i="7" s="1"/>
  <c r="BY6" i="7"/>
  <c r="AB92" i="7" s="1"/>
  <c r="M136" i="7"/>
  <c r="M141" i="7" s="1"/>
  <c r="M133" i="7"/>
  <c r="M118" i="7"/>
  <c r="M16" i="7"/>
  <c r="M100" i="7" s="1"/>
  <c r="O136" i="7"/>
  <c r="O141" i="7" s="1"/>
  <c r="O133" i="7"/>
  <c r="O118" i="7"/>
  <c r="O16" i="7"/>
  <c r="O100" i="7" s="1"/>
  <c r="R136" i="7"/>
  <c r="R141" i="7" s="1"/>
  <c r="R133" i="7"/>
  <c r="R118" i="7"/>
  <c r="R16" i="7"/>
  <c r="R100" i="7" s="1"/>
  <c r="V136" i="7"/>
  <c r="V141" i="7" s="1"/>
  <c r="V133" i="7"/>
  <c r="V118" i="7"/>
  <c r="AB61" i="7"/>
  <c r="AA61" i="7"/>
  <c r="BY10" i="7"/>
  <c r="S16" i="7"/>
  <c r="S100" i="7" s="1"/>
  <c r="W16" i="7"/>
  <c r="AD16" i="7"/>
  <c r="AD100" i="7" s="1"/>
  <c r="AE13" i="7"/>
  <c r="AE16" i="7" s="1"/>
  <c r="AE100" i="7" s="1"/>
  <c r="K16" i="7"/>
  <c r="K100" i="7" s="1"/>
  <c r="BY15" i="7"/>
  <c r="F101" i="7"/>
  <c r="I101" i="7"/>
  <c r="J101" i="7"/>
  <c r="Q27" i="7"/>
  <c r="BY42" i="7"/>
  <c r="BY43" i="7"/>
  <c r="BY46" i="7"/>
  <c r="BY61" i="7"/>
  <c r="BY97" i="7"/>
  <c r="H124" i="7"/>
  <c r="E141" i="7"/>
  <c r="H157" i="7"/>
  <c r="T152" i="7"/>
  <c r="T157" i="7" s="1"/>
  <c r="D164" i="7"/>
  <c r="E174" i="7"/>
  <c r="F174" i="7" s="1"/>
  <c r="G174" i="7" s="1"/>
  <c r="H174" i="7" s="1"/>
  <c r="I174" i="7" s="1"/>
  <c r="J174" i="7" s="1"/>
  <c r="K174" i="7" s="1"/>
  <c r="L174" i="7" s="1"/>
  <c r="M174" i="7" s="1"/>
  <c r="D180" i="7"/>
  <c r="T173" i="7"/>
  <c r="E190" i="7"/>
  <c r="F190" i="7" s="1"/>
  <c r="G190" i="7" s="1"/>
  <c r="H190" i="7" s="1"/>
  <c r="I190" i="7" s="1"/>
  <c r="J190" i="7" s="1"/>
  <c r="K190" i="7" s="1"/>
  <c r="L190" i="7" s="1"/>
  <c r="M190" i="7" s="1"/>
  <c r="D196" i="7"/>
  <c r="T189" i="7"/>
  <c r="E8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2" i="8"/>
  <c r="C21" i="8"/>
  <c r="C20" i="8"/>
  <c r="C19" i="8"/>
  <c r="C18" i="8"/>
  <c r="C17" i="8"/>
  <c r="C16" i="8"/>
  <c r="C15" i="8"/>
  <c r="C14" i="8"/>
  <c r="C13" i="8"/>
  <c r="C12" i="8"/>
  <c r="C10" i="8"/>
  <c r="C9" i="8"/>
  <c r="D9" i="8" s="1"/>
  <c r="T8" i="8"/>
  <c r="R79" i="8"/>
  <c r="R78" i="8"/>
  <c r="R77" i="8"/>
  <c r="R76" i="8"/>
  <c r="R75" i="8"/>
  <c r="R74" i="8"/>
  <c r="R73" i="8"/>
  <c r="R72" i="8"/>
  <c r="R71" i="8"/>
  <c r="R70" i="8"/>
  <c r="R69" i="8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3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39" i="8"/>
  <c r="R38" i="8"/>
  <c r="R37" i="8"/>
  <c r="R36" i="8"/>
  <c r="R35" i="8"/>
  <c r="R34" i="8"/>
  <c r="R33" i="8"/>
  <c r="R32" i="8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S9" i="8" s="1"/>
  <c r="C14" i="11"/>
  <c r="F13" i="11"/>
  <c r="F12" i="11"/>
  <c r="F66" i="11"/>
  <c r="F65" i="11"/>
  <c r="F62" i="11" s="1"/>
  <c r="N19" i="11"/>
  <c r="F41" i="11"/>
  <c r="R39" i="11"/>
  <c r="F24" i="11"/>
  <c r="H3" i="23"/>
  <c r="H33" i="23" s="1"/>
  <c r="H110" i="12"/>
  <c r="H16" i="12"/>
  <c r="BY5" i="12"/>
  <c r="D134" i="12"/>
  <c r="D136" i="12" s="1"/>
  <c r="T90" i="12"/>
  <c r="CB6" i="12"/>
  <c r="CB49" i="12" s="1"/>
  <c r="T60" i="12"/>
  <c r="S60" i="12"/>
  <c r="S53" i="12" s="1"/>
  <c r="R60" i="12"/>
  <c r="R53" i="12" s="1"/>
  <c r="Q60" i="12"/>
  <c r="Q53" i="12" s="1"/>
  <c r="P60" i="12"/>
  <c r="P53" i="12" s="1"/>
  <c r="O60" i="12"/>
  <c r="O53" i="12" s="1"/>
  <c r="N60" i="12"/>
  <c r="N53" i="12" s="1"/>
  <c r="M60" i="12"/>
  <c r="M53" i="12" s="1"/>
  <c r="L60" i="12"/>
  <c r="L53" i="12" s="1"/>
  <c r="K60" i="12"/>
  <c r="BY11" i="12"/>
  <c r="BY15" i="12"/>
  <c r="CB15" i="12" s="1"/>
  <c r="BX177" i="12"/>
  <c r="BX179" i="12" s="1"/>
  <c r="D181" i="12" s="1"/>
  <c r="BX161" i="12"/>
  <c r="BX163" i="12" s="1"/>
  <c r="D165" i="12" s="1"/>
  <c r="BY43" i="12"/>
  <c r="BY44" i="12"/>
  <c r="BY51" i="12"/>
  <c r="BY47" i="12" s="1"/>
  <c r="E132" i="12"/>
  <c r="F132" i="12" s="1"/>
  <c r="G132" i="12" s="1"/>
  <c r="H132" i="12" s="1"/>
  <c r="I132" i="12" s="1"/>
  <c r="J132" i="12" s="1"/>
  <c r="K132" i="12" s="1"/>
  <c r="L132" i="12" s="1"/>
  <c r="M132" i="12" s="1"/>
  <c r="N132" i="12" s="1"/>
  <c r="O132" i="12" s="1"/>
  <c r="P132" i="12" s="1"/>
  <c r="Q132" i="12" s="1"/>
  <c r="R132" i="12" s="1"/>
  <c r="S132" i="12" s="1"/>
  <c r="E147" i="12"/>
  <c r="E148" i="12" s="1"/>
  <c r="F148" i="12" s="1"/>
  <c r="G148" i="12" s="1"/>
  <c r="H147" i="12"/>
  <c r="T142" i="12"/>
  <c r="E164" i="12"/>
  <c r="F164" i="12" s="1"/>
  <c r="G164" i="12" s="1"/>
  <c r="H164" i="12" s="1"/>
  <c r="I164" i="12" s="1"/>
  <c r="J164" i="12" s="1"/>
  <c r="K164" i="12" s="1"/>
  <c r="L164" i="12" s="1"/>
  <c r="M164" i="12" s="1"/>
  <c r="E180" i="12"/>
  <c r="F180" i="12" s="1"/>
  <c r="G180" i="12" s="1"/>
  <c r="H180" i="12" s="1"/>
  <c r="I180" i="12" s="1"/>
  <c r="J180" i="12" s="1"/>
  <c r="K180" i="12" s="1"/>
  <c r="L180" i="12" s="1"/>
  <c r="M180" i="12" s="1"/>
  <c r="T8" i="13"/>
  <c r="R79" i="13"/>
  <c r="R78" i="13"/>
  <c r="R77" i="13"/>
  <c r="R76" i="13"/>
  <c r="R75" i="13"/>
  <c r="R74" i="13"/>
  <c r="R73" i="13"/>
  <c r="R72" i="13"/>
  <c r="R71" i="13"/>
  <c r="R70" i="13"/>
  <c r="R69" i="13"/>
  <c r="R68" i="13"/>
  <c r="R67" i="13"/>
  <c r="R66" i="13"/>
  <c r="R65" i="13"/>
  <c r="R64" i="13"/>
  <c r="R63" i="13"/>
  <c r="R62" i="13"/>
  <c r="R61" i="13"/>
  <c r="R60" i="13"/>
  <c r="R59" i="13"/>
  <c r="R58" i="13"/>
  <c r="R57" i="13"/>
  <c r="R56" i="13"/>
  <c r="R55" i="13"/>
  <c r="R54" i="13"/>
  <c r="R53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39" i="13"/>
  <c r="R38" i="13"/>
  <c r="R37" i="13"/>
  <c r="R36" i="13"/>
  <c r="R35" i="13"/>
  <c r="R34" i="13"/>
  <c r="R33" i="13"/>
  <c r="R32" i="13"/>
  <c r="R31" i="13"/>
  <c r="R30" i="13"/>
  <c r="R29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4" i="13"/>
  <c r="R13" i="13"/>
  <c r="R12" i="13"/>
  <c r="R11" i="13"/>
  <c r="R10" i="13"/>
  <c r="R9" i="13"/>
  <c r="S9" i="13" s="1"/>
  <c r="H110" i="14"/>
  <c r="H16" i="14"/>
  <c r="H97" i="14" s="1"/>
  <c r="H98" i="14" s="1"/>
  <c r="BY5" i="14"/>
  <c r="T90" i="14"/>
  <c r="CB6" i="14"/>
  <c r="T60" i="14"/>
  <c r="S60" i="14"/>
  <c r="S53" i="14" s="1"/>
  <c r="R60" i="14"/>
  <c r="R53" i="14" s="1"/>
  <c r="Q60" i="14"/>
  <c r="BY11" i="14"/>
  <c r="J16" i="14"/>
  <c r="BY15" i="14"/>
  <c r="CB15" i="14" s="1"/>
  <c r="F98" i="14"/>
  <c r="I98" i="14"/>
  <c r="BY43" i="14"/>
  <c r="BY44" i="14"/>
  <c r="BY51" i="14"/>
  <c r="BY47" i="14" s="1"/>
  <c r="E133" i="14"/>
  <c r="H149" i="14"/>
  <c r="T144" i="14"/>
  <c r="T149" i="14" s="1"/>
  <c r="D156" i="14"/>
  <c r="E166" i="14"/>
  <c r="F166" i="14" s="1"/>
  <c r="G166" i="14" s="1"/>
  <c r="H166" i="14" s="1"/>
  <c r="I166" i="14" s="1"/>
  <c r="J166" i="14" s="1"/>
  <c r="K166" i="14" s="1"/>
  <c r="L166" i="14" s="1"/>
  <c r="M166" i="14" s="1"/>
  <c r="D172" i="14"/>
  <c r="T165" i="14"/>
  <c r="E182" i="14"/>
  <c r="F182" i="14" s="1"/>
  <c r="G182" i="14" s="1"/>
  <c r="H182" i="14" s="1"/>
  <c r="I182" i="14" s="1"/>
  <c r="J182" i="14" s="1"/>
  <c r="K182" i="14" s="1"/>
  <c r="L182" i="14" s="1"/>
  <c r="M182" i="14" s="1"/>
  <c r="D188" i="14"/>
  <c r="T181" i="14"/>
  <c r="H113" i="15"/>
  <c r="H16" i="15"/>
  <c r="H100" i="15" s="1"/>
  <c r="H101" i="15" s="1"/>
  <c r="BY5" i="15"/>
  <c r="L131" i="15"/>
  <c r="L136" i="15" s="1"/>
  <c r="L113" i="15"/>
  <c r="L16" i="15"/>
  <c r="L100" i="15" s="1"/>
  <c r="BY6" i="15"/>
  <c r="M131" i="15"/>
  <c r="M136" i="15" s="1"/>
  <c r="M113" i="15"/>
  <c r="M16" i="15"/>
  <c r="M100" i="15" s="1"/>
  <c r="P131" i="15"/>
  <c r="P136" i="15" s="1"/>
  <c r="P113" i="15"/>
  <c r="P16" i="15"/>
  <c r="BY10" i="15"/>
  <c r="AA62" i="15"/>
  <c r="AA55" i="15" s="1"/>
  <c r="Z62" i="15"/>
  <c r="Z55" i="15" s="1"/>
  <c r="Y62" i="15"/>
  <c r="Y55" i="15" s="1"/>
  <c r="X62" i="15"/>
  <c r="X55" i="15" s="1"/>
  <c r="W62" i="15"/>
  <c r="W55" i="15" s="1"/>
  <c r="V62" i="15"/>
  <c r="V55" i="15" s="1"/>
  <c r="U62" i="15"/>
  <c r="U55" i="15" s="1"/>
  <c r="T62" i="15"/>
  <c r="T55" i="15" s="1"/>
  <c r="S62" i="15"/>
  <c r="S55" i="15" s="1"/>
  <c r="R62" i="15"/>
  <c r="R55" i="15" s="1"/>
  <c r="Q62" i="15"/>
  <c r="Q55" i="15" s="1"/>
  <c r="BY11" i="15"/>
  <c r="K16" i="15"/>
  <c r="K100" i="15" s="1"/>
  <c r="BY15" i="15"/>
  <c r="CB15" i="15" s="1"/>
  <c r="F101" i="15"/>
  <c r="I101" i="15"/>
  <c r="J101" i="15"/>
  <c r="O98" i="15"/>
  <c r="O100" i="15" s="1"/>
  <c r="P24" i="15"/>
  <c r="P27" i="15"/>
  <c r="BY42" i="15"/>
  <c r="BY43" i="15"/>
  <c r="BY45" i="15"/>
  <c r="BY46" i="15"/>
  <c r="BY62" i="15"/>
  <c r="BY55" i="15" s="1"/>
  <c r="AA163" i="15"/>
  <c r="AA168" i="15" s="1"/>
  <c r="BY93" i="15"/>
  <c r="V123" i="15"/>
  <c r="V124" i="15" s="1"/>
  <c r="E136" i="15"/>
  <c r="H152" i="15"/>
  <c r="T147" i="15"/>
  <c r="T152" i="15" s="1"/>
  <c r="D159" i="15"/>
  <c r="E169" i="15"/>
  <c r="F169" i="15" s="1"/>
  <c r="G169" i="15" s="1"/>
  <c r="H169" i="15" s="1"/>
  <c r="I169" i="15" s="1"/>
  <c r="J169" i="15" s="1"/>
  <c r="K169" i="15" s="1"/>
  <c r="L169" i="15" s="1"/>
  <c r="M169" i="15" s="1"/>
  <c r="D175" i="15"/>
  <c r="T168" i="15"/>
  <c r="E185" i="15"/>
  <c r="F185" i="15" s="1"/>
  <c r="G185" i="15" s="1"/>
  <c r="H185" i="15" s="1"/>
  <c r="I185" i="15" s="1"/>
  <c r="J185" i="15" s="1"/>
  <c r="K185" i="15" s="1"/>
  <c r="L185" i="15" s="1"/>
  <c r="M185" i="15" s="1"/>
  <c r="D191" i="15"/>
  <c r="T184" i="15"/>
  <c r="H116" i="16"/>
  <c r="H16" i="16"/>
  <c r="H100" i="16" s="1"/>
  <c r="H101" i="16" s="1"/>
  <c r="BY5" i="16"/>
  <c r="L131" i="16"/>
  <c r="L136" i="16" s="1"/>
  <c r="L113" i="16"/>
  <c r="L16" i="16"/>
  <c r="L100" i="16" s="1"/>
  <c r="BY6" i="16"/>
  <c r="M131" i="16"/>
  <c r="M136" i="16" s="1"/>
  <c r="M113" i="16"/>
  <c r="M16" i="16"/>
  <c r="M100" i="16" s="1"/>
  <c r="O131" i="16"/>
  <c r="O136" i="16" s="1"/>
  <c r="O113" i="16"/>
  <c r="O16" i="16"/>
  <c r="O100" i="16" s="1"/>
  <c r="P131" i="16"/>
  <c r="P136" i="16" s="1"/>
  <c r="P113" i="16"/>
  <c r="P16" i="16"/>
  <c r="AA61" i="16"/>
  <c r="Z61" i="16"/>
  <c r="Y61" i="16"/>
  <c r="X61" i="16"/>
  <c r="W61" i="16"/>
  <c r="V61" i="16"/>
  <c r="BY10" i="16"/>
  <c r="Q11" i="16"/>
  <c r="K16" i="16"/>
  <c r="K100" i="16" s="1"/>
  <c r="BY15" i="16"/>
  <c r="CB15" i="16" s="1"/>
  <c r="F101" i="16"/>
  <c r="I101" i="16"/>
  <c r="J101" i="16"/>
  <c r="P24" i="16"/>
  <c r="Q27" i="16"/>
  <c r="BY42" i="16"/>
  <c r="BY43" i="16"/>
  <c r="BY45" i="16"/>
  <c r="BY46" i="16"/>
  <c r="BY61" i="16"/>
  <c r="AA163" i="16"/>
  <c r="AA168" i="16" s="1"/>
  <c r="BY93" i="16"/>
  <c r="H119" i="16"/>
  <c r="V123" i="16"/>
  <c r="V124" i="16" s="1"/>
  <c r="T119" i="16"/>
  <c r="V125" i="16" s="1"/>
  <c r="V126" i="16" s="1"/>
  <c r="E136" i="16"/>
  <c r="H152" i="16"/>
  <c r="T147" i="16"/>
  <c r="T152" i="16" s="1"/>
  <c r="D159" i="16"/>
  <c r="E169" i="16"/>
  <c r="F169" i="16" s="1"/>
  <c r="G169" i="16" s="1"/>
  <c r="H169" i="16" s="1"/>
  <c r="I169" i="16" s="1"/>
  <c r="J169" i="16" s="1"/>
  <c r="K169" i="16" s="1"/>
  <c r="L169" i="16" s="1"/>
  <c r="M169" i="16" s="1"/>
  <c r="D175" i="16"/>
  <c r="T168" i="16"/>
  <c r="E185" i="16"/>
  <c r="F185" i="16" s="1"/>
  <c r="G185" i="16" s="1"/>
  <c r="H185" i="16" s="1"/>
  <c r="I185" i="16" s="1"/>
  <c r="J185" i="16" s="1"/>
  <c r="K185" i="16" s="1"/>
  <c r="L185" i="16" s="1"/>
  <c r="M185" i="16" s="1"/>
  <c r="D191" i="16"/>
  <c r="T184" i="16"/>
  <c r="H113" i="17"/>
  <c r="H16" i="17"/>
  <c r="H100" i="17" s="1"/>
  <c r="H101" i="17" s="1"/>
  <c r="BY5" i="17"/>
  <c r="L131" i="17"/>
  <c r="L136" i="17" s="1"/>
  <c r="L113" i="17"/>
  <c r="L16" i="17"/>
  <c r="L100" i="17" s="1"/>
  <c r="BY6" i="17"/>
  <c r="M131" i="17"/>
  <c r="M136" i="17" s="1"/>
  <c r="M113" i="17"/>
  <c r="M16" i="17"/>
  <c r="M100" i="17" s="1"/>
  <c r="O131" i="17"/>
  <c r="O136" i="17" s="1"/>
  <c r="O113" i="17"/>
  <c r="O16" i="17"/>
  <c r="O100" i="17" s="1"/>
  <c r="AA61" i="17"/>
  <c r="Z61" i="17"/>
  <c r="Y61" i="17"/>
  <c r="X61" i="17"/>
  <c r="W61" i="17"/>
  <c r="V61" i="17"/>
  <c r="BY10" i="17"/>
  <c r="Q11" i="17"/>
  <c r="K16" i="17"/>
  <c r="K100" i="17" s="1"/>
  <c r="BY15" i="17"/>
  <c r="CB15" i="17" s="1"/>
  <c r="F101" i="17"/>
  <c r="I101" i="17"/>
  <c r="J101" i="17"/>
  <c r="P24" i="17"/>
  <c r="Q27" i="17"/>
  <c r="BY42" i="17"/>
  <c r="BY43" i="17"/>
  <c r="BY45" i="17"/>
  <c r="BY46" i="17"/>
  <c r="BY61" i="17"/>
  <c r="AA163" i="17"/>
  <c r="AA168" i="17" s="1"/>
  <c r="BY93" i="17"/>
  <c r="V123" i="17"/>
  <c r="V124" i="17" s="1"/>
  <c r="E136" i="17"/>
  <c r="H152" i="17"/>
  <c r="T147" i="17"/>
  <c r="T152" i="17" s="1"/>
  <c r="D159" i="17"/>
  <c r="E169" i="17"/>
  <c r="F169" i="17" s="1"/>
  <c r="G169" i="17" s="1"/>
  <c r="H169" i="17" s="1"/>
  <c r="I169" i="17" s="1"/>
  <c r="J169" i="17" s="1"/>
  <c r="K169" i="17" s="1"/>
  <c r="L169" i="17" s="1"/>
  <c r="M169" i="17" s="1"/>
  <c r="D175" i="17"/>
  <c r="T168" i="17"/>
  <c r="E185" i="17"/>
  <c r="F185" i="17" s="1"/>
  <c r="G185" i="17" s="1"/>
  <c r="H185" i="17" s="1"/>
  <c r="I185" i="17" s="1"/>
  <c r="J185" i="17" s="1"/>
  <c r="K185" i="17" s="1"/>
  <c r="L185" i="17" s="1"/>
  <c r="M185" i="17" s="1"/>
  <c r="D191" i="17"/>
  <c r="T184" i="17"/>
  <c r="T8" i="18"/>
  <c r="R79" i="18"/>
  <c r="R78" i="18"/>
  <c r="R77" i="18"/>
  <c r="R76" i="18"/>
  <c r="R75" i="18"/>
  <c r="R74" i="18"/>
  <c r="R73" i="18"/>
  <c r="R72" i="18"/>
  <c r="R71" i="18"/>
  <c r="R70" i="18"/>
  <c r="R69" i="18"/>
  <c r="R68" i="18"/>
  <c r="R67" i="18"/>
  <c r="R66" i="18"/>
  <c r="R65" i="18"/>
  <c r="R64" i="18"/>
  <c r="R63" i="18"/>
  <c r="R62" i="18"/>
  <c r="R61" i="18"/>
  <c r="R60" i="18"/>
  <c r="R59" i="18"/>
  <c r="R58" i="18"/>
  <c r="R57" i="18"/>
  <c r="R56" i="18"/>
  <c r="R55" i="18"/>
  <c r="R54" i="18"/>
  <c r="R53" i="18"/>
  <c r="R52" i="18"/>
  <c r="R51" i="18"/>
  <c r="R50" i="18"/>
  <c r="R49" i="18"/>
  <c r="R48" i="18"/>
  <c r="R47" i="18"/>
  <c r="R46" i="18"/>
  <c r="R45" i="18"/>
  <c r="R44" i="18"/>
  <c r="R43" i="18"/>
  <c r="R42" i="18"/>
  <c r="R41" i="18"/>
  <c r="R40" i="18"/>
  <c r="R39" i="18"/>
  <c r="R38" i="18"/>
  <c r="R37" i="18"/>
  <c r="R36" i="18"/>
  <c r="R35" i="18"/>
  <c r="R34" i="18"/>
  <c r="R33" i="18"/>
  <c r="R32" i="18"/>
  <c r="R31" i="18"/>
  <c r="R30" i="18"/>
  <c r="R29" i="18"/>
  <c r="R28" i="18"/>
  <c r="R27" i="18"/>
  <c r="R26" i="18"/>
  <c r="R25" i="18"/>
  <c r="R24" i="18"/>
  <c r="R23" i="18"/>
  <c r="R22" i="18"/>
  <c r="R21" i="18"/>
  <c r="R20" i="18"/>
  <c r="R19" i="18"/>
  <c r="R18" i="18"/>
  <c r="R17" i="18"/>
  <c r="R16" i="18"/>
  <c r="R15" i="18"/>
  <c r="R14" i="18"/>
  <c r="R13" i="18"/>
  <c r="R12" i="18"/>
  <c r="R11" i="18"/>
  <c r="R10" i="18"/>
  <c r="R9" i="18"/>
  <c r="S9" i="18" s="1"/>
  <c r="H112" i="19"/>
  <c r="H16" i="19"/>
  <c r="H99" i="19" s="1"/>
  <c r="H100" i="19" s="1"/>
  <c r="BY5" i="19"/>
  <c r="J130" i="19"/>
  <c r="J135" i="19" s="1"/>
  <c r="J112" i="19"/>
  <c r="J16" i="19"/>
  <c r="J99" i="19" s="1"/>
  <c r="BY6" i="19"/>
  <c r="L191" i="19"/>
  <c r="L196" i="19" s="1"/>
  <c r="L145" i="19"/>
  <c r="L150" i="19" s="1"/>
  <c r="L16" i="19"/>
  <c r="BY7" i="19"/>
  <c r="AC62" i="19"/>
  <c r="AB62" i="19"/>
  <c r="AB55" i="19" s="1"/>
  <c r="AA62" i="19"/>
  <c r="AA55" i="19" s="1"/>
  <c r="Z62" i="19"/>
  <c r="Z55" i="19" s="1"/>
  <c r="Y62" i="19"/>
  <c r="Y55" i="19" s="1"/>
  <c r="X62" i="19"/>
  <c r="X55" i="19" s="1"/>
  <c r="W62" i="19"/>
  <c r="W55" i="19" s="1"/>
  <c r="V62" i="19"/>
  <c r="V55" i="19" s="1"/>
  <c r="U62" i="19"/>
  <c r="U55" i="19" s="1"/>
  <c r="T62" i="19"/>
  <c r="T55" i="19" s="1"/>
  <c r="S62" i="19"/>
  <c r="S55" i="19" s="1"/>
  <c r="R62" i="19"/>
  <c r="R55" i="19" s="1"/>
  <c r="Q62" i="19"/>
  <c r="Q55" i="19" s="1"/>
  <c r="BY11" i="19"/>
  <c r="N16" i="19"/>
  <c r="O16" i="19"/>
  <c r="K16" i="19"/>
  <c r="BY15" i="19"/>
  <c r="CB15" i="19" s="1"/>
  <c r="F100" i="19"/>
  <c r="I100" i="19"/>
  <c r="L98" i="19"/>
  <c r="M98" i="19"/>
  <c r="N98" i="19"/>
  <c r="O98" i="19"/>
  <c r="BY45" i="19"/>
  <c r="BY46" i="19"/>
  <c r="BY53" i="19"/>
  <c r="BY49" i="19" s="1"/>
  <c r="L132" i="19"/>
  <c r="BY57" i="19"/>
  <c r="BY62" i="19"/>
  <c r="L130" i="19"/>
  <c r="L135" i="19" s="1"/>
  <c r="L112" i="19"/>
  <c r="E135" i="19"/>
  <c r="E150" i="19"/>
  <c r="E151" i="19" s="1"/>
  <c r="F151" i="19" s="1"/>
  <c r="G151" i="19" s="1"/>
  <c r="H151" i="19" s="1"/>
  <c r="I151" i="19" s="1"/>
  <c r="J151" i="19" s="1"/>
  <c r="K151" i="19" s="1"/>
  <c r="L151" i="19" s="1"/>
  <c r="M151" i="19" s="1"/>
  <c r="N151" i="19" s="1"/>
  <c r="O151" i="19" s="1"/>
  <c r="P151" i="19" s="1"/>
  <c r="Q151" i="19" s="1"/>
  <c r="R151" i="19" s="1"/>
  <c r="S151" i="19" s="1"/>
  <c r="T151" i="19" s="1"/>
  <c r="U151" i="19" s="1"/>
  <c r="V151" i="19" s="1"/>
  <c r="W151" i="19" s="1"/>
  <c r="X151" i="19" s="1"/>
  <c r="Y151" i="19" s="1"/>
  <c r="Z151" i="19" s="1"/>
  <c r="AA151" i="19" s="1"/>
  <c r="AB151" i="19" s="1"/>
  <c r="H180" i="19"/>
  <c r="T175" i="19"/>
  <c r="T180" i="19" s="1"/>
  <c r="D187" i="19"/>
  <c r="E197" i="19"/>
  <c r="F197" i="19" s="1"/>
  <c r="G197" i="19" s="1"/>
  <c r="H197" i="19" s="1"/>
  <c r="I197" i="19" s="1"/>
  <c r="J197" i="19" s="1"/>
  <c r="K197" i="19" s="1"/>
  <c r="L197" i="19" s="1"/>
  <c r="M197" i="19" s="1"/>
  <c r="D203" i="19"/>
  <c r="T196" i="19"/>
  <c r="E213" i="19"/>
  <c r="F213" i="19" s="1"/>
  <c r="G213" i="19" s="1"/>
  <c r="H213" i="19" s="1"/>
  <c r="I213" i="19" s="1"/>
  <c r="J213" i="19" s="1"/>
  <c r="K213" i="19" s="1"/>
  <c r="L213" i="19" s="1"/>
  <c r="M213" i="19" s="1"/>
  <c r="D219" i="19"/>
  <c r="T212" i="19"/>
  <c r="H112" i="20"/>
  <c r="H16" i="20"/>
  <c r="H99" i="20" s="1"/>
  <c r="H100" i="20" s="1"/>
  <c r="BY5" i="20"/>
  <c r="T92" i="20"/>
  <c r="CB6" i="20"/>
  <c r="T62" i="20"/>
  <c r="S62" i="20"/>
  <c r="S55" i="20" s="1"/>
  <c r="R62" i="20"/>
  <c r="R55" i="20" s="1"/>
  <c r="Q62" i="20"/>
  <c r="BY11" i="20"/>
  <c r="J16" i="20"/>
  <c r="BY15" i="20"/>
  <c r="CB15" i="20" s="1"/>
  <c r="F100" i="20"/>
  <c r="I100" i="20"/>
  <c r="BY45" i="20"/>
  <c r="BY46" i="20"/>
  <c r="BY53" i="20"/>
  <c r="BY49" i="20" s="1"/>
  <c r="E135" i="20"/>
  <c r="H151" i="20"/>
  <c r="T146" i="20"/>
  <c r="T151" i="20" s="1"/>
  <c r="D158" i="20"/>
  <c r="E168" i="20"/>
  <c r="F168" i="20" s="1"/>
  <c r="G168" i="20" s="1"/>
  <c r="H168" i="20" s="1"/>
  <c r="I168" i="20" s="1"/>
  <c r="J168" i="20" s="1"/>
  <c r="K168" i="20" s="1"/>
  <c r="L168" i="20" s="1"/>
  <c r="M168" i="20" s="1"/>
  <c r="D174" i="20"/>
  <c r="T167" i="20"/>
  <c r="E184" i="20"/>
  <c r="F184" i="20" s="1"/>
  <c r="G184" i="20" s="1"/>
  <c r="H184" i="20" s="1"/>
  <c r="I184" i="20" s="1"/>
  <c r="J184" i="20" s="1"/>
  <c r="K184" i="20" s="1"/>
  <c r="L184" i="20" s="1"/>
  <c r="M184" i="20" s="1"/>
  <c r="D190" i="20"/>
  <c r="T183" i="20"/>
  <c r="T8" i="21"/>
  <c r="R79" i="21"/>
  <c r="R78" i="21"/>
  <c r="R77" i="21"/>
  <c r="R76" i="21"/>
  <c r="R75" i="21"/>
  <c r="R74" i="21"/>
  <c r="R73" i="21"/>
  <c r="R72" i="21"/>
  <c r="R71" i="21"/>
  <c r="R70" i="21"/>
  <c r="R69" i="2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3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39" i="21"/>
  <c r="R38" i="21"/>
  <c r="R37" i="21"/>
  <c r="R36" i="21"/>
  <c r="R35" i="21"/>
  <c r="R34" i="21"/>
  <c r="R33" i="21"/>
  <c r="R32" i="21"/>
  <c r="R31" i="21"/>
  <c r="R30" i="21"/>
  <c r="R29" i="21"/>
  <c r="R28" i="21"/>
  <c r="R27" i="21"/>
  <c r="R26" i="21"/>
  <c r="R25" i="21"/>
  <c r="R24" i="21"/>
  <c r="R23" i="21"/>
  <c r="R22" i="21"/>
  <c r="R21" i="21"/>
  <c r="R20" i="21"/>
  <c r="R19" i="21"/>
  <c r="R18" i="21"/>
  <c r="R17" i="21"/>
  <c r="R16" i="21"/>
  <c r="R15" i="21"/>
  <c r="R14" i="21"/>
  <c r="R13" i="21"/>
  <c r="R12" i="21"/>
  <c r="R11" i="21"/>
  <c r="R10" i="21"/>
  <c r="R9" i="21"/>
  <c r="S9" i="21" s="1"/>
  <c r="J8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I9" i="22" s="1"/>
  <c r="O8" i="22"/>
  <c r="M79" i="22"/>
  <c r="M78" i="22"/>
  <c r="M77" i="22"/>
  <c r="M76" i="22"/>
  <c r="M75" i="22"/>
  <c r="M74" i="22"/>
  <c r="M73" i="22"/>
  <c r="M72" i="22"/>
  <c r="M71" i="22"/>
  <c r="M70" i="22"/>
  <c r="M69" i="22"/>
  <c r="M68" i="22"/>
  <c r="M67" i="22"/>
  <c r="M66" i="22"/>
  <c r="M65" i="22"/>
  <c r="M64" i="22"/>
  <c r="M63" i="22"/>
  <c r="M62" i="22"/>
  <c r="M61" i="22"/>
  <c r="M60" i="22"/>
  <c r="M59" i="22"/>
  <c r="M58" i="22"/>
  <c r="M57" i="22"/>
  <c r="M56" i="22"/>
  <c r="M55" i="22"/>
  <c r="M54" i="22"/>
  <c r="M53" i="22"/>
  <c r="M52" i="22"/>
  <c r="M51" i="22"/>
  <c r="M50" i="22"/>
  <c r="M49" i="22"/>
  <c r="M48" i="22"/>
  <c r="M47" i="22"/>
  <c r="M46" i="22"/>
  <c r="M45" i="22"/>
  <c r="M44" i="22"/>
  <c r="M43" i="22"/>
  <c r="M42" i="22"/>
  <c r="M41" i="22"/>
  <c r="M40" i="22"/>
  <c r="M39" i="22"/>
  <c r="M38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N9" i="22" s="1"/>
  <c r="T8" i="22"/>
  <c r="R79" i="22"/>
  <c r="R78" i="22"/>
  <c r="R77" i="22"/>
  <c r="R76" i="22"/>
  <c r="R75" i="22"/>
  <c r="R74" i="22"/>
  <c r="R73" i="22"/>
  <c r="R72" i="22"/>
  <c r="R71" i="22"/>
  <c r="R70" i="22"/>
  <c r="R69" i="22"/>
  <c r="R68" i="22"/>
  <c r="R67" i="22"/>
  <c r="R66" i="22"/>
  <c r="R65" i="22"/>
  <c r="R64" i="22"/>
  <c r="R63" i="22"/>
  <c r="R62" i="22"/>
  <c r="R61" i="22"/>
  <c r="R60" i="22"/>
  <c r="R59" i="22"/>
  <c r="R58" i="22"/>
  <c r="R57" i="22"/>
  <c r="R56" i="22"/>
  <c r="R55" i="22"/>
  <c r="R54" i="22"/>
  <c r="R53" i="22"/>
  <c r="R52" i="22"/>
  <c r="R51" i="22"/>
  <c r="R50" i="22"/>
  <c r="R49" i="22"/>
  <c r="R48" i="22"/>
  <c r="R47" i="22"/>
  <c r="R46" i="22"/>
  <c r="R45" i="22"/>
  <c r="R44" i="22"/>
  <c r="R43" i="22"/>
  <c r="R42" i="22"/>
  <c r="R41" i="22"/>
  <c r="R40" i="22"/>
  <c r="R39" i="22"/>
  <c r="R38" i="22"/>
  <c r="R37" i="22"/>
  <c r="R36" i="22"/>
  <c r="R35" i="22"/>
  <c r="R34" i="22"/>
  <c r="R33" i="22"/>
  <c r="R32" i="22"/>
  <c r="R31" i="22"/>
  <c r="R30" i="22"/>
  <c r="R29" i="22"/>
  <c r="R28" i="22"/>
  <c r="R27" i="22"/>
  <c r="R26" i="22"/>
  <c r="R25" i="22"/>
  <c r="R24" i="22"/>
  <c r="R23" i="22"/>
  <c r="R22" i="22"/>
  <c r="R21" i="22"/>
  <c r="R20" i="22"/>
  <c r="R19" i="22"/>
  <c r="R18" i="22"/>
  <c r="R17" i="22"/>
  <c r="R16" i="22"/>
  <c r="R15" i="22"/>
  <c r="R14" i="22"/>
  <c r="R13" i="22"/>
  <c r="R12" i="22"/>
  <c r="R11" i="22"/>
  <c r="R10" i="22"/>
  <c r="R9" i="22"/>
  <c r="S9" i="22" s="1"/>
  <c r="E33" i="23"/>
  <c r="E35" i="23" s="1"/>
  <c r="F35" i="23" s="1"/>
  <c r="G35" i="23" s="1"/>
  <c r="H35" i="23" s="1"/>
  <c r="I35" i="23" s="1"/>
  <c r="J35" i="23" s="1"/>
  <c r="K35" i="23" s="1"/>
  <c r="L35" i="23" s="1"/>
  <c r="M35" i="23" s="1"/>
  <c r="N35" i="23" s="1"/>
  <c r="O35" i="23" s="1"/>
  <c r="P35" i="23" s="1"/>
  <c r="Q35" i="23" s="1"/>
  <c r="R35" i="23" s="1"/>
  <c r="S35" i="23" s="1"/>
  <c r="H128" i="26"/>
  <c r="H116" i="26"/>
  <c r="H16" i="26"/>
  <c r="H100" i="26" s="1"/>
  <c r="H101" i="26" s="1"/>
  <c r="BY5" i="26"/>
  <c r="L131" i="26"/>
  <c r="L136" i="26" s="1"/>
  <c r="L128" i="26"/>
  <c r="L113" i="26"/>
  <c r="L16" i="26"/>
  <c r="L100" i="26" s="1"/>
  <c r="BY6" i="26"/>
  <c r="M131" i="26"/>
  <c r="M136" i="26" s="1"/>
  <c r="M128" i="26"/>
  <c r="M113" i="26"/>
  <c r="M16" i="26"/>
  <c r="M100" i="26" s="1"/>
  <c r="O131" i="26"/>
  <c r="O136" i="26" s="1"/>
  <c r="O128" i="26"/>
  <c r="O113" i="26"/>
  <c r="O16" i="26"/>
  <c r="O100" i="26" s="1"/>
  <c r="AA61" i="26"/>
  <c r="Z61" i="26"/>
  <c r="Y61" i="26"/>
  <c r="X61" i="26"/>
  <c r="BY10" i="26"/>
  <c r="AA62" i="26"/>
  <c r="Z62" i="26"/>
  <c r="Y62" i="26"/>
  <c r="X62" i="26"/>
  <c r="W62" i="26"/>
  <c r="W55" i="26" s="1"/>
  <c r="V62" i="26"/>
  <c r="V55" i="26" s="1"/>
  <c r="U62" i="26"/>
  <c r="U55" i="26" s="1"/>
  <c r="T62" i="26"/>
  <c r="T55" i="26" s="1"/>
  <c r="S62" i="26"/>
  <c r="S55" i="26" s="1"/>
  <c r="R62" i="26"/>
  <c r="R55" i="26" s="1"/>
  <c r="BY11" i="26"/>
  <c r="K16" i="26"/>
  <c r="K100" i="26" s="1"/>
  <c r="BY15" i="26"/>
  <c r="CB15" i="26" s="1"/>
  <c r="F101" i="26"/>
  <c r="I101" i="26"/>
  <c r="J101" i="26"/>
  <c r="Q27" i="26"/>
  <c r="BY42" i="26"/>
  <c r="BY43" i="26"/>
  <c r="BY46" i="26"/>
  <c r="BY61" i="26"/>
  <c r="BY62" i="26"/>
  <c r="AA163" i="26"/>
  <c r="AA168" i="26" s="1"/>
  <c r="BY93" i="26"/>
  <c r="H119" i="26"/>
  <c r="V123" i="26"/>
  <c r="V124" i="26" s="1"/>
  <c r="T119" i="26"/>
  <c r="V125" i="26" s="1"/>
  <c r="V126" i="26" s="1"/>
  <c r="E136" i="26"/>
  <c r="H152" i="26"/>
  <c r="T147" i="26"/>
  <c r="T152" i="26" s="1"/>
  <c r="D159" i="26"/>
  <c r="E169" i="26"/>
  <c r="F169" i="26" s="1"/>
  <c r="G169" i="26" s="1"/>
  <c r="H169" i="26" s="1"/>
  <c r="I169" i="26" s="1"/>
  <c r="J169" i="26" s="1"/>
  <c r="K169" i="26" s="1"/>
  <c r="L169" i="26" s="1"/>
  <c r="M169" i="26" s="1"/>
  <c r="D175" i="26"/>
  <c r="T168" i="26"/>
  <c r="E185" i="26"/>
  <c r="F185" i="26" s="1"/>
  <c r="G185" i="26" s="1"/>
  <c r="H185" i="26" s="1"/>
  <c r="I185" i="26" s="1"/>
  <c r="J185" i="26" s="1"/>
  <c r="K185" i="26" s="1"/>
  <c r="L185" i="26" s="1"/>
  <c r="M185" i="26" s="1"/>
  <c r="D191" i="26"/>
  <c r="T184" i="26"/>
  <c r="F9" i="27"/>
  <c r="C10" i="27" s="1"/>
  <c r="J17" i="27"/>
  <c r="N8" i="27"/>
  <c r="F16" i="27"/>
  <c r="M17" i="27"/>
  <c r="N10" i="27"/>
  <c r="N11" i="27"/>
  <c r="N12" i="27"/>
  <c r="N13" i="27"/>
  <c r="N14" i="27"/>
  <c r="N15" i="27"/>
  <c r="N16" i="27"/>
  <c r="U98" i="7" l="1"/>
  <c r="M17" i="11"/>
  <c r="F52" i="11"/>
  <c r="F98" i="12"/>
  <c r="F105" i="5"/>
  <c r="J18" i="27"/>
  <c r="N22" i="27"/>
  <c r="F15" i="27"/>
  <c r="B15" i="1"/>
  <c r="F43" i="27"/>
  <c r="F42" i="27"/>
  <c r="F39" i="27"/>
  <c r="R28" i="27"/>
  <c r="F11" i="27"/>
  <c r="N185" i="26"/>
  <c r="N169" i="26"/>
  <c r="D154" i="26"/>
  <c r="H153" i="26"/>
  <c r="I153" i="26" s="1"/>
  <c r="J153" i="26" s="1"/>
  <c r="K153" i="26" s="1"/>
  <c r="L153" i="26" s="1"/>
  <c r="M153" i="26" s="1"/>
  <c r="E137" i="26"/>
  <c r="F137" i="26" s="1"/>
  <c r="G137" i="26" s="1"/>
  <c r="H137" i="26" s="1"/>
  <c r="I137" i="26" s="1"/>
  <c r="J137" i="26" s="1"/>
  <c r="K137" i="26" s="1"/>
  <c r="L137" i="26" s="1"/>
  <c r="M137" i="26" s="1"/>
  <c r="N137" i="26" s="1"/>
  <c r="O137" i="26" s="1"/>
  <c r="P137" i="26" s="1"/>
  <c r="Q137" i="26" s="1"/>
  <c r="R137" i="26" s="1"/>
  <c r="S137" i="26" s="1"/>
  <c r="Q26" i="26"/>
  <c r="Q98" i="26" s="1"/>
  <c r="Q100" i="26" s="1"/>
  <c r="BY27" i="26"/>
  <c r="K101" i="26"/>
  <c r="Z97" i="26"/>
  <c r="Z90" i="26" s="1"/>
  <c r="Y97" i="26"/>
  <c r="Y90" i="26" s="1"/>
  <c r="X97" i="26"/>
  <c r="X90" i="26" s="1"/>
  <c r="W97" i="26"/>
  <c r="W90" i="26" s="1"/>
  <c r="V97" i="26"/>
  <c r="V90" i="26" s="1"/>
  <c r="U97" i="26"/>
  <c r="U90" i="26" s="1"/>
  <c r="T97" i="26"/>
  <c r="T90" i="26" s="1"/>
  <c r="S97" i="26"/>
  <c r="CF14" i="26"/>
  <c r="CF11" i="26"/>
  <c r="CB11" i="26"/>
  <c r="CB10" i="26"/>
  <c r="X55" i="26"/>
  <c r="X9" i="26"/>
  <c r="Y55" i="26"/>
  <c r="Y9" i="26"/>
  <c r="Z55" i="26"/>
  <c r="O119" i="26"/>
  <c r="O105" i="26"/>
  <c r="M119" i="26"/>
  <c r="M105" i="26"/>
  <c r="AA92" i="26"/>
  <c r="CB6" i="26"/>
  <c r="L101" i="26"/>
  <c r="M101" i="26" s="1"/>
  <c r="N101" i="26" s="1"/>
  <c r="O101" i="26" s="1"/>
  <c r="P101" i="26" s="1"/>
  <c r="L119" i="26"/>
  <c r="L105" i="26"/>
  <c r="D121" i="26"/>
  <c r="D123" i="26" s="1"/>
  <c r="AA91" i="26"/>
  <c r="AA56" i="26"/>
  <c r="CG23" i="26"/>
  <c r="CE10" i="26"/>
  <c r="BZ5" i="26"/>
  <c r="CB5" i="26"/>
  <c r="CC5" i="26" s="1"/>
  <c r="S10" i="22"/>
  <c r="T9" i="22"/>
  <c r="N10" i="22"/>
  <c r="O9" i="22"/>
  <c r="I10" i="22"/>
  <c r="J9" i="22"/>
  <c r="S10" i="21"/>
  <c r="T9" i="21"/>
  <c r="N184" i="20"/>
  <c r="N168" i="20"/>
  <c r="D153" i="20"/>
  <c r="H152" i="20"/>
  <c r="I152" i="20" s="1"/>
  <c r="J152" i="20" s="1"/>
  <c r="K152" i="20" s="1"/>
  <c r="L152" i="20" s="1"/>
  <c r="M152" i="20" s="1"/>
  <c r="E136" i="20"/>
  <c r="F136" i="20" s="1"/>
  <c r="G136" i="20" s="1"/>
  <c r="H136" i="20" s="1"/>
  <c r="I136" i="20" s="1"/>
  <c r="J136" i="20" s="1"/>
  <c r="K136" i="20" s="1"/>
  <c r="L136" i="20" s="1"/>
  <c r="M136" i="20" s="1"/>
  <c r="N136" i="20" s="1"/>
  <c r="O136" i="20" s="1"/>
  <c r="P136" i="20" s="1"/>
  <c r="Q136" i="20" s="1"/>
  <c r="R136" i="20" s="1"/>
  <c r="S136" i="20" s="1"/>
  <c r="S97" i="20"/>
  <c r="S90" i="20" s="1"/>
  <c r="R97" i="20"/>
  <c r="R90" i="20" s="1"/>
  <c r="Q97" i="20"/>
  <c r="CF11" i="20"/>
  <c r="BZ9" i="20"/>
  <c r="CB9" i="20" s="1"/>
  <c r="CB11" i="20"/>
  <c r="BY62" i="20"/>
  <c r="Q55" i="20"/>
  <c r="T130" i="20"/>
  <c r="BY92" i="20"/>
  <c r="D120" i="20"/>
  <c r="D122" i="20" s="1"/>
  <c r="T91" i="20"/>
  <c r="CE10" i="20"/>
  <c r="BZ5" i="20"/>
  <c r="CB5" i="20"/>
  <c r="CC5" i="20" s="1"/>
  <c r="H118" i="20"/>
  <c r="H104" i="20"/>
  <c r="N213" i="19"/>
  <c r="N197" i="19"/>
  <c r="D182" i="19"/>
  <c r="H181" i="19"/>
  <c r="I181" i="19" s="1"/>
  <c r="J181" i="19" s="1"/>
  <c r="K181" i="19" s="1"/>
  <c r="L181" i="19" s="1"/>
  <c r="M181" i="19" s="1"/>
  <c r="E136" i="19"/>
  <c r="F136" i="19" s="1"/>
  <c r="G136" i="19" s="1"/>
  <c r="H136" i="19" s="1"/>
  <c r="I136" i="19" s="1"/>
  <c r="J136" i="19" s="1"/>
  <c r="K136" i="19" s="1"/>
  <c r="L136" i="19" s="1"/>
  <c r="M136" i="19" s="1"/>
  <c r="N136" i="19" s="1"/>
  <c r="O136" i="19" s="1"/>
  <c r="P136" i="19" s="1"/>
  <c r="Q136" i="19" s="1"/>
  <c r="R136" i="19" s="1"/>
  <c r="S136" i="19" s="1"/>
  <c r="L118" i="19"/>
  <c r="L104" i="19"/>
  <c r="BY37" i="19"/>
  <c r="O99" i="19"/>
  <c r="N99" i="19"/>
  <c r="AB97" i="19"/>
  <c r="AB90" i="19" s="1"/>
  <c r="AA97" i="19"/>
  <c r="AA90" i="19" s="1"/>
  <c r="Z97" i="19"/>
  <c r="Z90" i="19" s="1"/>
  <c r="Y97" i="19"/>
  <c r="Y90" i="19" s="1"/>
  <c r="X97" i="19"/>
  <c r="X90" i="19" s="1"/>
  <c r="W97" i="19"/>
  <c r="W90" i="19" s="1"/>
  <c r="V97" i="19"/>
  <c r="V90" i="19" s="1"/>
  <c r="U97" i="19"/>
  <c r="U90" i="19" s="1"/>
  <c r="T97" i="19"/>
  <c r="T90" i="19" s="1"/>
  <c r="S97" i="19"/>
  <c r="S90" i="19" s="1"/>
  <c r="R97" i="19"/>
  <c r="R90" i="19" s="1"/>
  <c r="Q97" i="19"/>
  <c r="CF14" i="19"/>
  <c r="BZ9" i="19"/>
  <c r="CB9" i="19" s="1"/>
  <c r="CB11" i="19"/>
  <c r="AC93" i="19"/>
  <c r="CB7" i="19"/>
  <c r="L99" i="19"/>
  <c r="AC92" i="19"/>
  <c r="CB6" i="19"/>
  <c r="J100" i="19"/>
  <c r="J118" i="19"/>
  <c r="J104" i="19"/>
  <c r="D120" i="19"/>
  <c r="AC91" i="19"/>
  <c r="BZ5" i="19"/>
  <c r="CB5" i="19"/>
  <c r="CC5" i="19" s="1"/>
  <c r="H118" i="19"/>
  <c r="H104" i="19"/>
  <c r="S10" i="18"/>
  <c r="T9" i="18"/>
  <c r="N185" i="17"/>
  <c r="N169" i="17"/>
  <c r="H153" i="17"/>
  <c r="I153" i="17" s="1"/>
  <c r="J153" i="17" s="1"/>
  <c r="K153" i="17" s="1"/>
  <c r="L153" i="17" s="1"/>
  <c r="M153" i="17" s="1"/>
  <c r="E137" i="17"/>
  <c r="F137" i="17" s="1"/>
  <c r="G137" i="17" s="1"/>
  <c r="H137" i="17" s="1"/>
  <c r="I137" i="17" s="1"/>
  <c r="J137" i="17" s="1"/>
  <c r="K137" i="17" s="1"/>
  <c r="L137" i="17" s="1"/>
  <c r="M137" i="17" s="1"/>
  <c r="N137" i="17" s="1"/>
  <c r="O137" i="17" s="1"/>
  <c r="P137" i="17" s="1"/>
  <c r="Q137" i="17" s="1"/>
  <c r="R137" i="17" s="1"/>
  <c r="S137" i="17" s="1"/>
  <c r="Q26" i="17"/>
  <c r="BY27" i="17"/>
  <c r="P147" i="17"/>
  <c r="P152" i="17" s="1"/>
  <c r="D154" i="17" s="1"/>
  <c r="P23" i="17"/>
  <c r="BY24" i="17"/>
  <c r="BY23" i="17" s="1"/>
  <c r="K101" i="17"/>
  <c r="Q16" i="17"/>
  <c r="AA62" i="17"/>
  <c r="Z62" i="17"/>
  <c r="Y62" i="17"/>
  <c r="X62" i="17"/>
  <c r="W62" i="17"/>
  <c r="V62" i="17"/>
  <c r="U62" i="17"/>
  <c r="U55" i="17" s="1"/>
  <c r="T62" i="17"/>
  <c r="T55" i="17" s="1"/>
  <c r="S62" i="17"/>
  <c r="S55" i="17" s="1"/>
  <c r="R62" i="17"/>
  <c r="R55" i="17" s="1"/>
  <c r="Q62" i="17"/>
  <c r="BY11" i="17"/>
  <c r="CB10" i="17"/>
  <c r="V55" i="17"/>
  <c r="V9" i="17"/>
  <c r="W55" i="17"/>
  <c r="W9" i="17"/>
  <c r="X55" i="17"/>
  <c r="X9" i="17"/>
  <c r="Y55" i="17"/>
  <c r="Y9" i="17"/>
  <c r="Z55" i="17"/>
  <c r="Z9" i="17"/>
  <c r="O119" i="17"/>
  <c r="O105" i="17"/>
  <c r="M119" i="17"/>
  <c r="M105" i="17"/>
  <c r="AA92" i="17"/>
  <c r="CB6" i="17"/>
  <c r="L101" i="17"/>
  <c r="M101" i="17" s="1"/>
  <c r="N101" i="17" s="1"/>
  <c r="O101" i="17" s="1"/>
  <c r="L119" i="17"/>
  <c r="L105" i="17"/>
  <c r="D121" i="17"/>
  <c r="D123" i="17" s="1"/>
  <c r="AA91" i="17"/>
  <c r="CE10" i="17"/>
  <c r="CE12" i="17" s="1"/>
  <c r="BZ5" i="17"/>
  <c r="CB5" i="17"/>
  <c r="CC5" i="17" s="1"/>
  <c r="H119" i="17"/>
  <c r="H105" i="17"/>
  <c r="N185" i="16"/>
  <c r="N169" i="16"/>
  <c r="H153" i="16"/>
  <c r="I153" i="16" s="1"/>
  <c r="J153" i="16" s="1"/>
  <c r="K153" i="16" s="1"/>
  <c r="L153" i="16" s="1"/>
  <c r="M153" i="16" s="1"/>
  <c r="E137" i="16"/>
  <c r="F137" i="16" s="1"/>
  <c r="G137" i="16" s="1"/>
  <c r="H137" i="16" s="1"/>
  <c r="I137" i="16" s="1"/>
  <c r="J137" i="16" s="1"/>
  <c r="K137" i="16" s="1"/>
  <c r="L137" i="16" s="1"/>
  <c r="M137" i="16" s="1"/>
  <c r="N137" i="16" s="1"/>
  <c r="O137" i="16" s="1"/>
  <c r="P137" i="16" s="1"/>
  <c r="Q137" i="16" s="1"/>
  <c r="R137" i="16" s="1"/>
  <c r="S137" i="16" s="1"/>
  <c r="Q26" i="16"/>
  <c r="BY27" i="16"/>
  <c r="P147" i="16"/>
  <c r="P152" i="16" s="1"/>
  <c r="D154" i="16" s="1"/>
  <c r="P23" i="16"/>
  <c r="BY24" i="16"/>
  <c r="BY23" i="16" s="1"/>
  <c r="K101" i="16"/>
  <c r="AA62" i="16"/>
  <c r="Z62" i="16"/>
  <c r="Y62" i="16"/>
  <c r="X62" i="16"/>
  <c r="W62" i="16"/>
  <c r="V62" i="16"/>
  <c r="U62" i="16"/>
  <c r="U55" i="16" s="1"/>
  <c r="T62" i="16"/>
  <c r="T55" i="16" s="1"/>
  <c r="S62" i="16"/>
  <c r="S55" i="16" s="1"/>
  <c r="R62" i="16"/>
  <c r="R55" i="16" s="1"/>
  <c r="Q62" i="16"/>
  <c r="BY11" i="16"/>
  <c r="CB10" i="16"/>
  <c r="V55" i="16"/>
  <c r="V9" i="16"/>
  <c r="W55" i="16"/>
  <c r="W9" i="16"/>
  <c r="X55" i="16"/>
  <c r="X9" i="16"/>
  <c r="Y55" i="16"/>
  <c r="Y9" i="16"/>
  <c r="Z55" i="16"/>
  <c r="Z9" i="16"/>
  <c r="P119" i="16"/>
  <c r="P105" i="16"/>
  <c r="O119" i="16"/>
  <c r="O105" i="16"/>
  <c r="M119" i="16"/>
  <c r="M105" i="16"/>
  <c r="AA92" i="16"/>
  <c r="CB6" i="16"/>
  <c r="L101" i="16"/>
  <c r="M101" i="16" s="1"/>
  <c r="N101" i="16" s="1"/>
  <c r="O101" i="16" s="1"/>
  <c r="L119" i="16"/>
  <c r="L105" i="16"/>
  <c r="D121" i="16"/>
  <c r="D123" i="16" s="1"/>
  <c r="AA91" i="16"/>
  <c r="AA56" i="16"/>
  <c r="CG23" i="16"/>
  <c r="CE10" i="16"/>
  <c r="CE12" i="16" s="1"/>
  <c r="BZ5" i="16"/>
  <c r="CB5" i="16"/>
  <c r="CC5" i="16" s="1"/>
  <c r="N185" i="15"/>
  <c r="N169" i="15"/>
  <c r="H153" i="15"/>
  <c r="I153" i="15" s="1"/>
  <c r="J153" i="15" s="1"/>
  <c r="K153" i="15" s="1"/>
  <c r="L153" i="15" s="1"/>
  <c r="M153" i="15" s="1"/>
  <c r="E137" i="15"/>
  <c r="F137" i="15" s="1"/>
  <c r="G137" i="15" s="1"/>
  <c r="H137" i="15" s="1"/>
  <c r="I137" i="15" s="1"/>
  <c r="J137" i="15" s="1"/>
  <c r="K137" i="15" s="1"/>
  <c r="L137" i="15" s="1"/>
  <c r="M137" i="15" s="1"/>
  <c r="N137" i="15" s="1"/>
  <c r="O137" i="15" s="1"/>
  <c r="P137" i="15" s="1"/>
  <c r="Q137" i="15" s="1"/>
  <c r="R137" i="15" s="1"/>
  <c r="S137" i="15" s="1"/>
  <c r="P26" i="15"/>
  <c r="BY27" i="15"/>
  <c r="P147" i="15"/>
  <c r="P152" i="15" s="1"/>
  <c r="D154" i="15" s="1"/>
  <c r="P23" i="15"/>
  <c r="BY24" i="15"/>
  <c r="BY23" i="15" s="1"/>
  <c r="K101" i="15"/>
  <c r="Z97" i="15"/>
  <c r="Z90" i="15" s="1"/>
  <c r="Y97" i="15"/>
  <c r="Y90" i="15" s="1"/>
  <c r="X97" i="15"/>
  <c r="X90" i="15" s="1"/>
  <c r="W97" i="15"/>
  <c r="W90" i="15" s="1"/>
  <c r="V97" i="15"/>
  <c r="V90" i="15" s="1"/>
  <c r="U97" i="15"/>
  <c r="U90" i="15" s="1"/>
  <c r="T97" i="15"/>
  <c r="T90" i="15" s="1"/>
  <c r="S97" i="15"/>
  <c r="S90" i="15" s="1"/>
  <c r="R97" i="15"/>
  <c r="R90" i="15" s="1"/>
  <c r="Q97" i="15"/>
  <c r="CF14" i="15"/>
  <c r="CF11" i="15"/>
  <c r="CB11" i="15"/>
  <c r="BZ9" i="15"/>
  <c r="CB9" i="15" s="1"/>
  <c r="CB10" i="15"/>
  <c r="P119" i="15"/>
  <c r="P105" i="15"/>
  <c r="M119" i="15"/>
  <c r="M105" i="15"/>
  <c r="AA92" i="15"/>
  <c r="CB6" i="15"/>
  <c r="L101" i="15"/>
  <c r="M101" i="15" s="1"/>
  <c r="N101" i="15" s="1"/>
  <c r="O101" i="15" s="1"/>
  <c r="L119" i="15"/>
  <c r="L105" i="15"/>
  <c r="D121" i="15"/>
  <c r="D123" i="15" s="1"/>
  <c r="AA91" i="15"/>
  <c r="CE10" i="15"/>
  <c r="BZ5" i="15"/>
  <c r="CB5" i="15"/>
  <c r="CC5" i="15" s="1"/>
  <c r="H119" i="15"/>
  <c r="H105" i="15"/>
  <c r="N182" i="14"/>
  <c r="N166" i="14"/>
  <c r="D151" i="14"/>
  <c r="H150" i="14"/>
  <c r="I150" i="14" s="1"/>
  <c r="J150" i="14" s="1"/>
  <c r="K150" i="14" s="1"/>
  <c r="L150" i="14" s="1"/>
  <c r="M150" i="14" s="1"/>
  <c r="E134" i="14"/>
  <c r="F134" i="14" s="1"/>
  <c r="G134" i="14" s="1"/>
  <c r="H134" i="14" s="1"/>
  <c r="I134" i="14" s="1"/>
  <c r="J134" i="14" s="1"/>
  <c r="K134" i="14" s="1"/>
  <c r="L134" i="14" s="1"/>
  <c r="M134" i="14" s="1"/>
  <c r="N134" i="14" s="1"/>
  <c r="O134" i="14" s="1"/>
  <c r="P134" i="14" s="1"/>
  <c r="Q134" i="14" s="1"/>
  <c r="R134" i="14" s="1"/>
  <c r="S134" i="14" s="1"/>
  <c r="S95" i="14"/>
  <c r="S88" i="14" s="1"/>
  <c r="R95" i="14"/>
  <c r="R88" i="14" s="1"/>
  <c r="Q95" i="14"/>
  <c r="CF11" i="14"/>
  <c r="BZ9" i="14"/>
  <c r="CB9" i="14" s="1"/>
  <c r="CB11" i="14"/>
  <c r="BY60" i="14"/>
  <c r="Q53" i="14"/>
  <c r="T128" i="14"/>
  <c r="BY90" i="14"/>
  <c r="D118" i="14"/>
  <c r="D120" i="14" s="1"/>
  <c r="T89" i="14"/>
  <c r="CE10" i="14"/>
  <c r="BZ5" i="14"/>
  <c r="CB5" i="14"/>
  <c r="CC5" i="14" s="1"/>
  <c r="H116" i="14"/>
  <c r="H102" i="14"/>
  <c r="S10" i="13"/>
  <c r="T9" i="13"/>
  <c r="N180" i="12"/>
  <c r="N164" i="12"/>
  <c r="T147" i="12"/>
  <c r="D149" i="12"/>
  <c r="H148" i="12"/>
  <c r="I148" i="12" s="1"/>
  <c r="J148" i="12" s="1"/>
  <c r="K148" i="12" s="1"/>
  <c r="L148" i="12" s="1"/>
  <c r="M148" i="12" s="1"/>
  <c r="S95" i="12"/>
  <c r="S88" i="12" s="1"/>
  <c r="R95" i="12"/>
  <c r="R88" i="12" s="1"/>
  <c r="Q95" i="12"/>
  <c r="Q88" i="12" s="1"/>
  <c r="P95" i="12"/>
  <c r="CF11" i="12"/>
  <c r="BZ9" i="12"/>
  <c r="CB9" i="12" s="1"/>
  <c r="CB11" i="12"/>
  <c r="CB54" i="12" s="1"/>
  <c r="BY60" i="12"/>
  <c r="K53" i="12"/>
  <c r="T24" i="23"/>
  <c r="CK24" i="23" s="1"/>
  <c r="T126" i="12"/>
  <c r="BY90" i="12"/>
  <c r="D118" i="12"/>
  <c r="D120" i="12" s="1"/>
  <c r="T89" i="12"/>
  <c r="CE10" i="12"/>
  <c r="BZ5" i="12"/>
  <c r="CB5" i="12"/>
  <c r="H116" i="12"/>
  <c r="H102" i="12"/>
  <c r="C11" i="8"/>
  <c r="F78" i="11"/>
  <c r="C43" i="11"/>
  <c r="E62" i="11" s="1"/>
  <c r="E66" i="11"/>
  <c r="R36" i="11"/>
  <c r="F15" i="11"/>
  <c r="S10" i="8"/>
  <c r="T9" i="8"/>
  <c r="D10" i="8"/>
  <c r="E9" i="8"/>
  <c r="N190" i="7"/>
  <c r="N174" i="7"/>
  <c r="D159" i="7"/>
  <c r="H158" i="7"/>
  <c r="I158" i="7" s="1"/>
  <c r="J158" i="7" s="1"/>
  <c r="K158" i="7" s="1"/>
  <c r="L158" i="7" s="1"/>
  <c r="M158" i="7" s="1"/>
  <c r="E142" i="7"/>
  <c r="F142" i="7" s="1"/>
  <c r="G142" i="7" s="1"/>
  <c r="H142" i="7" s="1"/>
  <c r="I142" i="7" s="1"/>
  <c r="J142" i="7" s="1"/>
  <c r="K142" i="7" s="1"/>
  <c r="L142" i="7" s="1"/>
  <c r="M142" i="7" s="1"/>
  <c r="N142" i="7" s="1"/>
  <c r="O142" i="7" s="1"/>
  <c r="P142" i="7" s="1"/>
  <c r="Q142" i="7" s="1"/>
  <c r="R142" i="7" s="1"/>
  <c r="S142" i="7" s="1"/>
  <c r="Q26" i="7"/>
  <c r="Q98" i="7" s="1"/>
  <c r="K101" i="7"/>
  <c r="AA96" i="7"/>
  <c r="AA90" i="7" s="1"/>
  <c r="Z96" i="7"/>
  <c r="AA55" i="7"/>
  <c r="AA9" i="7"/>
  <c r="F112" i="5"/>
  <c r="C116" i="5" s="1"/>
  <c r="V124" i="7"/>
  <c r="V110" i="7"/>
  <c r="R124" i="7"/>
  <c r="R110" i="7"/>
  <c r="O124" i="7"/>
  <c r="O110" i="7"/>
  <c r="M124" i="7"/>
  <c r="M110" i="7"/>
  <c r="AB136" i="7"/>
  <c r="BY92" i="7"/>
  <c r="L101" i="7"/>
  <c r="M101" i="7" s="1"/>
  <c r="N101" i="7" s="1"/>
  <c r="O101" i="7" s="1"/>
  <c r="P101" i="7" s="1"/>
  <c r="L124" i="7"/>
  <c r="L110" i="7"/>
  <c r="D126" i="7"/>
  <c r="D128" i="7" s="1"/>
  <c r="AB91" i="7"/>
  <c r="AB56" i="7"/>
  <c r="CG23" i="7"/>
  <c r="BZ5" i="7"/>
  <c r="CA7" i="7" s="1"/>
  <c r="G134" i="7"/>
  <c r="AB133" i="7"/>
  <c r="AC133" i="7" s="1"/>
  <c r="AO133" i="7" s="1"/>
  <c r="N185" i="6"/>
  <c r="N169" i="6"/>
  <c r="D154" i="6"/>
  <c r="H153" i="6"/>
  <c r="I153" i="6" s="1"/>
  <c r="J153" i="6" s="1"/>
  <c r="K153" i="6" s="1"/>
  <c r="L153" i="6" s="1"/>
  <c r="M153" i="6" s="1"/>
  <c r="E137" i="6"/>
  <c r="F137" i="6" s="1"/>
  <c r="G137" i="6" s="1"/>
  <c r="H137" i="6" s="1"/>
  <c r="I137" i="6" s="1"/>
  <c r="J137" i="6" s="1"/>
  <c r="K137" i="6" s="1"/>
  <c r="L137" i="6" s="1"/>
  <c r="M137" i="6" s="1"/>
  <c r="N137" i="6" s="1"/>
  <c r="O137" i="6" s="1"/>
  <c r="P137" i="6" s="1"/>
  <c r="Q137" i="6" s="1"/>
  <c r="R137" i="6" s="1"/>
  <c r="S137" i="6" s="1"/>
  <c r="D126" i="11"/>
  <c r="C104" i="11"/>
  <c r="F105" i="11" s="1"/>
  <c r="E69" i="11"/>
  <c r="Q26" i="6"/>
  <c r="Q98" i="6" s="1"/>
  <c r="BY27" i="6"/>
  <c r="K101" i="6"/>
  <c r="AE96" i="6"/>
  <c r="AE90" i="6" s="1"/>
  <c r="AD96" i="6"/>
  <c r="AD90" i="6" s="1"/>
  <c r="AC96" i="6"/>
  <c r="AC90" i="6" s="1"/>
  <c r="AB96" i="6"/>
  <c r="AB90" i="6" s="1"/>
  <c r="AA96" i="6"/>
  <c r="AA90" i="6" s="1"/>
  <c r="Z96" i="6"/>
  <c r="X55" i="6"/>
  <c r="X9" i="6"/>
  <c r="Y55" i="6"/>
  <c r="Y9" i="6"/>
  <c r="O119" i="6"/>
  <c r="O105" i="6"/>
  <c r="M119" i="6"/>
  <c r="M105" i="6"/>
  <c r="AF131" i="6"/>
  <c r="BY92" i="6"/>
  <c r="L101" i="6"/>
  <c r="M101" i="6" s="1"/>
  <c r="N101" i="6" s="1"/>
  <c r="O101" i="6" s="1"/>
  <c r="P101" i="6" s="1"/>
  <c r="L119" i="6"/>
  <c r="L105" i="6"/>
  <c r="D121" i="6"/>
  <c r="D123" i="6" s="1"/>
  <c r="AF125" i="6" s="1"/>
  <c r="AF91" i="6"/>
  <c r="AF56" i="6"/>
  <c r="CG23" i="6"/>
  <c r="BZ5" i="6"/>
  <c r="R42" i="6"/>
  <c r="BY42" i="6" s="1"/>
  <c r="F67" i="5"/>
  <c r="P37" i="15"/>
  <c r="K37" i="19"/>
  <c r="P37" i="19"/>
  <c r="P98" i="19" s="1"/>
  <c r="P99" i="19" s="1"/>
  <c r="BY39" i="12"/>
  <c r="F70" i="5"/>
  <c r="E69" i="5"/>
  <c r="E58" i="5"/>
  <c r="E57" i="5"/>
  <c r="F44" i="5"/>
  <c r="BY32" i="12"/>
  <c r="BY26" i="12" s="1"/>
  <c r="H26" i="12"/>
  <c r="H96" i="12" s="1"/>
  <c r="H97" i="12" s="1"/>
  <c r="H98" i="12" s="1"/>
  <c r="Y33" i="26"/>
  <c r="Y26" i="26" s="1"/>
  <c r="X33" i="26"/>
  <c r="X26" i="26" s="1"/>
  <c r="W33" i="26"/>
  <c r="W26" i="26" s="1"/>
  <c r="V33" i="26"/>
  <c r="U33" i="26"/>
  <c r="T33" i="26"/>
  <c r="Z33" i="17"/>
  <c r="Y33" i="17"/>
  <c r="X33" i="17"/>
  <c r="X26" i="17" s="1"/>
  <c r="W33" i="17"/>
  <c r="W26" i="17" s="1"/>
  <c r="V33" i="17"/>
  <c r="V26" i="17" s="1"/>
  <c r="U33" i="17"/>
  <c r="T33" i="17"/>
  <c r="S33" i="17"/>
  <c r="Z33" i="16"/>
  <c r="Y33" i="16"/>
  <c r="X33" i="16"/>
  <c r="X26" i="16" s="1"/>
  <c r="W33" i="16"/>
  <c r="W26" i="16" s="1"/>
  <c r="V33" i="16"/>
  <c r="V26" i="16" s="1"/>
  <c r="U33" i="16"/>
  <c r="T33" i="16"/>
  <c r="S33" i="16"/>
  <c r="Z33" i="15"/>
  <c r="Y33" i="15"/>
  <c r="X33" i="15"/>
  <c r="X26" i="15" s="1"/>
  <c r="W33" i="15"/>
  <c r="W26" i="15" s="1"/>
  <c r="V33" i="15"/>
  <c r="V26" i="15" s="1"/>
  <c r="U33" i="15"/>
  <c r="T33" i="15"/>
  <c r="S33" i="15"/>
  <c r="AA33" i="7"/>
  <c r="AA26" i="7" s="1"/>
  <c r="Z33" i="7"/>
  <c r="Y33" i="7"/>
  <c r="X33" i="7"/>
  <c r="BY33" i="7" s="1"/>
  <c r="Y33" i="6"/>
  <c r="X33" i="6"/>
  <c r="W33" i="6"/>
  <c r="V33" i="6"/>
  <c r="U33" i="6"/>
  <c r="F50" i="5"/>
  <c r="C51" i="5" s="1"/>
  <c r="Y27" i="7"/>
  <c r="Y26" i="7" s="1"/>
  <c r="Y98" i="7" s="1"/>
  <c r="X27" i="7"/>
  <c r="X26" i="7" s="1"/>
  <c r="X98" i="7" s="1"/>
  <c r="W27" i="7"/>
  <c r="W26" i="7" s="1"/>
  <c r="W98" i="7" s="1"/>
  <c r="W100" i="7" s="1"/>
  <c r="V27" i="7"/>
  <c r="V26" i="6"/>
  <c r="W26" i="6"/>
  <c r="X26" i="6"/>
  <c r="Y26" i="6"/>
  <c r="S26" i="15"/>
  <c r="T26" i="15"/>
  <c r="U26" i="15"/>
  <c r="Y26" i="15"/>
  <c r="Z26" i="15"/>
  <c r="S26" i="16"/>
  <c r="T26" i="16"/>
  <c r="U26" i="16"/>
  <c r="Y26" i="16"/>
  <c r="Z26" i="16"/>
  <c r="S26" i="17"/>
  <c r="T26" i="17"/>
  <c r="U26" i="17"/>
  <c r="Y26" i="17"/>
  <c r="Z26" i="17"/>
  <c r="T26" i="26"/>
  <c r="U26" i="26"/>
  <c r="V26" i="26"/>
  <c r="AB80" i="7"/>
  <c r="AA80" i="7"/>
  <c r="AA63" i="7" s="1"/>
  <c r="Z80" i="7"/>
  <c r="AF80" i="6"/>
  <c r="AE80" i="6"/>
  <c r="AE63" i="6" s="1"/>
  <c r="AE98" i="6" s="1"/>
  <c r="AD80" i="6"/>
  <c r="AD63" i="6" s="1"/>
  <c r="AD98" i="6" s="1"/>
  <c r="AC80" i="6"/>
  <c r="AC63" i="6" s="1"/>
  <c r="AC98" i="6" s="1"/>
  <c r="AB80" i="6"/>
  <c r="AB63" i="6" s="1"/>
  <c r="AB98" i="6" s="1"/>
  <c r="AA80" i="6"/>
  <c r="AA63" i="6" s="1"/>
  <c r="AA98" i="6" s="1"/>
  <c r="Z80" i="6"/>
  <c r="Z63" i="6" s="1"/>
  <c r="F66" i="5"/>
  <c r="F65" i="5"/>
  <c r="F62" i="5" s="1"/>
  <c r="N19" i="5"/>
  <c r="R63" i="6"/>
  <c r="R36" i="5"/>
  <c r="R40" i="5" s="1"/>
  <c r="F15" i="5"/>
  <c r="D1" i="3"/>
  <c r="CB87" i="12"/>
  <c r="CB86" i="12"/>
  <c r="CB85" i="12" a="1"/>
  <c r="CB85" i="12" s="1"/>
  <c r="CB61" i="12" a="1"/>
  <c r="CB61" i="12" s="1"/>
  <c r="CB53" i="12" a="1"/>
  <c r="CB53" i="12" s="1"/>
  <c r="CB47" i="12" a="1"/>
  <c r="CB47" i="12" s="1"/>
  <c r="CB46" i="12"/>
  <c r="CB45" i="12"/>
  <c r="CB44" i="12"/>
  <c r="CB37" i="12" a="1"/>
  <c r="CB37" i="12" s="1"/>
  <c r="CB80" i="12" s="1"/>
  <c r="CB34" i="12" a="1"/>
  <c r="CB34" i="12" s="1"/>
  <c r="CB77" i="12" s="1"/>
  <c r="CB26" i="12" a="1"/>
  <c r="CB26" i="12" s="1"/>
  <c r="CB69" i="12" s="1"/>
  <c r="CB23" i="12" a="1"/>
  <c r="CB23" i="12" s="1"/>
  <c r="CB66" i="12" s="1"/>
  <c r="CB22" i="12"/>
  <c r="CB65" i="12" s="1"/>
  <c r="CB21" i="12"/>
  <c r="CB64" i="12" s="1"/>
  <c r="CB20" i="12"/>
  <c r="CB63" i="12" s="1"/>
  <c r="CB19" i="12"/>
  <c r="CB62" i="12" s="1"/>
  <c r="CB18" i="12"/>
  <c r="CB17" i="12" a="1"/>
  <c r="CB17" i="12" s="1"/>
  <c r="N16" i="11"/>
  <c r="N16" i="5"/>
  <c r="L10" i="1"/>
  <c r="H10" i="1"/>
  <c r="M10" i="1" s="1"/>
  <c r="N14" i="11"/>
  <c r="N14" i="5"/>
  <c r="L8" i="1"/>
  <c r="H8" i="1"/>
  <c r="M8" i="1" s="1"/>
  <c r="N13" i="11"/>
  <c r="N13" i="5"/>
  <c r="L7" i="1"/>
  <c r="H7" i="1"/>
  <c r="M7" i="1" s="1"/>
  <c r="N12" i="11"/>
  <c r="N12" i="5"/>
  <c r="L6" i="1"/>
  <c r="H6" i="1"/>
  <c r="M6" i="1" s="1"/>
  <c r="K5" i="1"/>
  <c r="J12" i="1"/>
  <c r="N11" i="11"/>
  <c r="F92" i="11" s="1"/>
  <c r="N11" i="5"/>
  <c r="L5" i="1"/>
  <c r="H5" i="1"/>
  <c r="M5" i="1" s="1"/>
  <c r="F92" i="5"/>
  <c r="N8" i="11"/>
  <c r="G12" i="1"/>
  <c r="L2" i="1"/>
  <c r="H2" i="1"/>
  <c r="L17" i="5"/>
  <c r="L17" i="11"/>
  <c r="L17" i="27"/>
  <c r="E67" i="11" l="1"/>
  <c r="BY33" i="6"/>
  <c r="BY33" i="15"/>
  <c r="BY33" i="17"/>
  <c r="BY33" i="26"/>
  <c r="BY33" i="16"/>
  <c r="BY80" i="6"/>
  <c r="U26" i="6"/>
  <c r="R14" i="19"/>
  <c r="U14" i="7"/>
  <c r="Y14" i="7"/>
  <c r="Y16" i="7" s="1"/>
  <c r="Y100" i="7" s="1"/>
  <c r="Z14" i="7"/>
  <c r="Z16" i="7" s="1"/>
  <c r="AA14" i="7"/>
  <c r="M2" i="1"/>
  <c r="H13" i="1"/>
  <c r="L12" i="1"/>
  <c r="AF12" i="6"/>
  <c r="J18" i="5"/>
  <c r="J24" i="5" s="1"/>
  <c r="J25" i="5" s="1"/>
  <c r="N17" i="5"/>
  <c r="J18" i="11"/>
  <c r="N17" i="11"/>
  <c r="Z48" i="26"/>
  <c r="Z37" i="26" s="1"/>
  <c r="S48" i="26"/>
  <c r="Z48" i="17"/>
  <c r="S48" i="17"/>
  <c r="BY48" i="17" s="1"/>
  <c r="Z48" i="16"/>
  <c r="S48" i="16"/>
  <c r="BY48" i="16" s="1"/>
  <c r="Z48" i="15"/>
  <c r="S48" i="15"/>
  <c r="BY48" i="15" s="1"/>
  <c r="Z48" i="7"/>
  <c r="Z48" i="6"/>
  <c r="Z37" i="6" s="1"/>
  <c r="S48" i="6"/>
  <c r="I92" i="5"/>
  <c r="CB60" i="12"/>
  <c r="CC17" i="12"/>
  <c r="AA82" i="26"/>
  <c r="Z82" i="26"/>
  <c r="Z63" i="26" s="1"/>
  <c r="Y82" i="26"/>
  <c r="Y63" i="26" s="1"/>
  <c r="X82" i="26"/>
  <c r="X63" i="26" s="1"/>
  <c r="W82" i="26"/>
  <c r="W63" i="26" s="1"/>
  <c r="V82" i="26"/>
  <c r="V63" i="26" s="1"/>
  <c r="U82" i="26"/>
  <c r="U63" i="26" s="1"/>
  <c r="T82" i="26"/>
  <c r="T63" i="26" s="1"/>
  <c r="S82" i="26"/>
  <c r="S63" i="26" s="1"/>
  <c r="R82" i="26"/>
  <c r="T82" i="20"/>
  <c r="T63" i="20" s="1"/>
  <c r="S82" i="20"/>
  <c r="S63" i="20" s="1"/>
  <c r="R82" i="20"/>
  <c r="R63" i="20" s="1"/>
  <c r="Q82" i="20"/>
  <c r="AC82" i="19"/>
  <c r="AC63" i="19" s="1"/>
  <c r="AB82" i="19"/>
  <c r="AB63" i="19" s="1"/>
  <c r="AB98" i="19" s="1"/>
  <c r="AA82" i="19"/>
  <c r="AA63" i="19" s="1"/>
  <c r="Z82" i="19"/>
  <c r="Z63" i="19" s="1"/>
  <c r="Y82" i="19"/>
  <c r="Y63" i="19" s="1"/>
  <c r="X82" i="19"/>
  <c r="X63" i="19" s="1"/>
  <c r="W82" i="19"/>
  <c r="W63" i="19" s="1"/>
  <c r="V82" i="19"/>
  <c r="V63" i="19" s="1"/>
  <c r="U82" i="19"/>
  <c r="U63" i="19" s="1"/>
  <c r="T82" i="19"/>
  <c r="T63" i="19" s="1"/>
  <c r="S82" i="19"/>
  <c r="S63" i="19" s="1"/>
  <c r="R82" i="19"/>
  <c r="R63" i="19" s="1"/>
  <c r="Q82" i="19"/>
  <c r="AA82" i="17"/>
  <c r="Z82" i="17"/>
  <c r="Z63" i="17" s="1"/>
  <c r="Y82" i="17"/>
  <c r="Y63" i="17" s="1"/>
  <c r="X82" i="17"/>
  <c r="X63" i="17" s="1"/>
  <c r="W82" i="17"/>
  <c r="W63" i="17" s="1"/>
  <c r="V82" i="17"/>
  <c r="V63" i="17" s="1"/>
  <c r="U82" i="17"/>
  <c r="U63" i="17" s="1"/>
  <c r="T82" i="17"/>
  <c r="T63" i="17" s="1"/>
  <c r="S82" i="17"/>
  <c r="S63" i="17" s="1"/>
  <c r="R82" i="17"/>
  <c r="R63" i="17" s="1"/>
  <c r="Q82" i="17"/>
  <c r="AA82" i="16"/>
  <c r="Z82" i="16"/>
  <c r="Z63" i="16" s="1"/>
  <c r="Y82" i="16"/>
  <c r="Y63" i="16" s="1"/>
  <c r="X82" i="16"/>
  <c r="X63" i="16" s="1"/>
  <c r="W82" i="16"/>
  <c r="W63" i="16" s="1"/>
  <c r="V82" i="16"/>
  <c r="V63" i="16" s="1"/>
  <c r="U82" i="16"/>
  <c r="U63" i="16" s="1"/>
  <c r="T82" i="16"/>
  <c r="T63" i="16" s="1"/>
  <c r="S82" i="16"/>
  <c r="S63" i="16" s="1"/>
  <c r="R82" i="16"/>
  <c r="R63" i="16" s="1"/>
  <c r="Q82" i="16"/>
  <c r="AA82" i="15"/>
  <c r="AA63" i="15" s="1"/>
  <c r="Z82" i="15"/>
  <c r="Z63" i="15" s="1"/>
  <c r="Y82" i="15"/>
  <c r="Y63" i="15" s="1"/>
  <c r="X82" i="15"/>
  <c r="X63" i="15" s="1"/>
  <c r="W82" i="15"/>
  <c r="W63" i="15" s="1"/>
  <c r="V82" i="15"/>
  <c r="V63" i="15" s="1"/>
  <c r="U82" i="15"/>
  <c r="U63" i="15" s="1"/>
  <c r="T82" i="15"/>
  <c r="T63" i="15" s="1"/>
  <c r="S82" i="15"/>
  <c r="S63" i="15" s="1"/>
  <c r="R82" i="15"/>
  <c r="R63" i="15" s="1"/>
  <c r="Q82" i="15"/>
  <c r="T80" i="14"/>
  <c r="T61" i="14" s="1"/>
  <c r="S80" i="14"/>
  <c r="S61" i="14" s="1"/>
  <c r="R80" i="14"/>
  <c r="R61" i="14" s="1"/>
  <c r="Q80" i="14"/>
  <c r="T80" i="12"/>
  <c r="T61" i="12" s="1"/>
  <c r="S80" i="12"/>
  <c r="S61" i="12" s="1"/>
  <c r="R80" i="12"/>
  <c r="R61" i="12" s="1"/>
  <c r="Q80" i="12"/>
  <c r="N40" i="12"/>
  <c r="M40" i="12"/>
  <c r="L40" i="12"/>
  <c r="K40" i="12"/>
  <c r="J40" i="12"/>
  <c r="I40" i="12"/>
  <c r="E62" i="5"/>
  <c r="C72" i="5"/>
  <c r="N41" i="12"/>
  <c r="M41" i="12"/>
  <c r="L41" i="12"/>
  <c r="K41" i="12"/>
  <c r="J41" i="12"/>
  <c r="I41" i="12"/>
  <c r="BY41" i="12" s="1"/>
  <c r="E66" i="5"/>
  <c r="Z63" i="7"/>
  <c r="BY80" i="7"/>
  <c r="Z27" i="7"/>
  <c r="Z26" i="7" s="1"/>
  <c r="V26" i="7"/>
  <c r="V98" i="7" s="1"/>
  <c r="BY27" i="7"/>
  <c r="BY26" i="7" s="1"/>
  <c r="Y35" i="26"/>
  <c r="Y34" i="26" s="1"/>
  <c r="X35" i="26"/>
  <c r="X34" i="26" s="1"/>
  <c r="W35" i="26"/>
  <c r="W34" i="26" s="1"/>
  <c r="V35" i="26"/>
  <c r="V34" i="26" s="1"/>
  <c r="U35" i="26"/>
  <c r="U34" i="26" s="1"/>
  <c r="T35" i="26"/>
  <c r="Z35" i="17"/>
  <c r="Z34" i="17" s="1"/>
  <c r="Y35" i="17"/>
  <c r="Y34" i="17" s="1"/>
  <c r="X35" i="17"/>
  <c r="X34" i="17" s="1"/>
  <c r="W35" i="17"/>
  <c r="W34" i="17" s="1"/>
  <c r="V35" i="17"/>
  <c r="V34" i="17" s="1"/>
  <c r="U35" i="17"/>
  <c r="U34" i="17" s="1"/>
  <c r="T35" i="17"/>
  <c r="T34" i="17" s="1"/>
  <c r="S35" i="17"/>
  <c r="Z35" i="16"/>
  <c r="Z34" i="16" s="1"/>
  <c r="Y35" i="16"/>
  <c r="Y34" i="16" s="1"/>
  <c r="X35" i="16"/>
  <c r="X34" i="16" s="1"/>
  <c r="W35" i="16"/>
  <c r="W34" i="16" s="1"/>
  <c r="V35" i="16"/>
  <c r="V34" i="16" s="1"/>
  <c r="U35" i="16"/>
  <c r="U34" i="16" s="1"/>
  <c r="T35" i="16"/>
  <c r="T34" i="16" s="1"/>
  <c r="S35" i="16"/>
  <c r="Z35" i="15"/>
  <c r="Z34" i="15" s="1"/>
  <c r="Y35" i="15"/>
  <c r="Y34" i="15" s="1"/>
  <c r="X35" i="15"/>
  <c r="X34" i="15" s="1"/>
  <c r="W35" i="15"/>
  <c r="W34" i="15" s="1"/>
  <c r="V35" i="15"/>
  <c r="V34" i="15" s="1"/>
  <c r="U35" i="15"/>
  <c r="U34" i="15" s="1"/>
  <c r="T35" i="15"/>
  <c r="T34" i="15" s="1"/>
  <c r="S35" i="15"/>
  <c r="Y35" i="6"/>
  <c r="Y34" i="6" s="1"/>
  <c r="X35" i="6"/>
  <c r="X34" i="6" s="1"/>
  <c r="W35" i="6"/>
  <c r="W34" i="6" s="1"/>
  <c r="V35" i="6"/>
  <c r="V34" i="6" s="1"/>
  <c r="U35" i="6"/>
  <c r="F52" i="5"/>
  <c r="R30" i="5"/>
  <c r="F78" i="5"/>
  <c r="AA98" i="7"/>
  <c r="CE39" i="12"/>
  <c r="M14" i="19"/>
  <c r="K98" i="19"/>
  <c r="T42" i="20"/>
  <c r="T37" i="20" s="1"/>
  <c r="S42" i="20"/>
  <c r="S37" i="20" s="1"/>
  <c r="S98" i="20" s="1"/>
  <c r="R42" i="20"/>
  <c r="R37" i="20" s="1"/>
  <c r="Q42" i="20"/>
  <c r="Q37" i="20" s="1"/>
  <c r="P42" i="20"/>
  <c r="P37" i="20" s="1"/>
  <c r="O42" i="20"/>
  <c r="O37" i="20" s="1"/>
  <c r="N42" i="20"/>
  <c r="N37" i="20" s="1"/>
  <c r="M42" i="20"/>
  <c r="M37" i="20" s="1"/>
  <c r="L42" i="20"/>
  <c r="L37" i="20" s="1"/>
  <c r="K42" i="20"/>
  <c r="K37" i="20" s="1"/>
  <c r="J42" i="20"/>
  <c r="T42" i="14"/>
  <c r="T37" i="14" s="1"/>
  <c r="S42" i="14"/>
  <c r="S37" i="14" s="1"/>
  <c r="S96" i="14" s="1"/>
  <c r="R42" i="14"/>
  <c r="R37" i="14" s="1"/>
  <c r="Q42" i="14"/>
  <c r="Q37" i="14" s="1"/>
  <c r="P42" i="14"/>
  <c r="P37" i="14" s="1"/>
  <c r="O42" i="14"/>
  <c r="O37" i="14" s="1"/>
  <c r="N42" i="14"/>
  <c r="N37" i="14" s="1"/>
  <c r="M42" i="14"/>
  <c r="M37" i="14" s="1"/>
  <c r="L42" i="14"/>
  <c r="L37" i="14" s="1"/>
  <c r="K42" i="14"/>
  <c r="K37" i="14" s="1"/>
  <c r="J42" i="14"/>
  <c r="T42" i="12"/>
  <c r="T37" i="12" s="1"/>
  <c r="S42" i="12"/>
  <c r="S37" i="12" s="1"/>
  <c r="S96" i="12" s="1"/>
  <c r="R42" i="12"/>
  <c r="R37" i="12" s="1"/>
  <c r="Q42" i="12"/>
  <c r="Q37" i="12" s="1"/>
  <c r="P42" i="12"/>
  <c r="P37" i="12" s="1"/>
  <c r="O42" i="12"/>
  <c r="N42" i="12"/>
  <c r="M42" i="12"/>
  <c r="L42" i="12"/>
  <c r="K42" i="12"/>
  <c r="J42" i="12"/>
  <c r="I42" i="12"/>
  <c r="BY42" i="12" s="1"/>
  <c r="E67" i="5"/>
  <c r="BY56" i="6"/>
  <c r="AF113" i="6"/>
  <c r="BY91" i="6"/>
  <c r="D139" i="6"/>
  <c r="D141" i="6" s="1"/>
  <c r="BY9" i="6"/>
  <c r="Z90" i="6"/>
  <c r="BY26" i="6"/>
  <c r="Q100" i="6"/>
  <c r="Q101" i="6" s="1"/>
  <c r="Q99" i="6"/>
  <c r="N153" i="6"/>
  <c r="O169" i="6"/>
  <c r="P169" i="6" s="1"/>
  <c r="Q169" i="6" s="1"/>
  <c r="R169" i="6" s="1"/>
  <c r="S169" i="6" s="1"/>
  <c r="T169" i="6" s="1"/>
  <c r="U169" i="6" s="1"/>
  <c r="V169" i="6" s="1"/>
  <c r="W169" i="6" s="1"/>
  <c r="X169" i="6" s="1"/>
  <c r="Y169" i="6" s="1"/>
  <c r="Z169" i="6" s="1"/>
  <c r="AA169" i="6" s="1"/>
  <c r="AB169" i="6" s="1"/>
  <c r="AC169" i="6" s="1"/>
  <c r="AD169" i="6" s="1"/>
  <c r="AE169" i="6" s="1"/>
  <c r="AF169" i="6" s="1"/>
  <c r="AG169" i="6" s="1"/>
  <c r="AH169" i="6" s="1"/>
  <c r="AI169" i="6" s="1"/>
  <c r="AJ169" i="6" s="1"/>
  <c r="AK169" i="6" s="1"/>
  <c r="AL169" i="6" s="1"/>
  <c r="AM169" i="6" s="1"/>
  <c r="AN169" i="6" s="1"/>
  <c r="AO169" i="6" s="1"/>
  <c r="AP169" i="6" s="1"/>
  <c r="AQ169" i="6" s="1"/>
  <c r="AR169" i="6" s="1"/>
  <c r="AS169" i="6" s="1"/>
  <c r="AT169" i="6" s="1"/>
  <c r="AU169" i="6" s="1"/>
  <c r="AV169" i="6" s="1"/>
  <c r="AW169" i="6" s="1"/>
  <c r="AX169" i="6" s="1"/>
  <c r="AY169" i="6" s="1"/>
  <c r="AZ169" i="6" s="1"/>
  <c r="BA169" i="6" s="1"/>
  <c r="BB169" i="6" s="1"/>
  <c r="BC169" i="6" s="1"/>
  <c r="BD169" i="6" s="1"/>
  <c r="BE169" i="6" s="1"/>
  <c r="BF169" i="6" s="1"/>
  <c r="BG169" i="6" s="1"/>
  <c r="BH169" i="6" s="1"/>
  <c r="BI169" i="6" s="1"/>
  <c r="BJ169" i="6" s="1"/>
  <c r="BK169" i="6" s="1"/>
  <c r="BL169" i="6" s="1"/>
  <c r="BM169" i="6" s="1"/>
  <c r="BN169" i="6" s="1"/>
  <c r="BO169" i="6" s="1"/>
  <c r="BP169" i="6" s="1"/>
  <c r="BQ169" i="6" s="1"/>
  <c r="BR169" i="6" s="1"/>
  <c r="BS169" i="6" s="1"/>
  <c r="BT169" i="6" s="1"/>
  <c r="BU169" i="6" s="1"/>
  <c r="BV169" i="6" s="1"/>
  <c r="BW169" i="6" s="1"/>
  <c r="D171" i="6"/>
  <c r="D173" i="6" s="1"/>
  <c r="O185" i="6"/>
  <c r="P185" i="6" s="1"/>
  <c r="Q185" i="6" s="1"/>
  <c r="R185" i="6" s="1"/>
  <c r="S185" i="6" s="1"/>
  <c r="T185" i="6" s="1"/>
  <c r="U185" i="6" s="1"/>
  <c r="V185" i="6" s="1"/>
  <c r="W185" i="6" s="1"/>
  <c r="X185" i="6" s="1"/>
  <c r="Y185" i="6" s="1"/>
  <c r="Z185" i="6" s="1"/>
  <c r="AA185" i="6" s="1"/>
  <c r="AB185" i="6" s="1"/>
  <c r="AC185" i="6" s="1"/>
  <c r="AD185" i="6" s="1"/>
  <c r="AE185" i="6" s="1"/>
  <c r="AF185" i="6" s="1"/>
  <c r="AG185" i="6" s="1"/>
  <c r="AH185" i="6" s="1"/>
  <c r="AI185" i="6" s="1"/>
  <c r="AJ185" i="6" s="1"/>
  <c r="AK185" i="6" s="1"/>
  <c r="AL185" i="6" s="1"/>
  <c r="AM185" i="6" s="1"/>
  <c r="AN185" i="6" s="1"/>
  <c r="AO185" i="6" s="1"/>
  <c r="AP185" i="6" s="1"/>
  <c r="AQ185" i="6" s="1"/>
  <c r="AR185" i="6" s="1"/>
  <c r="AS185" i="6" s="1"/>
  <c r="AT185" i="6" s="1"/>
  <c r="AU185" i="6" s="1"/>
  <c r="AV185" i="6" s="1"/>
  <c r="AW185" i="6" s="1"/>
  <c r="AX185" i="6" s="1"/>
  <c r="AY185" i="6" s="1"/>
  <c r="AZ185" i="6" s="1"/>
  <c r="BA185" i="6" s="1"/>
  <c r="BB185" i="6" s="1"/>
  <c r="BC185" i="6" s="1"/>
  <c r="BD185" i="6" s="1"/>
  <c r="BE185" i="6" s="1"/>
  <c r="BF185" i="6" s="1"/>
  <c r="BG185" i="6" s="1"/>
  <c r="BH185" i="6" s="1"/>
  <c r="BI185" i="6" s="1"/>
  <c r="BJ185" i="6" s="1"/>
  <c r="BK185" i="6" s="1"/>
  <c r="BL185" i="6" s="1"/>
  <c r="BM185" i="6" s="1"/>
  <c r="BN185" i="6" s="1"/>
  <c r="BO185" i="6" s="1"/>
  <c r="BP185" i="6" s="1"/>
  <c r="BQ185" i="6" s="1"/>
  <c r="BR185" i="6" s="1"/>
  <c r="BS185" i="6" s="1"/>
  <c r="BT185" i="6" s="1"/>
  <c r="BU185" i="6" s="1"/>
  <c r="BV185" i="6" s="1"/>
  <c r="BW185" i="6" s="1"/>
  <c r="D187" i="6"/>
  <c r="D189" i="6" s="1"/>
  <c r="AB120" i="7"/>
  <c r="BY56" i="7"/>
  <c r="AB118" i="7"/>
  <c r="BY91" i="7"/>
  <c r="D144" i="7"/>
  <c r="D146" i="7" s="1"/>
  <c r="BY9" i="7"/>
  <c r="Z90" i="7"/>
  <c r="Q100" i="7"/>
  <c r="Q101" i="7" s="1"/>
  <c r="R101" i="7" s="1"/>
  <c r="S101" i="7" s="1"/>
  <c r="T101" i="7" s="1"/>
  <c r="T139" i="7" s="1"/>
  <c r="T141" i="7" s="1"/>
  <c r="Q99" i="7"/>
  <c r="R99" i="7" s="1"/>
  <c r="S99" i="7" s="1"/>
  <c r="T99" i="7" s="1"/>
  <c r="U99" i="7" s="1"/>
  <c r="T142" i="7"/>
  <c r="U142" i="7" s="1"/>
  <c r="V142" i="7" s="1"/>
  <c r="W142" i="7" s="1"/>
  <c r="X142" i="7" s="1"/>
  <c r="Y142" i="7" s="1"/>
  <c r="Z142" i="7" s="1"/>
  <c r="N158" i="7"/>
  <c r="O174" i="7"/>
  <c r="P174" i="7" s="1"/>
  <c r="Q174" i="7" s="1"/>
  <c r="R174" i="7" s="1"/>
  <c r="S174" i="7" s="1"/>
  <c r="T174" i="7" s="1"/>
  <c r="U174" i="7" s="1"/>
  <c r="V174" i="7" s="1"/>
  <c r="W174" i="7" s="1"/>
  <c r="X174" i="7" s="1"/>
  <c r="Y174" i="7" s="1"/>
  <c r="Z174" i="7" s="1"/>
  <c r="D176" i="7"/>
  <c r="D178" i="7" s="1"/>
  <c r="O190" i="7"/>
  <c r="P190" i="7" s="1"/>
  <c r="Q190" i="7" s="1"/>
  <c r="R190" i="7" s="1"/>
  <c r="S190" i="7" s="1"/>
  <c r="T190" i="7" s="1"/>
  <c r="U190" i="7" s="1"/>
  <c r="V190" i="7" s="1"/>
  <c r="W190" i="7" s="1"/>
  <c r="X190" i="7" s="1"/>
  <c r="Y190" i="7" s="1"/>
  <c r="Z190" i="7" s="1"/>
  <c r="D192" i="7"/>
  <c r="D194" i="7" s="1"/>
  <c r="D11" i="8"/>
  <c r="E10" i="8"/>
  <c r="S11" i="8"/>
  <c r="T10" i="8"/>
  <c r="F70" i="11"/>
  <c r="C72" i="11" s="1"/>
  <c r="R20" i="11" s="1"/>
  <c r="E58" i="11"/>
  <c r="E57" i="11"/>
  <c r="F44" i="11"/>
  <c r="R30" i="11"/>
  <c r="C93" i="11"/>
  <c r="CB3" i="23"/>
  <c r="CB48" i="12"/>
  <c r="CC5" i="12"/>
  <c r="CE11" i="12"/>
  <c r="CE12" i="12"/>
  <c r="T23" i="23"/>
  <c r="T110" i="12"/>
  <c r="BY89" i="12"/>
  <c r="CB52" i="12"/>
  <c r="CC9" i="12"/>
  <c r="P88" i="12"/>
  <c r="T95" i="12"/>
  <c r="N148" i="12"/>
  <c r="O164" i="12"/>
  <c r="P164" i="12" s="1"/>
  <c r="Q164" i="12" s="1"/>
  <c r="R164" i="12" s="1"/>
  <c r="S164" i="12" s="1"/>
  <c r="T164" i="12" s="1"/>
  <c r="U164" i="12" s="1"/>
  <c r="V164" i="12" s="1"/>
  <c r="W164" i="12" s="1"/>
  <c r="X164" i="12" s="1"/>
  <c r="Y164" i="12" s="1"/>
  <c r="Z164" i="12" s="1"/>
  <c r="AA164" i="12" s="1"/>
  <c r="AB164" i="12" s="1"/>
  <c r="AC164" i="12" s="1"/>
  <c r="AD164" i="12" s="1"/>
  <c r="AE164" i="12" s="1"/>
  <c r="AF164" i="12" s="1"/>
  <c r="AG164" i="12" s="1"/>
  <c r="AH164" i="12" s="1"/>
  <c r="AI164" i="12" s="1"/>
  <c r="AJ164" i="12" s="1"/>
  <c r="AK164" i="12" s="1"/>
  <c r="AL164" i="12" s="1"/>
  <c r="AM164" i="12" s="1"/>
  <c r="AN164" i="12" s="1"/>
  <c r="AO164" i="12" s="1"/>
  <c r="AP164" i="12" s="1"/>
  <c r="AQ164" i="12" s="1"/>
  <c r="AR164" i="12" s="1"/>
  <c r="AS164" i="12" s="1"/>
  <c r="AT164" i="12" s="1"/>
  <c r="AU164" i="12" s="1"/>
  <c r="AV164" i="12" s="1"/>
  <c r="AW164" i="12" s="1"/>
  <c r="AX164" i="12" s="1"/>
  <c r="AY164" i="12" s="1"/>
  <c r="AZ164" i="12" s="1"/>
  <c r="BA164" i="12" s="1"/>
  <c r="BB164" i="12" s="1"/>
  <c r="BC164" i="12" s="1"/>
  <c r="BD164" i="12" s="1"/>
  <c r="BE164" i="12" s="1"/>
  <c r="BF164" i="12" s="1"/>
  <c r="BG164" i="12" s="1"/>
  <c r="BH164" i="12" s="1"/>
  <c r="BI164" i="12" s="1"/>
  <c r="BJ164" i="12" s="1"/>
  <c r="BK164" i="12" s="1"/>
  <c r="BL164" i="12" s="1"/>
  <c r="BM164" i="12" s="1"/>
  <c r="BN164" i="12" s="1"/>
  <c r="BO164" i="12" s="1"/>
  <c r="BP164" i="12" s="1"/>
  <c r="BQ164" i="12" s="1"/>
  <c r="BR164" i="12" s="1"/>
  <c r="BS164" i="12" s="1"/>
  <c r="BT164" i="12" s="1"/>
  <c r="BU164" i="12" s="1"/>
  <c r="BV164" i="12" s="1"/>
  <c r="BW164" i="12" s="1"/>
  <c r="BX164" i="12" s="1"/>
  <c r="D166" i="12"/>
  <c r="D168" i="12" s="1"/>
  <c r="D170" i="12" s="1"/>
  <c r="O180" i="12"/>
  <c r="P180" i="12" s="1"/>
  <c r="Q180" i="12" s="1"/>
  <c r="R180" i="12" s="1"/>
  <c r="S180" i="12" s="1"/>
  <c r="T180" i="12" s="1"/>
  <c r="U180" i="12" s="1"/>
  <c r="V180" i="12" s="1"/>
  <c r="W180" i="12" s="1"/>
  <c r="X180" i="12" s="1"/>
  <c r="Y180" i="12" s="1"/>
  <c r="Z180" i="12" s="1"/>
  <c r="AA180" i="12" s="1"/>
  <c r="AB180" i="12" s="1"/>
  <c r="AC180" i="12" s="1"/>
  <c r="AD180" i="12" s="1"/>
  <c r="AE180" i="12" s="1"/>
  <c r="AF180" i="12" s="1"/>
  <c r="AG180" i="12" s="1"/>
  <c r="AH180" i="12" s="1"/>
  <c r="AI180" i="12" s="1"/>
  <c r="AJ180" i="12" s="1"/>
  <c r="AK180" i="12" s="1"/>
  <c r="AL180" i="12" s="1"/>
  <c r="AM180" i="12" s="1"/>
  <c r="AN180" i="12" s="1"/>
  <c r="AO180" i="12" s="1"/>
  <c r="AP180" i="12" s="1"/>
  <c r="AQ180" i="12" s="1"/>
  <c r="AR180" i="12" s="1"/>
  <c r="AS180" i="12" s="1"/>
  <c r="AT180" i="12" s="1"/>
  <c r="AU180" i="12" s="1"/>
  <c r="AV180" i="12" s="1"/>
  <c r="AW180" i="12" s="1"/>
  <c r="AX180" i="12" s="1"/>
  <c r="AY180" i="12" s="1"/>
  <c r="AZ180" i="12" s="1"/>
  <c r="BA180" i="12" s="1"/>
  <c r="BB180" i="12" s="1"/>
  <c r="BC180" i="12" s="1"/>
  <c r="BD180" i="12" s="1"/>
  <c r="BE180" i="12" s="1"/>
  <c r="BF180" i="12" s="1"/>
  <c r="BG180" i="12" s="1"/>
  <c r="BH180" i="12" s="1"/>
  <c r="BI180" i="12" s="1"/>
  <c r="BJ180" i="12" s="1"/>
  <c r="BK180" i="12" s="1"/>
  <c r="BL180" i="12" s="1"/>
  <c r="BM180" i="12" s="1"/>
  <c r="BN180" i="12" s="1"/>
  <c r="BO180" i="12" s="1"/>
  <c r="BP180" i="12" s="1"/>
  <c r="BQ180" i="12" s="1"/>
  <c r="BR180" i="12" s="1"/>
  <c r="BS180" i="12" s="1"/>
  <c r="BT180" i="12" s="1"/>
  <c r="BU180" i="12" s="1"/>
  <c r="BV180" i="12" s="1"/>
  <c r="BW180" i="12" s="1"/>
  <c r="BX180" i="12" s="1"/>
  <c r="D182" i="12"/>
  <c r="D184" i="12" s="1"/>
  <c r="D186" i="12" s="1"/>
  <c r="S11" i="13"/>
  <c r="T10" i="13"/>
  <c r="CE11" i="14"/>
  <c r="CE12" i="14"/>
  <c r="T110" i="14"/>
  <c r="BY89" i="14"/>
  <c r="D136" i="14"/>
  <c r="D138" i="14" s="1"/>
  <c r="CC9" i="14"/>
  <c r="Q88" i="14"/>
  <c r="T95" i="14"/>
  <c r="N150" i="14"/>
  <c r="O166" i="14"/>
  <c r="P166" i="14" s="1"/>
  <c r="Q166" i="14" s="1"/>
  <c r="R166" i="14" s="1"/>
  <c r="S166" i="14" s="1"/>
  <c r="T166" i="14" s="1"/>
  <c r="U166" i="14" s="1"/>
  <c r="V166" i="14" s="1"/>
  <c r="W166" i="14" s="1"/>
  <c r="X166" i="14" s="1"/>
  <c r="Y166" i="14" s="1"/>
  <c r="Z166" i="14" s="1"/>
  <c r="AA166" i="14" s="1"/>
  <c r="AB166" i="14" s="1"/>
  <c r="AC166" i="14" s="1"/>
  <c r="AD166" i="14" s="1"/>
  <c r="AE166" i="14" s="1"/>
  <c r="AF166" i="14" s="1"/>
  <c r="AG166" i="14" s="1"/>
  <c r="AH166" i="14" s="1"/>
  <c r="AI166" i="14" s="1"/>
  <c r="AJ166" i="14" s="1"/>
  <c r="AK166" i="14" s="1"/>
  <c r="AL166" i="14" s="1"/>
  <c r="AM166" i="14" s="1"/>
  <c r="AN166" i="14" s="1"/>
  <c r="AO166" i="14" s="1"/>
  <c r="AP166" i="14" s="1"/>
  <c r="AQ166" i="14" s="1"/>
  <c r="AR166" i="14" s="1"/>
  <c r="AS166" i="14" s="1"/>
  <c r="AT166" i="14" s="1"/>
  <c r="AU166" i="14" s="1"/>
  <c r="AV166" i="14" s="1"/>
  <c r="AW166" i="14" s="1"/>
  <c r="AX166" i="14" s="1"/>
  <c r="AY166" i="14" s="1"/>
  <c r="AZ166" i="14" s="1"/>
  <c r="BA166" i="14" s="1"/>
  <c r="BB166" i="14" s="1"/>
  <c r="BC166" i="14" s="1"/>
  <c r="BD166" i="14" s="1"/>
  <c r="BE166" i="14" s="1"/>
  <c r="BF166" i="14" s="1"/>
  <c r="BG166" i="14" s="1"/>
  <c r="BH166" i="14" s="1"/>
  <c r="BI166" i="14" s="1"/>
  <c r="BJ166" i="14" s="1"/>
  <c r="BK166" i="14" s="1"/>
  <c r="BL166" i="14" s="1"/>
  <c r="BM166" i="14" s="1"/>
  <c r="BN166" i="14" s="1"/>
  <c r="BO166" i="14" s="1"/>
  <c r="BP166" i="14" s="1"/>
  <c r="BQ166" i="14" s="1"/>
  <c r="BR166" i="14" s="1"/>
  <c r="BS166" i="14" s="1"/>
  <c r="BT166" i="14" s="1"/>
  <c r="BU166" i="14" s="1"/>
  <c r="BV166" i="14" s="1"/>
  <c r="BW166" i="14" s="1"/>
  <c r="D168" i="14"/>
  <c r="D170" i="14" s="1"/>
  <c r="O182" i="14"/>
  <c r="P182" i="14" s="1"/>
  <c r="Q182" i="14" s="1"/>
  <c r="R182" i="14" s="1"/>
  <c r="S182" i="14" s="1"/>
  <c r="T182" i="14" s="1"/>
  <c r="U182" i="14" s="1"/>
  <c r="V182" i="14" s="1"/>
  <c r="W182" i="14" s="1"/>
  <c r="X182" i="14" s="1"/>
  <c r="Y182" i="14" s="1"/>
  <c r="Z182" i="14" s="1"/>
  <c r="AA182" i="14" s="1"/>
  <c r="AB182" i="14" s="1"/>
  <c r="AC182" i="14" s="1"/>
  <c r="AD182" i="14" s="1"/>
  <c r="AE182" i="14" s="1"/>
  <c r="AF182" i="14" s="1"/>
  <c r="AG182" i="14" s="1"/>
  <c r="AH182" i="14" s="1"/>
  <c r="AI182" i="14" s="1"/>
  <c r="AJ182" i="14" s="1"/>
  <c r="AK182" i="14" s="1"/>
  <c r="AL182" i="14" s="1"/>
  <c r="AM182" i="14" s="1"/>
  <c r="AN182" i="14" s="1"/>
  <c r="AO182" i="14" s="1"/>
  <c r="AP182" i="14" s="1"/>
  <c r="AQ182" i="14" s="1"/>
  <c r="AR182" i="14" s="1"/>
  <c r="AS182" i="14" s="1"/>
  <c r="AT182" i="14" s="1"/>
  <c r="AU182" i="14" s="1"/>
  <c r="AV182" i="14" s="1"/>
  <c r="AW182" i="14" s="1"/>
  <c r="AX182" i="14" s="1"/>
  <c r="AY182" i="14" s="1"/>
  <c r="AZ182" i="14" s="1"/>
  <c r="BA182" i="14" s="1"/>
  <c r="BB182" i="14" s="1"/>
  <c r="BC182" i="14" s="1"/>
  <c r="BD182" i="14" s="1"/>
  <c r="BE182" i="14" s="1"/>
  <c r="BF182" i="14" s="1"/>
  <c r="BG182" i="14" s="1"/>
  <c r="BH182" i="14" s="1"/>
  <c r="BI182" i="14" s="1"/>
  <c r="BJ182" i="14" s="1"/>
  <c r="BK182" i="14" s="1"/>
  <c r="BL182" i="14" s="1"/>
  <c r="BM182" i="14" s="1"/>
  <c r="BN182" i="14" s="1"/>
  <c r="BO182" i="14" s="1"/>
  <c r="BP182" i="14" s="1"/>
  <c r="BQ182" i="14" s="1"/>
  <c r="BR182" i="14" s="1"/>
  <c r="BS182" i="14" s="1"/>
  <c r="BT182" i="14" s="1"/>
  <c r="BU182" i="14" s="1"/>
  <c r="BV182" i="14" s="1"/>
  <c r="BW182" i="14" s="1"/>
  <c r="D184" i="14"/>
  <c r="D186" i="14" s="1"/>
  <c r="CE11" i="15"/>
  <c r="CE12" i="15"/>
  <c r="AA113" i="15"/>
  <c r="BY91" i="15"/>
  <c r="AA131" i="15"/>
  <c r="BY92" i="15"/>
  <c r="CC9" i="15"/>
  <c r="Q90" i="15"/>
  <c r="AA97" i="15"/>
  <c r="CA23" i="15"/>
  <c r="R14" i="15"/>
  <c r="P98" i="15"/>
  <c r="P100" i="15" s="1"/>
  <c r="P101" i="15" s="1"/>
  <c r="BY26" i="15"/>
  <c r="N153" i="15"/>
  <c r="O169" i="15"/>
  <c r="P169" i="15" s="1"/>
  <c r="Q169" i="15" s="1"/>
  <c r="R169" i="15" s="1"/>
  <c r="S169" i="15" s="1"/>
  <c r="T169" i="15" s="1"/>
  <c r="U169" i="15" s="1"/>
  <c r="V169" i="15" s="1"/>
  <c r="W169" i="15" s="1"/>
  <c r="X169" i="15" s="1"/>
  <c r="Y169" i="15" s="1"/>
  <c r="Z169" i="15" s="1"/>
  <c r="AA169" i="15" s="1"/>
  <c r="AB169" i="15" s="1"/>
  <c r="AC169" i="15" s="1"/>
  <c r="AD169" i="15" s="1"/>
  <c r="AE169" i="15" s="1"/>
  <c r="AF169" i="15" s="1"/>
  <c r="AG169" i="15" s="1"/>
  <c r="AH169" i="15" s="1"/>
  <c r="AI169" i="15" s="1"/>
  <c r="AJ169" i="15" s="1"/>
  <c r="AK169" i="15" s="1"/>
  <c r="AL169" i="15" s="1"/>
  <c r="AM169" i="15" s="1"/>
  <c r="AN169" i="15" s="1"/>
  <c r="AO169" i="15" s="1"/>
  <c r="AP169" i="15" s="1"/>
  <c r="AQ169" i="15" s="1"/>
  <c r="AR169" i="15" s="1"/>
  <c r="AS169" i="15" s="1"/>
  <c r="AT169" i="15" s="1"/>
  <c r="AU169" i="15" s="1"/>
  <c r="AV169" i="15" s="1"/>
  <c r="AW169" i="15" s="1"/>
  <c r="AX169" i="15" s="1"/>
  <c r="AY169" i="15" s="1"/>
  <c r="AZ169" i="15" s="1"/>
  <c r="BA169" i="15" s="1"/>
  <c r="BB169" i="15" s="1"/>
  <c r="BC169" i="15" s="1"/>
  <c r="BD169" i="15" s="1"/>
  <c r="BE169" i="15" s="1"/>
  <c r="BF169" i="15" s="1"/>
  <c r="BG169" i="15" s="1"/>
  <c r="BH169" i="15" s="1"/>
  <c r="BI169" i="15" s="1"/>
  <c r="BJ169" i="15" s="1"/>
  <c r="BK169" i="15" s="1"/>
  <c r="BL169" i="15" s="1"/>
  <c r="BM169" i="15" s="1"/>
  <c r="BN169" i="15" s="1"/>
  <c r="BO169" i="15" s="1"/>
  <c r="BP169" i="15" s="1"/>
  <c r="BQ169" i="15" s="1"/>
  <c r="BR169" i="15" s="1"/>
  <c r="BS169" i="15" s="1"/>
  <c r="BT169" i="15" s="1"/>
  <c r="BU169" i="15" s="1"/>
  <c r="BV169" i="15" s="1"/>
  <c r="BW169" i="15" s="1"/>
  <c r="D171" i="15"/>
  <c r="D173" i="15" s="1"/>
  <c r="O185" i="15"/>
  <c r="P185" i="15" s="1"/>
  <c r="Q185" i="15" s="1"/>
  <c r="R185" i="15" s="1"/>
  <c r="S185" i="15" s="1"/>
  <c r="T185" i="15" s="1"/>
  <c r="U185" i="15" s="1"/>
  <c r="V185" i="15" s="1"/>
  <c r="W185" i="15" s="1"/>
  <c r="X185" i="15" s="1"/>
  <c r="Y185" i="15" s="1"/>
  <c r="Z185" i="15" s="1"/>
  <c r="AA185" i="15" s="1"/>
  <c r="AB185" i="15" s="1"/>
  <c r="AC185" i="15" s="1"/>
  <c r="AD185" i="15" s="1"/>
  <c r="AE185" i="15" s="1"/>
  <c r="AF185" i="15" s="1"/>
  <c r="AG185" i="15" s="1"/>
  <c r="AH185" i="15" s="1"/>
  <c r="AI185" i="15" s="1"/>
  <c r="AJ185" i="15" s="1"/>
  <c r="AK185" i="15" s="1"/>
  <c r="AL185" i="15" s="1"/>
  <c r="AM185" i="15" s="1"/>
  <c r="AN185" i="15" s="1"/>
  <c r="AO185" i="15" s="1"/>
  <c r="AP185" i="15" s="1"/>
  <c r="AQ185" i="15" s="1"/>
  <c r="AR185" i="15" s="1"/>
  <c r="AS185" i="15" s="1"/>
  <c r="AT185" i="15" s="1"/>
  <c r="AU185" i="15" s="1"/>
  <c r="AV185" i="15" s="1"/>
  <c r="AW185" i="15" s="1"/>
  <c r="AX185" i="15" s="1"/>
  <c r="AY185" i="15" s="1"/>
  <c r="AZ185" i="15" s="1"/>
  <c r="BA185" i="15" s="1"/>
  <c r="BB185" i="15" s="1"/>
  <c r="BC185" i="15" s="1"/>
  <c r="BD185" i="15" s="1"/>
  <c r="BE185" i="15" s="1"/>
  <c r="BF185" i="15" s="1"/>
  <c r="BG185" i="15" s="1"/>
  <c r="BH185" i="15" s="1"/>
  <c r="BI185" i="15" s="1"/>
  <c r="BJ185" i="15" s="1"/>
  <c r="BK185" i="15" s="1"/>
  <c r="BL185" i="15" s="1"/>
  <c r="BM185" i="15" s="1"/>
  <c r="BN185" i="15" s="1"/>
  <c r="BO185" i="15" s="1"/>
  <c r="BP185" i="15" s="1"/>
  <c r="BQ185" i="15" s="1"/>
  <c r="BR185" i="15" s="1"/>
  <c r="BS185" i="15" s="1"/>
  <c r="BT185" i="15" s="1"/>
  <c r="BU185" i="15" s="1"/>
  <c r="BV185" i="15" s="1"/>
  <c r="BW185" i="15" s="1"/>
  <c r="D187" i="15"/>
  <c r="D189" i="15" s="1"/>
  <c r="BY56" i="16"/>
  <c r="AA113" i="16"/>
  <c r="BY91" i="16"/>
  <c r="AA131" i="16"/>
  <c r="BY92" i="16"/>
  <c r="BY9" i="16"/>
  <c r="Z97" i="16"/>
  <c r="Z90" i="16" s="1"/>
  <c r="Y97" i="16"/>
  <c r="Y90" i="16" s="1"/>
  <c r="X97" i="16"/>
  <c r="X90" i="16" s="1"/>
  <c r="W97" i="16"/>
  <c r="W90" i="16" s="1"/>
  <c r="V97" i="16"/>
  <c r="V90" i="16" s="1"/>
  <c r="U97" i="16"/>
  <c r="U90" i="16" s="1"/>
  <c r="T97" i="16"/>
  <c r="T90" i="16" s="1"/>
  <c r="S97" i="16"/>
  <c r="S90" i="16" s="1"/>
  <c r="R97" i="16"/>
  <c r="CF14" i="16"/>
  <c r="CF11" i="16"/>
  <c r="CE11" i="16"/>
  <c r="CB11" i="16"/>
  <c r="Q121" i="16"/>
  <c r="R121" i="16" s="1"/>
  <c r="Q55" i="16"/>
  <c r="BY62" i="16"/>
  <c r="CA23" i="16"/>
  <c r="R14" i="16"/>
  <c r="P98" i="16"/>
  <c r="P100" i="16" s="1"/>
  <c r="P101" i="16" s="1"/>
  <c r="BY26" i="16"/>
  <c r="N153" i="16"/>
  <c r="O169" i="16"/>
  <c r="P169" i="16" s="1"/>
  <c r="Q169" i="16" s="1"/>
  <c r="R169" i="16" s="1"/>
  <c r="S169" i="16" s="1"/>
  <c r="T169" i="16" s="1"/>
  <c r="U169" i="16" s="1"/>
  <c r="V169" i="16" s="1"/>
  <c r="W169" i="16" s="1"/>
  <c r="X169" i="16" s="1"/>
  <c r="Y169" i="16" s="1"/>
  <c r="Z169" i="16" s="1"/>
  <c r="AA169" i="16" s="1"/>
  <c r="AB169" i="16" s="1"/>
  <c r="AC169" i="16" s="1"/>
  <c r="AD169" i="16" s="1"/>
  <c r="AE169" i="16" s="1"/>
  <c r="AF169" i="16" s="1"/>
  <c r="AG169" i="16" s="1"/>
  <c r="AH169" i="16" s="1"/>
  <c r="AI169" i="16" s="1"/>
  <c r="AJ169" i="16" s="1"/>
  <c r="AK169" i="16" s="1"/>
  <c r="AL169" i="16" s="1"/>
  <c r="AM169" i="16" s="1"/>
  <c r="AN169" i="16" s="1"/>
  <c r="AO169" i="16" s="1"/>
  <c r="AP169" i="16" s="1"/>
  <c r="AQ169" i="16" s="1"/>
  <c r="AR169" i="16" s="1"/>
  <c r="AS169" i="16" s="1"/>
  <c r="AT169" i="16" s="1"/>
  <c r="AU169" i="16" s="1"/>
  <c r="AV169" i="16" s="1"/>
  <c r="AW169" i="16" s="1"/>
  <c r="AX169" i="16" s="1"/>
  <c r="AY169" i="16" s="1"/>
  <c r="AZ169" i="16" s="1"/>
  <c r="BA169" i="16" s="1"/>
  <c r="BB169" i="16" s="1"/>
  <c r="BC169" i="16" s="1"/>
  <c r="BD169" i="16" s="1"/>
  <c r="BE169" i="16" s="1"/>
  <c r="BF169" i="16" s="1"/>
  <c r="BG169" i="16" s="1"/>
  <c r="BH169" i="16" s="1"/>
  <c r="BI169" i="16" s="1"/>
  <c r="BJ169" i="16" s="1"/>
  <c r="BK169" i="16" s="1"/>
  <c r="BL169" i="16" s="1"/>
  <c r="BM169" i="16" s="1"/>
  <c r="BN169" i="16" s="1"/>
  <c r="BO169" i="16" s="1"/>
  <c r="BP169" i="16" s="1"/>
  <c r="BQ169" i="16" s="1"/>
  <c r="BR169" i="16" s="1"/>
  <c r="BS169" i="16" s="1"/>
  <c r="BT169" i="16" s="1"/>
  <c r="BU169" i="16" s="1"/>
  <c r="BV169" i="16" s="1"/>
  <c r="BW169" i="16" s="1"/>
  <c r="D171" i="16"/>
  <c r="D173" i="16" s="1"/>
  <c r="O185" i="16"/>
  <c r="P185" i="16" s="1"/>
  <c r="Q185" i="16" s="1"/>
  <c r="R185" i="16" s="1"/>
  <c r="S185" i="16" s="1"/>
  <c r="T185" i="16" s="1"/>
  <c r="U185" i="16" s="1"/>
  <c r="V185" i="16" s="1"/>
  <c r="W185" i="16" s="1"/>
  <c r="X185" i="16" s="1"/>
  <c r="Y185" i="16" s="1"/>
  <c r="Z185" i="16" s="1"/>
  <c r="AA185" i="16" s="1"/>
  <c r="AB185" i="16" s="1"/>
  <c r="AC185" i="16" s="1"/>
  <c r="AD185" i="16" s="1"/>
  <c r="AE185" i="16" s="1"/>
  <c r="AF185" i="16" s="1"/>
  <c r="AG185" i="16" s="1"/>
  <c r="AH185" i="16" s="1"/>
  <c r="AI185" i="16" s="1"/>
  <c r="AJ185" i="16" s="1"/>
  <c r="AK185" i="16" s="1"/>
  <c r="AL185" i="16" s="1"/>
  <c r="AM185" i="16" s="1"/>
  <c r="AN185" i="16" s="1"/>
  <c r="AO185" i="16" s="1"/>
  <c r="AP185" i="16" s="1"/>
  <c r="AQ185" i="16" s="1"/>
  <c r="AR185" i="16" s="1"/>
  <c r="AS185" i="16" s="1"/>
  <c r="AT185" i="16" s="1"/>
  <c r="AU185" i="16" s="1"/>
  <c r="AV185" i="16" s="1"/>
  <c r="AW185" i="16" s="1"/>
  <c r="AX185" i="16" s="1"/>
  <c r="AY185" i="16" s="1"/>
  <c r="AZ185" i="16" s="1"/>
  <c r="BA185" i="16" s="1"/>
  <c r="BB185" i="16" s="1"/>
  <c r="BC185" i="16" s="1"/>
  <c r="BD185" i="16" s="1"/>
  <c r="BE185" i="16" s="1"/>
  <c r="BF185" i="16" s="1"/>
  <c r="BG185" i="16" s="1"/>
  <c r="BH185" i="16" s="1"/>
  <c r="BI185" i="16" s="1"/>
  <c r="BJ185" i="16" s="1"/>
  <c r="BK185" i="16" s="1"/>
  <c r="BL185" i="16" s="1"/>
  <c r="BM185" i="16" s="1"/>
  <c r="BN185" i="16" s="1"/>
  <c r="BO185" i="16" s="1"/>
  <c r="BP185" i="16" s="1"/>
  <c r="BQ185" i="16" s="1"/>
  <c r="BR185" i="16" s="1"/>
  <c r="BS185" i="16" s="1"/>
  <c r="BT185" i="16" s="1"/>
  <c r="BU185" i="16" s="1"/>
  <c r="BV185" i="16" s="1"/>
  <c r="BW185" i="16" s="1"/>
  <c r="D187" i="16"/>
  <c r="D189" i="16" s="1"/>
  <c r="AA113" i="17"/>
  <c r="BY91" i="17"/>
  <c r="AA131" i="17"/>
  <c r="BY92" i="17"/>
  <c r="BY9" i="17"/>
  <c r="Z97" i="17"/>
  <c r="Z90" i="17" s="1"/>
  <c r="Y97" i="17"/>
  <c r="Y90" i="17" s="1"/>
  <c r="X97" i="17"/>
  <c r="X90" i="17" s="1"/>
  <c r="W97" i="17"/>
  <c r="W90" i="17" s="1"/>
  <c r="V97" i="17"/>
  <c r="V90" i="17" s="1"/>
  <c r="U97" i="17"/>
  <c r="U90" i="17" s="1"/>
  <c r="T97" i="17"/>
  <c r="T90" i="17" s="1"/>
  <c r="S97" i="17"/>
  <c r="S90" i="17" s="1"/>
  <c r="R97" i="17"/>
  <c r="CF14" i="17"/>
  <c r="CF11" i="17"/>
  <c r="CE11" i="17"/>
  <c r="CB11" i="17"/>
  <c r="Q121" i="17"/>
  <c r="R121" i="17" s="1"/>
  <c r="Q55" i="17"/>
  <c r="BY62" i="17"/>
  <c r="CA23" i="17"/>
  <c r="R14" i="17"/>
  <c r="P98" i="17"/>
  <c r="P100" i="17" s="1"/>
  <c r="P101" i="17" s="1"/>
  <c r="BY26" i="17"/>
  <c r="N153" i="17"/>
  <c r="O169" i="17"/>
  <c r="P169" i="17" s="1"/>
  <c r="Q169" i="17" s="1"/>
  <c r="R169" i="17" s="1"/>
  <c r="S169" i="17" s="1"/>
  <c r="T169" i="17" s="1"/>
  <c r="U169" i="17" s="1"/>
  <c r="V169" i="17" s="1"/>
  <c r="W169" i="17" s="1"/>
  <c r="X169" i="17" s="1"/>
  <c r="Y169" i="17" s="1"/>
  <c r="Z169" i="17" s="1"/>
  <c r="AA169" i="17" s="1"/>
  <c r="AB169" i="17" s="1"/>
  <c r="AC169" i="17" s="1"/>
  <c r="AD169" i="17" s="1"/>
  <c r="AE169" i="17" s="1"/>
  <c r="AF169" i="17" s="1"/>
  <c r="AG169" i="17" s="1"/>
  <c r="AH169" i="17" s="1"/>
  <c r="AI169" i="17" s="1"/>
  <c r="AJ169" i="17" s="1"/>
  <c r="AK169" i="17" s="1"/>
  <c r="AL169" i="17" s="1"/>
  <c r="AM169" i="17" s="1"/>
  <c r="AN169" i="17" s="1"/>
  <c r="AO169" i="17" s="1"/>
  <c r="AP169" i="17" s="1"/>
  <c r="AQ169" i="17" s="1"/>
  <c r="AR169" i="17" s="1"/>
  <c r="AS169" i="17" s="1"/>
  <c r="AT169" i="17" s="1"/>
  <c r="AU169" i="17" s="1"/>
  <c r="AV169" i="17" s="1"/>
  <c r="AW169" i="17" s="1"/>
  <c r="AX169" i="17" s="1"/>
  <c r="AY169" i="17" s="1"/>
  <c r="AZ169" i="17" s="1"/>
  <c r="BA169" i="17" s="1"/>
  <c r="BB169" i="17" s="1"/>
  <c r="BC169" i="17" s="1"/>
  <c r="BD169" i="17" s="1"/>
  <c r="BE169" i="17" s="1"/>
  <c r="BF169" i="17" s="1"/>
  <c r="BG169" i="17" s="1"/>
  <c r="BH169" i="17" s="1"/>
  <c r="BI169" i="17" s="1"/>
  <c r="BJ169" i="17" s="1"/>
  <c r="BK169" i="17" s="1"/>
  <c r="BL169" i="17" s="1"/>
  <c r="BM169" i="17" s="1"/>
  <c r="BN169" i="17" s="1"/>
  <c r="BO169" i="17" s="1"/>
  <c r="BP169" i="17" s="1"/>
  <c r="BQ169" i="17" s="1"/>
  <c r="BR169" i="17" s="1"/>
  <c r="BS169" i="17" s="1"/>
  <c r="BT169" i="17" s="1"/>
  <c r="BU169" i="17" s="1"/>
  <c r="BV169" i="17" s="1"/>
  <c r="BW169" i="17" s="1"/>
  <c r="D171" i="17"/>
  <c r="D173" i="17" s="1"/>
  <c r="O185" i="17"/>
  <c r="P185" i="17" s="1"/>
  <c r="Q185" i="17" s="1"/>
  <c r="R185" i="17" s="1"/>
  <c r="S185" i="17" s="1"/>
  <c r="T185" i="17" s="1"/>
  <c r="U185" i="17" s="1"/>
  <c r="V185" i="17" s="1"/>
  <c r="W185" i="17" s="1"/>
  <c r="X185" i="17" s="1"/>
  <c r="Y185" i="17" s="1"/>
  <c r="Z185" i="17" s="1"/>
  <c r="AA185" i="17" s="1"/>
  <c r="AB185" i="17" s="1"/>
  <c r="AC185" i="17" s="1"/>
  <c r="AD185" i="17" s="1"/>
  <c r="AE185" i="17" s="1"/>
  <c r="AF185" i="17" s="1"/>
  <c r="AG185" i="17" s="1"/>
  <c r="AH185" i="17" s="1"/>
  <c r="AI185" i="17" s="1"/>
  <c r="AJ185" i="17" s="1"/>
  <c r="AK185" i="17" s="1"/>
  <c r="AL185" i="17" s="1"/>
  <c r="AM185" i="17" s="1"/>
  <c r="AN185" i="17" s="1"/>
  <c r="AO185" i="17" s="1"/>
  <c r="AP185" i="17" s="1"/>
  <c r="AQ185" i="17" s="1"/>
  <c r="AR185" i="17" s="1"/>
  <c r="AS185" i="17" s="1"/>
  <c r="AT185" i="17" s="1"/>
  <c r="AU185" i="17" s="1"/>
  <c r="AV185" i="17" s="1"/>
  <c r="AW185" i="17" s="1"/>
  <c r="AX185" i="17" s="1"/>
  <c r="AY185" i="17" s="1"/>
  <c r="AZ185" i="17" s="1"/>
  <c r="BA185" i="17" s="1"/>
  <c r="BB185" i="17" s="1"/>
  <c r="BC185" i="17" s="1"/>
  <c r="BD185" i="17" s="1"/>
  <c r="BE185" i="17" s="1"/>
  <c r="BF185" i="17" s="1"/>
  <c r="BG185" i="17" s="1"/>
  <c r="BH185" i="17" s="1"/>
  <c r="BI185" i="17" s="1"/>
  <c r="BJ185" i="17" s="1"/>
  <c r="BK185" i="17" s="1"/>
  <c r="BL185" i="17" s="1"/>
  <c r="BM185" i="17" s="1"/>
  <c r="BN185" i="17" s="1"/>
  <c r="BO185" i="17" s="1"/>
  <c r="BP185" i="17" s="1"/>
  <c r="BQ185" i="17" s="1"/>
  <c r="BR185" i="17" s="1"/>
  <c r="BS185" i="17" s="1"/>
  <c r="BT185" i="17" s="1"/>
  <c r="BU185" i="17" s="1"/>
  <c r="BV185" i="17" s="1"/>
  <c r="BW185" i="17" s="1"/>
  <c r="D187" i="17"/>
  <c r="D189" i="17" s="1"/>
  <c r="S11" i="18"/>
  <c r="T10" i="18"/>
  <c r="AC112" i="19"/>
  <c r="BY91" i="19"/>
  <c r="D122" i="19"/>
  <c r="AC130" i="19"/>
  <c r="BY92" i="19"/>
  <c r="AC191" i="19"/>
  <c r="AC145" i="19"/>
  <c r="BY93" i="19"/>
  <c r="CC9" i="19"/>
  <c r="Q90" i="19"/>
  <c r="AC97" i="19"/>
  <c r="N181" i="19"/>
  <c r="O197" i="19"/>
  <c r="P197" i="19" s="1"/>
  <c r="Q197" i="19" s="1"/>
  <c r="R197" i="19" s="1"/>
  <c r="S197" i="19" s="1"/>
  <c r="T197" i="19" s="1"/>
  <c r="U197" i="19" s="1"/>
  <c r="V197" i="19" s="1"/>
  <c r="W197" i="19" s="1"/>
  <c r="X197" i="19" s="1"/>
  <c r="Y197" i="19" s="1"/>
  <c r="Z197" i="19" s="1"/>
  <c r="AA197" i="19" s="1"/>
  <c r="AB197" i="19" s="1"/>
  <c r="O213" i="19"/>
  <c r="P213" i="19" s="1"/>
  <c r="Q213" i="19" s="1"/>
  <c r="R213" i="19" s="1"/>
  <c r="S213" i="19" s="1"/>
  <c r="T213" i="19" s="1"/>
  <c r="U213" i="19" s="1"/>
  <c r="V213" i="19" s="1"/>
  <c r="W213" i="19" s="1"/>
  <c r="X213" i="19" s="1"/>
  <c r="Y213" i="19" s="1"/>
  <c r="Z213" i="19" s="1"/>
  <c r="AA213" i="19" s="1"/>
  <c r="AB213" i="19" s="1"/>
  <c r="AC213" i="19" s="1"/>
  <c r="AD213" i="19" s="1"/>
  <c r="AE213" i="19" s="1"/>
  <c r="AF213" i="19" s="1"/>
  <c r="AG213" i="19" s="1"/>
  <c r="AH213" i="19" s="1"/>
  <c r="AI213" i="19" s="1"/>
  <c r="AJ213" i="19" s="1"/>
  <c r="AK213" i="19" s="1"/>
  <c r="AL213" i="19" s="1"/>
  <c r="AM213" i="19" s="1"/>
  <c r="AN213" i="19" s="1"/>
  <c r="AO213" i="19" s="1"/>
  <c r="AP213" i="19" s="1"/>
  <c r="AQ213" i="19" s="1"/>
  <c r="AR213" i="19" s="1"/>
  <c r="AS213" i="19" s="1"/>
  <c r="AT213" i="19" s="1"/>
  <c r="AU213" i="19" s="1"/>
  <c r="AV213" i="19" s="1"/>
  <c r="AW213" i="19" s="1"/>
  <c r="AX213" i="19" s="1"/>
  <c r="AY213" i="19" s="1"/>
  <c r="AZ213" i="19" s="1"/>
  <c r="BA213" i="19" s="1"/>
  <c r="BB213" i="19" s="1"/>
  <c r="BC213" i="19" s="1"/>
  <c r="BD213" i="19" s="1"/>
  <c r="BE213" i="19" s="1"/>
  <c r="BF213" i="19" s="1"/>
  <c r="BG213" i="19" s="1"/>
  <c r="BH213" i="19" s="1"/>
  <c r="BI213" i="19" s="1"/>
  <c r="BJ213" i="19" s="1"/>
  <c r="BK213" i="19" s="1"/>
  <c r="BL213" i="19" s="1"/>
  <c r="BM213" i="19" s="1"/>
  <c r="BN213" i="19" s="1"/>
  <c r="BO213" i="19" s="1"/>
  <c r="BP213" i="19" s="1"/>
  <c r="BQ213" i="19" s="1"/>
  <c r="BR213" i="19" s="1"/>
  <c r="BS213" i="19" s="1"/>
  <c r="BT213" i="19" s="1"/>
  <c r="BU213" i="19" s="1"/>
  <c r="BV213" i="19" s="1"/>
  <c r="BW213" i="19" s="1"/>
  <c r="D215" i="19"/>
  <c r="D217" i="19" s="1"/>
  <c r="CE11" i="20"/>
  <c r="CE12" i="20"/>
  <c r="T112" i="20"/>
  <c r="BY91" i="20"/>
  <c r="D138" i="20"/>
  <c r="D140" i="20" s="1"/>
  <c r="CC9" i="20"/>
  <c r="Q90" i="20"/>
  <c r="T97" i="20"/>
  <c r="N152" i="20"/>
  <c r="O168" i="20"/>
  <c r="P168" i="20" s="1"/>
  <c r="Q168" i="20" s="1"/>
  <c r="R168" i="20" s="1"/>
  <c r="S168" i="20" s="1"/>
  <c r="T168" i="20" s="1"/>
  <c r="U168" i="20" s="1"/>
  <c r="V168" i="20" s="1"/>
  <c r="W168" i="20" s="1"/>
  <c r="X168" i="20" s="1"/>
  <c r="Y168" i="20" s="1"/>
  <c r="Z168" i="20" s="1"/>
  <c r="AA168" i="20" s="1"/>
  <c r="AB168" i="20" s="1"/>
  <c r="AC168" i="20" s="1"/>
  <c r="AD168" i="20" s="1"/>
  <c r="AE168" i="20" s="1"/>
  <c r="AF168" i="20" s="1"/>
  <c r="AG168" i="20" s="1"/>
  <c r="AH168" i="20" s="1"/>
  <c r="AI168" i="20" s="1"/>
  <c r="AJ168" i="20" s="1"/>
  <c r="AK168" i="20" s="1"/>
  <c r="AL168" i="20" s="1"/>
  <c r="AM168" i="20" s="1"/>
  <c r="AN168" i="20" s="1"/>
  <c r="AO168" i="20" s="1"/>
  <c r="AP168" i="20" s="1"/>
  <c r="AQ168" i="20" s="1"/>
  <c r="AR168" i="20" s="1"/>
  <c r="AS168" i="20" s="1"/>
  <c r="AT168" i="20" s="1"/>
  <c r="AU168" i="20" s="1"/>
  <c r="AV168" i="20" s="1"/>
  <c r="AW168" i="20" s="1"/>
  <c r="AX168" i="20" s="1"/>
  <c r="AY168" i="20" s="1"/>
  <c r="AZ168" i="20" s="1"/>
  <c r="BA168" i="20" s="1"/>
  <c r="BB168" i="20" s="1"/>
  <c r="BC168" i="20" s="1"/>
  <c r="BD168" i="20" s="1"/>
  <c r="BE168" i="20" s="1"/>
  <c r="BF168" i="20" s="1"/>
  <c r="BG168" i="20" s="1"/>
  <c r="BH168" i="20" s="1"/>
  <c r="BI168" i="20" s="1"/>
  <c r="BJ168" i="20" s="1"/>
  <c r="BK168" i="20" s="1"/>
  <c r="BL168" i="20" s="1"/>
  <c r="BM168" i="20" s="1"/>
  <c r="BN168" i="20" s="1"/>
  <c r="BO168" i="20" s="1"/>
  <c r="BP168" i="20" s="1"/>
  <c r="BQ168" i="20" s="1"/>
  <c r="BR168" i="20" s="1"/>
  <c r="BS168" i="20" s="1"/>
  <c r="BT168" i="20" s="1"/>
  <c r="BU168" i="20" s="1"/>
  <c r="BV168" i="20" s="1"/>
  <c r="BW168" i="20" s="1"/>
  <c r="D170" i="20"/>
  <c r="D172" i="20" s="1"/>
  <c r="O184" i="20"/>
  <c r="P184" i="20" s="1"/>
  <c r="Q184" i="20" s="1"/>
  <c r="R184" i="20" s="1"/>
  <c r="S184" i="20" s="1"/>
  <c r="T184" i="20" s="1"/>
  <c r="U184" i="20" s="1"/>
  <c r="V184" i="20" s="1"/>
  <c r="W184" i="20" s="1"/>
  <c r="X184" i="20" s="1"/>
  <c r="Y184" i="20" s="1"/>
  <c r="Z184" i="20" s="1"/>
  <c r="AA184" i="20" s="1"/>
  <c r="AB184" i="20" s="1"/>
  <c r="AC184" i="20" s="1"/>
  <c r="AD184" i="20" s="1"/>
  <c r="AE184" i="20" s="1"/>
  <c r="AF184" i="20" s="1"/>
  <c r="AG184" i="20" s="1"/>
  <c r="AH184" i="20" s="1"/>
  <c r="AI184" i="20" s="1"/>
  <c r="AJ184" i="20" s="1"/>
  <c r="AK184" i="20" s="1"/>
  <c r="AL184" i="20" s="1"/>
  <c r="AM184" i="20" s="1"/>
  <c r="AN184" i="20" s="1"/>
  <c r="AO184" i="20" s="1"/>
  <c r="AP184" i="20" s="1"/>
  <c r="AQ184" i="20" s="1"/>
  <c r="AR184" i="20" s="1"/>
  <c r="AS184" i="20" s="1"/>
  <c r="AT184" i="20" s="1"/>
  <c r="AU184" i="20" s="1"/>
  <c r="AV184" i="20" s="1"/>
  <c r="AW184" i="20" s="1"/>
  <c r="AX184" i="20" s="1"/>
  <c r="AY184" i="20" s="1"/>
  <c r="AZ184" i="20" s="1"/>
  <c r="BA184" i="20" s="1"/>
  <c r="BB184" i="20" s="1"/>
  <c r="BC184" i="20" s="1"/>
  <c r="BD184" i="20" s="1"/>
  <c r="BE184" i="20" s="1"/>
  <c r="BF184" i="20" s="1"/>
  <c r="BG184" i="20" s="1"/>
  <c r="BH184" i="20" s="1"/>
  <c r="BI184" i="20" s="1"/>
  <c r="BJ184" i="20" s="1"/>
  <c r="BK184" i="20" s="1"/>
  <c r="BL184" i="20" s="1"/>
  <c r="BM184" i="20" s="1"/>
  <c r="BN184" i="20" s="1"/>
  <c r="BO184" i="20" s="1"/>
  <c r="BP184" i="20" s="1"/>
  <c r="BQ184" i="20" s="1"/>
  <c r="BR184" i="20" s="1"/>
  <c r="BS184" i="20" s="1"/>
  <c r="BT184" i="20" s="1"/>
  <c r="BU184" i="20" s="1"/>
  <c r="BV184" i="20" s="1"/>
  <c r="BW184" i="20" s="1"/>
  <c r="D186" i="20"/>
  <c r="D188" i="20" s="1"/>
  <c r="S11" i="21"/>
  <c r="T10" i="21"/>
  <c r="I11" i="22"/>
  <c r="J10" i="22"/>
  <c r="N11" i="22"/>
  <c r="O10" i="22"/>
  <c r="S11" i="22"/>
  <c r="T10" i="22"/>
  <c r="CE11" i="26"/>
  <c r="CE12" i="26"/>
  <c r="BY56" i="26"/>
  <c r="AA113" i="26"/>
  <c r="BY91" i="26"/>
  <c r="AA131" i="26"/>
  <c r="BY92" i="26"/>
  <c r="BY9" i="26"/>
  <c r="CE34" i="26"/>
  <c r="CE37" i="26" s="1"/>
  <c r="CE26" i="26"/>
  <c r="S90" i="26"/>
  <c r="AA97" i="26"/>
  <c r="BY97" i="26" s="1"/>
  <c r="BY26" i="26"/>
  <c r="Q101" i="26"/>
  <c r="N153" i="26"/>
  <c r="O169" i="26"/>
  <c r="P169" i="26" s="1"/>
  <c r="Q169" i="26" s="1"/>
  <c r="R169" i="26" s="1"/>
  <c r="S169" i="26" s="1"/>
  <c r="T169" i="26" s="1"/>
  <c r="U169" i="26" s="1"/>
  <c r="V169" i="26" s="1"/>
  <c r="W169" i="26" s="1"/>
  <c r="X169" i="26" s="1"/>
  <c r="Y169" i="26" s="1"/>
  <c r="Z169" i="26" s="1"/>
  <c r="AA169" i="26" s="1"/>
  <c r="AB169" i="26" s="1"/>
  <c r="AC169" i="26" s="1"/>
  <c r="AD169" i="26" s="1"/>
  <c r="AE169" i="26" s="1"/>
  <c r="AF169" i="26" s="1"/>
  <c r="AG169" i="26" s="1"/>
  <c r="AH169" i="26" s="1"/>
  <c r="AI169" i="26" s="1"/>
  <c r="AJ169" i="26" s="1"/>
  <c r="AK169" i="26" s="1"/>
  <c r="AL169" i="26" s="1"/>
  <c r="AM169" i="26" s="1"/>
  <c r="AN169" i="26" s="1"/>
  <c r="AO169" i="26" s="1"/>
  <c r="AP169" i="26" s="1"/>
  <c r="AQ169" i="26" s="1"/>
  <c r="AR169" i="26" s="1"/>
  <c r="AS169" i="26" s="1"/>
  <c r="AT169" i="26" s="1"/>
  <c r="AU169" i="26" s="1"/>
  <c r="AV169" i="26" s="1"/>
  <c r="AW169" i="26" s="1"/>
  <c r="AX169" i="26" s="1"/>
  <c r="AY169" i="26" s="1"/>
  <c r="AZ169" i="26" s="1"/>
  <c r="BA169" i="26" s="1"/>
  <c r="BB169" i="26" s="1"/>
  <c r="BC169" i="26" s="1"/>
  <c r="BD169" i="26" s="1"/>
  <c r="BE169" i="26" s="1"/>
  <c r="BF169" i="26" s="1"/>
  <c r="BG169" i="26" s="1"/>
  <c r="BH169" i="26" s="1"/>
  <c r="BI169" i="26" s="1"/>
  <c r="BJ169" i="26" s="1"/>
  <c r="BK169" i="26" s="1"/>
  <c r="BL169" i="26" s="1"/>
  <c r="BM169" i="26" s="1"/>
  <c r="BN169" i="26" s="1"/>
  <c r="BO169" i="26" s="1"/>
  <c r="BP169" i="26" s="1"/>
  <c r="BQ169" i="26" s="1"/>
  <c r="BR169" i="26" s="1"/>
  <c r="BS169" i="26" s="1"/>
  <c r="BT169" i="26" s="1"/>
  <c r="BU169" i="26" s="1"/>
  <c r="BV169" i="26" s="1"/>
  <c r="BW169" i="26" s="1"/>
  <c r="D171" i="26"/>
  <c r="D173" i="26" s="1"/>
  <c r="O185" i="26"/>
  <c r="P185" i="26" s="1"/>
  <c r="Q185" i="26" s="1"/>
  <c r="R185" i="26" s="1"/>
  <c r="S185" i="26" s="1"/>
  <c r="T185" i="26" s="1"/>
  <c r="U185" i="26" s="1"/>
  <c r="V185" i="26" s="1"/>
  <c r="W185" i="26" s="1"/>
  <c r="X185" i="26" s="1"/>
  <c r="Y185" i="26" s="1"/>
  <c r="Z185" i="26" s="1"/>
  <c r="AA185" i="26" s="1"/>
  <c r="AB185" i="26" s="1"/>
  <c r="AC185" i="26" s="1"/>
  <c r="AD185" i="26" s="1"/>
  <c r="AE185" i="26" s="1"/>
  <c r="AF185" i="26" s="1"/>
  <c r="AG185" i="26" s="1"/>
  <c r="AH185" i="26" s="1"/>
  <c r="AI185" i="26" s="1"/>
  <c r="AJ185" i="26" s="1"/>
  <c r="AK185" i="26" s="1"/>
  <c r="AL185" i="26" s="1"/>
  <c r="AM185" i="26" s="1"/>
  <c r="AN185" i="26" s="1"/>
  <c r="AO185" i="26" s="1"/>
  <c r="AP185" i="26" s="1"/>
  <c r="AQ185" i="26" s="1"/>
  <c r="AR185" i="26" s="1"/>
  <c r="AS185" i="26" s="1"/>
  <c r="AT185" i="26" s="1"/>
  <c r="AU185" i="26" s="1"/>
  <c r="AV185" i="26" s="1"/>
  <c r="AW185" i="26" s="1"/>
  <c r="AX185" i="26" s="1"/>
  <c r="AY185" i="26" s="1"/>
  <c r="AZ185" i="26" s="1"/>
  <c r="BA185" i="26" s="1"/>
  <c r="BB185" i="26" s="1"/>
  <c r="BC185" i="26" s="1"/>
  <c r="BD185" i="26" s="1"/>
  <c r="BE185" i="26" s="1"/>
  <c r="BF185" i="26" s="1"/>
  <c r="BG185" i="26" s="1"/>
  <c r="BH185" i="26" s="1"/>
  <c r="BI185" i="26" s="1"/>
  <c r="BJ185" i="26" s="1"/>
  <c r="BK185" i="26" s="1"/>
  <c r="BL185" i="26" s="1"/>
  <c r="BM185" i="26" s="1"/>
  <c r="BN185" i="26" s="1"/>
  <c r="BO185" i="26" s="1"/>
  <c r="BP185" i="26" s="1"/>
  <c r="BQ185" i="26" s="1"/>
  <c r="BR185" i="26" s="1"/>
  <c r="BS185" i="26" s="1"/>
  <c r="BT185" i="26" s="1"/>
  <c r="BU185" i="26" s="1"/>
  <c r="BV185" i="26" s="1"/>
  <c r="BW185" i="26" s="1"/>
  <c r="D187" i="26"/>
  <c r="D189" i="26" s="1"/>
  <c r="F22" i="27"/>
  <c r="C23" i="27" s="1"/>
  <c r="F31" i="27"/>
  <c r="J26" i="27"/>
  <c r="R96" i="12" l="1"/>
  <c r="BY48" i="26"/>
  <c r="R20" i="5"/>
  <c r="V99" i="7"/>
  <c r="W99" i="7" s="1"/>
  <c r="X99" i="7" s="1"/>
  <c r="Y99" i="7" s="1"/>
  <c r="BY48" i="6"/>
  <c r="F32" i="27"/>
  <c r="F36" i="27"/>
  <c r="F35" i="27"/>
  <c r="F29" i="27"/>
  <c r="F28" i="27"/>
  <c r="F24" i="27"/>
  <c r="F30" i="27"/>
  <c r="F33" i="27"/>
  <c r="F34" i="27"/>
  <c r="F37" i="27"/>
  <c r="F38" i="27"/>
  <c r="O153" i="26"/>
  <c r="P153" i="26" s="1"/>
  <c r="Q153" i="26" s="1"/>
  <c r="R153" i="26" s="1"/>
  <c r="S153" i="26" s="1"/>
  <c r="T153" i="26" s="1"/>
  <c r="U153" i="26" s="1"/>
  <c r="V153" i="26" s="1"/>
  <c r="W153" i="26" s="1"/>
  <c r="X153" i="26" s="1"/>
  <c r="Y153" i="26" s="1"/>
  <c r="Z153" i="26" s="1"/>
  <c r="AA153" i="26" s="1"/>
  <c r="AB153" i="26" s="1"/>
  <c r="AC153" i="26" s="1"/>
  <c r="AD153" i="26" s="1"/>
  <c r="AE153" i="26" s="1"/>
  <c r="AF153" i="26" s="1"/>
  <c r="AG153" i="26" s="1"/>
  <c r="AH153" i="26" s="1"/>
  <c r="AI153" i="26" s="1"/>
  <c r="AJ153" i="26" s="1"/>
  <c r="AK153" i="26" s="1"/>
  <c r="AL153" i="26" s="1"/>
  <c r="AM153" i="26" s="1"/>
  <c r="AN153" i="26" s="1"/>
  <c r="AO153" i="26" s="1"/>
  <c r="AP153" i="26" s="1"/>
  <c r="AQ153" i="26" s="1"/>
  <c r="AR153" i="26" s="1"/>
  <c r="AS153" i="26" s="1"/>
  <c r="AT153" i="26" s="1"/>
  <c r="AU153" i="26" s="1"/>
  <c r="AV153" i="26" s="1"/>
  <c r="AW153" i="26" s="1"/>
  <c r="AX153" i="26" s="1"/>
  <c r="AY153" i="26" s="1"/>
  <c r="AZ153" i="26" s="1"/>
  <c r="BA153" i="26" s="1"/>
  <c r="BB153" i="26" s="1"/>
  <c r="BC153" i="26" s="1"/>
  <c r="BD153" i="26" s="1"/>
  <c r="BE153" i="26" s="1"/>
  <c r="BF153" i="26" s="1"/>
  <c r="BG153" i="26" s="1"/>
  <c r="BH153" i="26" s="1"/>
  <c r="BI153" i="26" s="1"/>
  <c r="BJ153" i="26" s="1"/>
  <c r="BK153" i="26" s="1"/>
  <c r="BL153" i="26" s="1"/>
  <c r="BM153" i="26" s="1"/>
  <c r="BN153" i="26" s="1"/>
  <c r="BO153" i="26" s="1"/>
  <c r="BP153" i="26" s="1"/>
  <c r="BQ153" i="26" s="1"/>
  <c r="BR153" i="26" s="1"/>
  <c r="BS153" i="26" s="1"/>
  <c r="BT153" i="26" s="1"/>
  <c r="BU153" i="26" s="1"/>
  <c r="BV153" i="26" s="1"/>
  <c r="BW153" i="26" s="1"/>
  <c r="BZ9" i="26"/>
  <c r="AA96" i="26"/>
  <c r="CB9" i="26"/>
  <c r="CC9" i="26" s="1"/>
  <c r="D139" i="26"/>
  <c r="D141" i="26" s="1"/>
  <c r="AA105" i="26"/>
  <c r="S12" i="22"/>
  <c r="T11" i="22"/>
  <c r="N12" i="22"/>
  <c r="O11" i="22"/>
  <c r="I12" i="22"/>
  <c r="J11" i="22"/>
  <c r="S12" i="21"/>
  <c r="T11" i="21"/>
  <c r="O152" i="20"/>
  <c r="P152" i="20" s="1"/>
  <c r="Q152" i="20" s="1"/>
  <c r="R152" i="20" s="1"/>
  <c r="S152" i="20" s="1"/>
  <c r="T152" i="20" s="1"/>
  <c r="U152" i="20" s="1"/>
  <c r="V152" i="20" s="1"/>
  <c r="W152" i="20" s="1"/>
  <c r="X152" i="20" s="1"/>
  <c r="Y152" i="20" s="1"/>
  <c r="Z152" i="20" s="1"/>
  <c r="AA152" i="20" s="1"/>
  <c r="AB152" i="20" s="1"/>
  <c r="AC152" i="20" s="1"/>
  <c r="AD152" i="20" s="1"/>
  <c r="AE152" i="20" s="1"/>
  <c r="AF152" i="20" s="1"/>
  <c r="AG152" i="20" s="1"/>
  <c r="AH152" i="20" s="1"/>
  <c r="AI152" i="20" s="1"/>
  <c r="AJ152" i="20" s="1"/>
  <c r="AK152" i="20" s="1"/>
  <c r="AL152" i="20" s="1"/>
  <c r="AM152" i="20" s="1"/>
  <c r="AN152" i="20" s="1"/>
  <c r="AO152" i="20" s="1"/>
  <c r="AP152" i="20" s="1"/>
  <c r="AQ152" i="20" s="1"/>
  <c r="AR152" i="20" s="1"/>
  <c r="AS152" i="20" s="1"/>
  <c r="AT152" i="20" s="1"/>
  <c r="AU152" i="20" s="1"/>
  <c r="AV152" i="20" s="1"/>
  <c r="AW152" i="20" s="1"/>
  <c r="AX152" i="20" s="1"/>
  <c r="AY152" i="20" s="1"/>
  <c r="AZ152" i="20" s="1"/>
  <c r="BA152" i="20" s="1"/>
  <c r="BB152" i="20" s="1"/>
  <c r="BC152" i="20" s="1"/>
  <c r="BD152" i="20" s="1"/>
  <c r="BE152" i="20" s="1"/>
  <c r="BF152" i="20" s="1"/>
  <c r="BG152" i="20" s="1"/>
  <c r="BH152" i="20" s="1"/>
  <c r="BI152" i="20" s="1"/>
  <c r="BJ152" i="20" s="1"/>
  <c r="BK152" i="20" s="1"/>
  <c r="BL152" i="20" s="1"/>
  <c r="BM152" i="20" s="1"/>
  <c r="BN152" i="20" s="1"/>
  <c r="BO152" i="20" s="1"/>
  <c r="BP152" i="20" s="1"/>
  <c r="BQ152" i="20" s="1"/>
  <c r="BR152" i="20" s="1"/>
  <c r="BS152" i="20" s="1"/>
  <c r="BT152" i="20" s="1"/>
  <c r="BU152" i="20" s="1"/>
  <c r="BV152" i="20" s="1"/>
  <c r="BW152" i="20" s="1"/>
  <c r="D154" i="20"/>
  <c r="D156" i="20" s="1"/>
  <c r="T90" i="20"/>
  <c r="BY97" i="20"/>
  <c r="BZ91" i="20"/>
  <c r="BY98" i="20" s="1"/>
  <c r="V122" i="20"/>
  <c r="V123" i="20" s="1"/>
  <c r="T104" i="20"/>
  <c r="O181" i="19"/>
  <c r="P181" i="19" s="1"/>
  <c r="Q181" i="19" s="1"/>
  <c r="R181" i="19" s="1"/>
  <c r="S181" i="19" s="1"/>
  <c r="T181" i="19" s="1"/>
  <c r="U181" i="19" s="1"/>
  <c r="V181" i="19" s="1"/>
  <c r="W181" i="19" s="1"/>
  <c r="X181" i="19" s="1"/>
  <c r="Y181" i="19" s="1"/>
  <c r="Z181" i="19" s="1"/>
  <c r="AA181" i="19" s="1"/>
  <c r="AB181" i="19" s="1"/>
  <c r="AC181" i="19" s="1"/>
  <c r="AD181" i="19" s="1"/>
  <c r="AE181" i="19" s="1"/>
  <c r="AF181" i="19" s="1"/>
  <c r="AG181" i="19" s="1"/>
  <c r="AH181" i="19" s="1"/>
  <c r="AI181" i="19" s="1"/>
  <c r="AJ181" i="19" s="1"/>
  <c r="AK181" i="19" s="1"/>
  <c r="AL181" i="19" s="1"/>
  <c r="AM181" i="19" s="1"/>
  <c r="AN181" i="19" s="1"/>
  <c r="AO181" i="19" s="1"/>
  <c r="AP181" i="19" s="1"/>
  <c r="AQ181" i="19" s="1"/>
  <c r="AR181" i="19" s="1"/>
  <c r="AS181" i="19" s="1"/>
  <c r="AT181" i="19" s="1"/>
  <c r="AU181" i="19" s="1"/>
  <c r="AV181" i="19" s="1"/>
  <c r="AW181" i="19" s="1"/>
  <c r="AX181" i="19" s="1"/>
  <c r="AY181" i="19" s="1"/>
  <c r="AZ181" i="19" s="1"/>
  <c r="BA181" i="19" s="1"/>
  <c r="BB181" i="19" s="1"/>
  <c r="BC181" i="19" s="1"/>
  <c r="BD181" i="19" s="1"/>
  <c r="BE181" i="19" s="1"/>
  <c r="BF181" i="19" s="1"/>
  <c r="BG181" i="19" s="1"/>
  <c r="BH181" i="19" s="1"/>
  <c r="BI181" i="19" s="1"/>
  <c r="BJ181" i="19" s="1"/>
  <c r="BK181" i="19" s="1"/>
  <c r="BL181" i="19" s="1"/>
  <c r="BM181" i="19" s="1"/>
  <c r="BN181" i="19" s="1"/>
  <c r="BO181" i="19" s="1"/>
  <c r="BP181" i="19" s="1"/>
  <c r="BQ181" i="19" s="1"/>
  <c r="BR181" i="19" s="1"/>
  <c r="BS181" i="19" s="1"/>
  <c r="BT181" i="19" s="1"/>
  <c r="BU181" i="19" s="1"/>
  <c r="BV181" i="19" s="1"/>
  <c r="BW181" i="19" s="1"/>
  <c r="AC90" i="19"/>
  <c r="BY97" i="19"/>
  <c r="D153" i="19"/>
  <c r="D155" i="19" s="1"/>
  <c r="AC135" i="19"/>
  <c r="D138" i="19"/>
  <c r="D140" i="19" s="1"/>
  <c r="BZ91" i="19"/>
  <c r="V122" i="19"/>
  <c r="V123" i="19" s="1"/>
  <c r="AC104" i="19"/>
  <c r="S12" i="18"/>
  <c r="T11" i="18"/>
  <c r="O153" i="17"/>
  <c r="P153" i="17" s="1"/>
  <c r="Q153" i="17" s="1"/>
  <c r="R153" i="17" s="1"/>
  <c r="S153" i="17" s="1"/>
  <c r="T153" i="17" s="1"/>
  <c r="U153" i="17" s="1"/>
  <c r="V153" i="17" s="1"/>
  <c r="W153" i="17" s="1"/>
  <c r="X153" i="17" s="1"/>
  <c r="Y153" i="17" s="1"/>
  <c r="Z153" i="17" s="1"/>
  <c r="AA153" i="17" s="1"/>
  <c r="AB153" i="17" s="1"/>
  <c r="AC153" i="17" s="1"/>
  <c r="AD153" i="17" s="1"/>
  <c r="AE153" i="17" s="1"/>
  <c r="AF153" i="17" s="1"/>
  <c r="AG153" i="17" s="1"/>
  <c r="AH153" i="17" s="1"/>
  <c r="AI153" i="17" s="1"/>
  <c r="AJ153" i="17" s="1"/>
  <c r="AK153" i="17" s="1"/>
  <c r="AL153" i="17" s="1"/>
  <c r="AM153" i="17" s="1"/>
  <c r="AN153" i="17" s="1"/>
  <c r="AO153" i="17" s="1"/>
  <c r="AP153" i="17" s="1"/>
  <c r="AQ153" i="17" s="1"/>
  <c r="AR153" i="17" s="1"/>
  <c r="AS153" i="17" s="1"/>
  <c r="AT153" i="17" s="1"/>
  <c r="AU153" i="17" s="1"/>
  <c r="AV153" i="17" s="1"/>
  <c r="AW153" i="17" s="1"/>
  <c r="AX153" i="17" s="1"/>
  <c r="AY153" i="17" s="1"/>
  <c r="AZ153" i="17" s="1"/>
  <c r="BA153" i="17" s="1"/>
  <c r="BB153" i="17" s="1"/>
  <c r="BC153" i="17" s="1"/>
  <c r="BD153" i="17" s="1"/>
  <c r="BE153" i="17" s="1"/>
  <c r="BF153" i="17" s="1"/>
  <c r="BG153" i="17" s="1"/>
  <c r="BH153" i="17" s="1"/>
  <c r="BI153" i="17" s="1"/>
  <c r="BJ153" i="17" s="1"/>
  <c r="BK153" i="17" s="1"/>
  <c r="BL153" i="17" s="1"/>
  <c r="BM153" i="17" s="1"/>
  <c r="BN153" i="17" s="1"/>
  <c r="BO153" i="17" s="1"/>
  <c r="BP153" i="17" s="1"/>
  <c r="BQ153" i="17" s="1"/>
  <c r="BR153" i="17" s="1"/>
  <c r="BS153" i="17" s="1"/>
  <c r="BT153" i="17" s="1"/>
  <c r="BU153" i="17" s="1"/>
  <c r="BV153" i="17" s="1"/>
  <c r="BW153" i="17" s="1"/>
  <c r="R16" i="17"/>
  <c r="R90" i="17"/>
  <c r="AA97" i="17"/>
  <c r="BY97" i="17" s="1"/>
  <c r="BZ9" i="17"/>
  <c r="AA96" i="17"/>
  <c r="CB9" i="17"/>
  <c r="CC9" i="17" s="1"/>
  <c r="AA136" i="17"/>
  <c r="D139" i="17"/>
  <c r="D141" i="17" s="1"/>
  <c r="AA105" i="17"/>
  <c r="O153" i="16"/>
  <c r="P153" i="16" s="1"/>
  <c r="Q153" i="16" s="1"/>
  <c r="R153" i="16" s="1"/>
  <c r="S153" i="16" s="1"/>
  <c r="T153" i="16" s="1"/>
  <c r="U153" i="16" s="1"/>
  <c r="V153" i="16" s="1"/>
  <c r="W153" i="16" s="1"/>
  <c r="X153" i="16" s="1"/>
  <c r="Y153" i="16" s="1"/>
  <c r="Z153" i="16" s="1"/>
  <c r="AA153" i="16" s="1"/>
  <c r="AB153" i="16" s="1"/>
  <c r="AC153" i="16" s="1"/>
  <c r="AD153" i="16" s="1"/>
  <c r="AE153" i="16" s="1"/>
  <c r="AF153" i="16" s="1"/>
  <c r="AG153" i="16" s="1"/>
  <c r="AH153" i="16" s="1"/>
  <c r="AI153" i="16" s="1"/>
  <c r="AJ153" i="16" s="1"/>
  <c r="AK153" i="16" s="1"/>
  <c r="AL153" i="16" s="1"/>
  <c r="AM153" i="16" s="1"/>
  <c r="AN153" i="16" s="1"/>
  <c r="AO153" i="16" s="1"/>
  <c r="AP153" i="16" s="1"/>
  <c r="AQ153" i="16" s="1"/>
  <c r="AR153" i="16" s="1"/>
  <c r="AS153" i="16" s="1"/>
  <c r="AT153" i="16" s="1"/>
  <c r="AU153" i="16" s="1"/>
  <c r="AV153" i="16" s="1"/>
  <c r="AW153" i="16" s="1"/>
  <c r="AX153" i="16" s="1"/>
  <c r="AY153" i="16" s="1"/>
  <c r="AZ153" i="16" s="1"/>
  <c r="BA153" i="16" s="1"/>
  <c r="BB153" i="16" s="1"/>
  <c r="BC153" i="16" s="1"/>
  <c r="BD153" i="16" s="1"/>
  <c r="BE153" i="16" s="1"/>
  <c r="BF153" i="16" s="1"/>
  <c r="BG153" i="16" s="1"/>
  <c r="BH153" i="16" s="1"/>
  <c r="BI153" i="16" s="1"/>
  <c r="BJ153" i="16" s="1"/>
  <c r="BK153" i="16" s="1"/>
  <c r="BL153" i="16" s="1"/>
  <c r="BM153" i="16" s="1"/>
  <c r="BN153" i="16" s="1"/>
  <c r="BO153" i="16" s="1"/>
  <c r="BP153" i="16" s="1"/>
  <c r="BQ153" i="16" s="1"/>
  <c r="BR153" i="16" s="1"/>
  <c r="BS153" i="16" s="1"/>
  <c r="BT153" i="16" s="1"/>
  <c r="BU153" i="16" s="1"/>
  <c r="BV153" i="16" s="1"/>
  <c r="BW153" i="16" s="1"/>
  <c r="R90" i="16"/>
  <c r="AA97" i="16"/>
  <c r="BY97" i="16" s="1"/>
  <c r="BZ9" i="16"/>
  <c r="AA96" i="16"/>
  <c r="CB9" i="16"/>
  <c r="CC9" i="16" s="1"/>
  <c r="D139" i="16"/>
  <c r="D141" i="16" s="1"/>
  <c r="AA105" i="16"/>
  <c r="O153" i="15"/>
  <c r="P153" i="15" s="1"/>
  <c r="Q153" i="15" s="1"/>
  <c r="R153" i="15" s="1"/>
  <c r="S153" i="15" s="1"/>
  <c r="T153" i="15" s="1"/>
  <c r="U153" i="15" s="1"/>
  <c r="V153" i="15" s="1"/>
  <c r="W153" i="15" s="1"/>
  <c r="X153" i="15" s="1"/>
  <c r="Y153" i="15" s="1"/>
  <c r="Z153" i="15" s="1"/>
  <c r="AA153" i="15" s="1"/>
  <c r="AB153" i="15" s="1"/>
  <c r="AC153" i="15" s="1"/>
  <c r="AD153" i="15" s="1"/>
  <c r="AE153" i="15" s="1"/>
  <c r="AF153" i="15" s="1"/>
  <c r="AG153" i="15" s="1"/>
  <c r="AH153" i="15" s="1"/>
  <c r="AI153" i="15" s="1"/>
  <c r="AJ153" i="15" s="1"/>
  <c r="AK153" i="15" s="1"/>
  <c r="AL153" i="15" s="1"/>
  <c r="AM153" i="15" s="1"/>
  <c r="AN153" i="15" s="1"/>
  <c r="AO153" i="15" s="1"/>
  <c r="AP153" i="15" s="1"/>
  <c r="AQ153" i="15" s="1"/>
  <c r="AR153" i="15" s="1"/>
  <c r="AS153" i="15" s="1"/>
  <c r="AT153" i="15" s="1"/>
  <c r="AU153" i="15" s="1"/>
  <c r="AV153" i="15" s="1"/>
  <c r="AW153" i="15" s="1"/>
  <c r="AX153" i="15" s="1"/>
  <c r="AY153" i="15" s="1"/>
  <c r="AZ153" i="15" s="1"/>
  <c r="BA153" i="15" s="1"/>
  <c r="BB153" i="15" s="1"/>
  <c r="BC153" i="15" s="1"/>
  <c r="BD153" i="15" s="1"/>
  <c r="BE153" i="15" s="1"/>
  <c r="BF153" i="15" s="1"/>
  <c r="BG153" i="15" s="1"/>
  <c r="BH153" i="15" s="1"/>
  <c r="BI153" i="15" s="1"/>
  <c r="BJ153" i="15" s="1"/>
  <c r="BK153" i="15" s="1"/>
  <c r="BL153" i="15" s="1"/>
  <c r="BM153" i="15" s="1"/>
  <c r="BN153" i="15" s="1"/>
  <c r="BO153" i="15" s="1"/>
  <c r="BP153" i="15" s="1"/>
  <c r="BQ153" i="15" s="1"/>
  <c r="BR153" i="15" s="1"/>
  <c r="BS153" i="15" s="1"/>
  <c r="BT153" i="15" s="1"/>
  <c r="BU153" i="15" s="1"/>
  <c r="BV153" i="15" s="1"/>
  <c r="BW153" i="15" s="1"/>
  <c r="R16" i="15"/>
  <c r="AA90" i="15"/>
  <c r="BY97" i="15"/>
  <c r="AA136" i="15"/>
  <c r="D139" i="15"/>
  <c r="D141" i="15" s="1"/>
  <c r="BZ91" i="15"/>
  <c r="BY98" i="15" s="1"/>
  <c r="AA119" i="15"/>
  <c r="AA105" i="15"/>
  <c r="O150" i="14"/>
  <c r="P150" i="14" s="1"/>
  <c r="Q150" i="14" s="1"/>
  <c r="R150" i="14" s="1"/>
  <c r="S150" i="14" s="1"/>
  <c r="T150" i="14" s="1"/>
  <c r="U150" i="14" s="1"/>
  <c r="V150" i="14" s="1"/>
  <c r="W150" i="14" s="1"/>
  <c r="X150" i="14" s="1"/>
  <c r="Y150" i="14" s="1"/>
  <c r="Z150" i="14" s="1"/>
  <c r="AA150" i="14" s="1"/>
  <c r="AB150" i="14" s="1"/>
  <c r="AC150" i="14" s="1"/>
  <c r="AD150" i="14" s="1"/>
  <c r="AE150" i="14" s="1"/>
  <c r="AF150" i="14" s="1"/>
  <c r="AG150" i="14" s="1"/>
  <c r="AH150" i="14" s="1"/>
  <c r="AI150" i="14" s="1"/>
  <c r="AJ150" i="14" s="1"/>
  <c r="AK150" i="14" s="1"/>
  <c r="AL150" i="14" s="1"/>
  <c r="AM150" i="14" s="1"/>
  <c r="AN150" i="14" s="1"/>
  <c r="AO150" i="14" s="1"/>
  <c r="AP150" i="14" s="1"/>
  <c r="AQ150" i="14" s="1"/>
  <c r="AR150" i="14" s="1"/>
  <c r="AS150" i="14" s="1"/>
  <c r="AT150" i="14" s="1"/>
  <c r="AU150" i="14" s="1"/>
  <c r="AV150" i="14" s="1"/>
  <c r="AW150" i="14" s="1"/>
  <c r="AX150" i="14" s="1"/>
  <c r="AY150" i="14" s="1"/>
  <c r="AZ150" i="14" s="1"/>
  <c r="BA150" i="14" s="1"/>
  <c r="BB150" i="14" s="1"/>
  <c r="BC150" i="14" s="1"/>
  <c r="BD150" i="14" s="1"/>
  <c r="BE150" i="14" s="1"/>
  <c r="BF150" i="14" s="1"/>
  <c r="BG150" i="14" s="1"/>
  <c r="BH150" i="14" s="1"/>
  <c r="BI150" i="14" s="1"/>
  <c r="BJ150" i="14" s="1"/>
  <c r="BK150" i="14" s="1"/>
  <c r="BL150" i="14" s="1"/>
  <c r="BM150" i="14" s="1"/>
  <c r="BN150" i="14" s="1"/>
  <c r="BO150" i="14" s="1"/>
  <c r="BP150" i="14" s="1"/>
  <c r="BQ150" i="14" s="1"/>
  <c r="BR150" i="14" s="1"/>
  <c r="BS150" i="14" s="1"/>
  <c r="BT150" i="14" s="1"/>
  <c r="BU150" i="14" s="1"/>
  <c r="BV150" i="14" s="1"/>
  <c r="BW150" i="14" s="1"/>
  <c r="T88" i="14"/>
  <c r="BY95" i="14"/>
  <c r="BZ89" i="14"/>
  <c r="BY96" i="14" s="1"/>
  <c r="V120" i="14"/>
  <c r="V121" i="14" s="1"/>
  <c r="T102" i="14"/>
  <c r="S12" i="13"/>
  <c r="T11" i="13"/>
  <c r="O148" i="12"/>
  <c r="P148" i="12" s="1"/>
  <c r="Q148" i="12" s="1"/>
  <c r="R148" i="12" s="1"/>
  <c r="S148" i="12" s="1"/>
  <c r="T148" i="12" s="1"/>
  <c r="U148" i="12" s="1"/>
  <c r="V148" i="12" s="1"/>
  <c r="W148" i="12" s="1"/>
  <c r="X148" i="12" s="1"/>
  <c r="Y148" i="12" s="1"/>
  <c r="Z148" i="12" s="1"/>
  <c r="AA148" i="12" s="1"/>
  <c r="AB148" i="12" s="1"/>
  <c r="AC148" i="12" s="1"/>
  <c r="AD148" i="12" s="1"/>
  <c r="AE148" i="12" s="1"/>
  <c r="AF148" i="12" s="1"/>
  <c r="AG148" i="12" s="1"/>
  <c r="AH148" i="12" s="1"/>
  <c r="AI148" i="12" s="1"/>
  <c r="AJ148" i="12" s="1"/>
  <c r="AK148" i="12" s="1"/>
  <c r="AL148" i="12" s="1"/>
  <c r="AM148" i="12" s="1"/>
  <c r="AN148" i="12" s="1"/>
  <c r="AO148" i="12" s="1"/>
  <c r="AP148" i="12" s="1"/>
  <c r="AQ148" i="12" s="1"/>
  <c r="AR148" i="12" s="1"/>
  <c r="AS148" i="12" s="1"/>
  <c r="AT148" i="12" s="1"/>
  <c r="AU148" i="12" s="1"/>
  <c r="AV148" i="12" s="1"/>
  <c r="AW148" i="12" s="1"/>
  <c r="AX148" i="12" s="1"/>
  <c r="AY148" i="12" s="1"/>
  <c r="AZ148" i="12" s="1"/>
  <c r="BA148" i="12" s="1"/>
  <c r="BB148" i="12" s="1"/>
  <c r="BC148" i="12" s="1"/>
  <c r="BD148" i="12" s="1"/>
  <c r="BE148" i="12" s="1"/>
  <c r="BF148" i="12" s="1"/>
  <c r="BG148" i="12" s="1"/>
  <c r="BH148" i="12" s="1"/>
  <c r="BI148" i="12" s="1"/>
  <c r="BJ148" i="12" s="1"/>
  <c r="BK148" i="12" s="1"/>
  <c r="BL148" i="12" s="1"/>
  <c r="BM148" i="12" s="1"/>
  <c r="BN148" i="12" s="1"/>
  <c r="BO148" i="12" s="1"/>
  <c r="BP148" i="12" s="1"/>
  <c r="BQ148" i="12" s="1"/>
  <c r="BR148" i="12" s="1"/>
  <c r="BS148" i="12" s="1"/>
  <c r="BT148" i="12" s="1"/>
  <c r="BU148" i="12" s="1"/>
  <c r="BV148" i="12" s="1"/>
  <c r="BW148" i="12" s="1"/>
  <c r="T88" i="12"/>
  <c r="BY95" i="12"/>
  <c r="BZ89" i="12"/>
  <c r="T118" i="12"/>
  <c r="T119" i="12" s="1"/>
  <c r="T102" i="12"/>
  <c r="C23" i="8"/>
  <c r="T33" i="23"/>
  <c r="T35" i="23" s="1"/>
  <c r="U35" i="23" s="1"/>
  <c r="V35" i="23" s="1"/>
  <c r="W35" i="23" s="1"/>
  <c r="X35" i="23" s="1"/>
  <c r="Y35" i="23" s="1"/>
  <c r="Z35" i="23" s="1"/>
  <c r="AA35" i="23" s="1"/>
  <c r="AB35" i="23" s="1"/>
  <c r="AC35" i="23" s="1"/>
  <c r="AD35" i="23" s="1"/>
  <c r="AE35" i="23" s="1"/>
  <c r="AF35" i="23" s="1"/>
  <c r="AG35" i="23" s="1"/>
  <c r="AH35" i="23" s="1"/>
  <c r="AI35" i="23" s="1"/>
  <c r="AJ35" i="23" s="1"/>
  <c r="AK35" i="23" s="1"/>
  <c r="AL35" i="23" s="1"/>
  <c r="AM35" i="23" s="1"/>
  <c r="AN35" i="23" s="1"/>
  <c r="AO35" i="23" s="1"/>
  <c r="AP35" i="23" s="1"/>
  <c r="AQ35" i="23" s="1"/>
  <c r="AR35" i="23" s="1"/>
  <c r="AS35" i="23" s="1"/>
  <c r="AT35" i="23" s="1"/>
  <c r="AU35" i="23" s="1"/>
  <c r="AV35" i="23" s="1"/>
  <c r="AW35" i="23" s="1"/>
  <c r="AX35" i="23" s="1"/>
  <c r="AY35" i="23" s="1"/>
  <c r="AZ35" i="23" s="1"/>
  <c r="BA35" i="23" s="1"/>
  <c r="BB35" i="23" s="1"/>
  <c r="BC35" i="23" s="1"/>
  <c r="BD35" i="23" s="1"/>
  <c r="BE35" i="23" s="1"/>
  <c r="BF35" i="23" s="1"/>
  <c r="BG35" i="23" s="1"/>
  <c r="BH35" i="23" s="1"/>
  <c r="BI35" i="23" s="1"/>
  <c r="BJ35" i="23" s="1"/>
  <c r="BK35" i="23" s="1"/>
  <c r="BL35" i="23" s="1"/>
  <c r="BM35" i="23" s="1"/>
  <c r="BN35" i="23" s="1"/>
  <c r="BO35" i="23" s="1"/>
  <c r="BP35" i="23" s="1"/>
  <c r="BQ35" i="23" s="1"/>
  <c r="BR35" i="23" s="1"/>
  <c r="BS35" i="23" s="1"/>
  <c r="BT35" i="23" s="1"/>
  <c r="BU35" i="23" s="1"/>
  <c r="BV35" i="23" s="1"/>
  <c r="BW35" i="23" s="1"/>
  <c r="BX35" i="23" s="1"/>
  <c r="BY35" i="23" s="1"/>
  <c r="BZ35" i="23" s="1"/>
  <c r="CA35" i="23" s="1"/>
  <c r="CK23" i="23"/>
  <c r="CL23" i="23" s="1"/>
  <c r="CC3" i="23"/>
  <c r="CC33" i="23" s="1"/>
  <c r="CB33" i="23"/>
  <c r="CK3" i="23"/>
  <c r="CL3" i="23" s="1"/>
  <c r="F73" i="11"/>
  <c r="C132" i="11"/>
  <c r="D125" i="11"/>
  <c r="D127" i="11" s="1"/>
  <c r="S12" i="8"/>
  <c r="T11" i="8"/>
  <c r="D12" i="8"/>
  <c r="E11" i="8"/>
  <c r="O158" i="7"/>
  <c r="P158" i="7" s="1"/>
  <c r="Q158" i="7" s="1"/>
  <c r="R158" i="7" s="1"/>
  <c r="S158" i="7" s="1"/>
  <c r="T158" i="7" s="1"/>
  <c r="U158" i="7" s="1"/>
  <c r="V158" i="7" s="1"/>
  <c r="W158" i="7" s="1"/>
  <c r="X158" i="7" s="1"/>
  <c r="Y158" i="7" s="1"/>
  <c r="Z158" i="7" s="1"/>
  <c r="D160" i="7"/>
  <c r="D162" i="7" s="1"/>
  <c r="BZ9" i="7"/>
  <c r="AB96" i="7"/>
  <c r="AB110" i="7"/>
  <c r="O153" i="6"/>
  <c r="P153" i="6" s="1"/>
  <c r="Q153" i="6" s="1"/>
  <c r="R153" i="6" s="1"/>
  <c r="S153" i="6" s="1"/>
  <c r="T153" i="6" s="1"/>
  <c r="U153" i="6" s="1"/>
  <c r="V153" i="6" s="1"/>
  <c r="W153" i="6" s="1"/>
  <c r="X153" i="6" s="1"/>
  <c r="Y153" i="6" s="1"/>
  <c r="Z153" i="6" s="1"/>
  <c r="AA153" i="6" s="1"/>
  <c r="AB153" i="6" s="1"/>
  <c r="AC153" i="6" s="1"/>
  <c r="AD153" i="6" s="1"/>
  <c r="AE153" i="6" s="1"/>
  <c r="AF153" i="6" s="1"/>
  <c r="AG153" i="6" s="1"/>
  <c r="AH153" i="6" s="1"/>
  <c r="AI153" i="6" s="1"/>
  <c r="AJ153" i="6" s="1"/>
  <c r="AK153" i="6" s="1"/>
  <c r="AL153" i="6" s="1"/>
  <c r="AM153" i="6" s="1"/>
  <c r="AN153" i="6" s="1"/>
  <c r="AO153" i="6" s="1"/>
  <c r="AP153" i="6" s="1"/>
  <c r="AQ153" i="6" s="1"/>
  <c r="AR153" i="6" s="1"/>
  <c r="AS153" i="6" s="1"/>
  <c r="AT153" i="6" s="1"/>
  <c r="AU153" i="6" s="1"/>
  <c r="AV153" i="6" s="1"/>
  <c r="AW153" i="6" s="1"/>
  <c r="AX153" i="6" s="1"/>
  <c r="AY153" i="6" s="1"/>
  <c r="AZ153" i="6" s="1"/>
  <c r="BA153" i="6" s="1"/>
  <c r="BB153" i="6" s="1"/>
  <c r="BC153" i="6" s="1"/>
  <c r="BD153" i="6" s="1"/>
  <c r="BE153" i="6" s="1"/>
  <c r="BF153" i="6" s="1"/>
  <c r="BG153" i="6" s="1"/>
  <c r="BH153" i="6" s="1"/>
  <c r="BI153" i="6" s="1"/>
  <c r="BJ153" i="6" s="1"/>
  <c r="BK153" i="6" s="1"/>
  <c r="BL153" i="6" s="1"/>
  <c r="BM153" i="6" s="1"/>
  <c r="BN153" i="6" s="1"/>
  <c r="BO153" i="6" s="1"/>
  <c r="BP153" i="6" s="1"/>
  <c r="BQ153" i="6" s="1"/>
  <c r="BR153" i="6" s="1"/>
  <c r="BS153" i="6" s="1"/>
  <c r="BT153" i="6" s="1"/>
  <c r="BU153" i="6" s="1"/>
  <c r="BV153" i="6" s="1"/>
  <c r="BW153" i="6" s="1"/>
  <c r="D155" i="6"/>
  <c r="D157" i="6" s="1"/>
  <c r="BZ9" i="6"/>
  <c r="CA11" i="6"/>
  <c r="CA12" i="6" s="1"/>
  <c r="AF96" i="6"/>
  <c r="AF105" i="6"/>
  <c r="M30" i="5"/>
  <c r="P96" i="12"/>
  <c r="J37" i="14"/>
  <c r="BY42" i="14"/>
  <c r="BY37" i="14" s="1"/>
  <c r="M14" i="14"/>
  <c r="M16" i="14" s="1"/>
  <c r="K96" i="14"/>
  <c r="K97" i="14" s="1"/>
  <c r="N14" i="14"/>
  <c r="N16" i="14" s="1"/>
  <c r="L96" i="14"/>
  <c r="O14" i="14"/>
  <c r="O16" i="14" s="1"/>
  <c r="M96" i="14"/>
  <c r="P14" i="14"/>
  <c r="P16" i="14" s="1"/>
  <c r="N96" i="14"/>
  <c r="Q14" i="14"/>
  <c r="O96" i="14"/>
  <c r="P96" i="14"/>
  <c r="R14" i="14"/>
  <c r="S14" i="14"/>
  <c r="R96" i="14"/>
  <c r="T14" i="14"/>
  <c r="J37" i="20"/>
  <c r="BY42" i="20"/>
  <c r="BY37" i="20" s="1"/>
  <c r="M14" i="20"/>
  <c r="M16" i="20" s="1"/>
  <c r="K98" i="20"/>
  <c r="K99" i="20" s="1"/>
  <c r="N14" i="20"/>
  <c r="N16" i="20" s="1"/>
  <c r="L98" i="20"/>
  <c r="O14" i="20"/>
  <c r="O16" i="20" s="1"/>
  <c r="M98" i="20"/>
  <c r="P14" i="20"/>
  <c r="P16" i="20" s="1"/>
  <c r="N98" i="20"/>
  <c r="Q14" i="20"/>
  <c r="O98" i="20"/>
  <c r="P98" i="20"/>
  <c r="R14" i="20"/>
  <c r="S14" i="20"/>
  <c r="R98" i="20"/>
  <c r="T14" i="20"/>
  <c r="K99" i="19"/>
  <c r="K100" i="19" s="1"/>
  <c r="L100" i="19" s="1"/>
  <c r="M16" i="19"/>
  <c r="M99" i="19" s="1"/>
  <c r="M100" i="19" s="1"/>
  <c r="N100" i="19" s="1"/>
  <c r="O100" i="19" s="1"/>
  <c r="P100" i="19" s="1"/>
  <c r="Y38" i="26"/>
  <c r="Y37" i="26" s="1"/>
  <c r="AA14" i="26" s="1"/>
  <c r="X38" i="26"/>
  <c r="X37" i="26" s="1"/>
  <c r="Z14" i="26" s="1"/>
  <c r="Z16" i="26" s="1"/>
  <c r="W38" i="26"/>
  <c r="W37" i="26" s="1"/>
  <c r="Y14" i="26" s="1"/>
  <c r="Y16" i="26" s="1"/>
  <c r="V38" i="26"/>
  <c r="V37" i="26" s="1"/>
  <c r="X14" i="26" s="1"/>
  <c r="X16" i="26" s="1"/>
  <c r="U38" i="26"/>
  <c r="U37" i="26" s="1"/>
  <c r="W14" i="26" s="1"/>
  <c r="W16" i="26" s="1"/>
  <c r="T38" i="26"/>
  <c r="T37" i="26" s="1"/>
  <c r="V14" i="26" s="1"/>
  <c r="V16" i="26" s="1"/>
  <c r="S38" i="26"/>
  <c r="S37" i="26" s="1"/>
  <c r="R38" i="26"/>
  <c r="Z38" i="17"/>
  <c r="Z37" i="17" s="1"/>
  <c r="Z98" i="17" s="1"/>
  <c r="Y38" i="17"/>
  <c r="Y37" i="17" s="1"/>
  <c r="AA14" i="17" s="1"/>
  <c r="X38" i="17"/>
  <c r="X37" i="17" s="1"/>
  <c r="Z14" i="17" s="1"/>
  <c r="Z16" i="17" s="1"/>
  <c r="W38" i="17"/>
  <c r="W37" i="17" s="1"/>
  <c r="Y14" i="17" s="1"/>
  <c r="Y16" i="17" s="1"/>
  <c r="V38" i="17"/>
  <c r="V37" i="17" s="1"/>
  <c r="X14" i="17" s="1"/>
  <c r="X16" i="17" s="1"/>
  <c r="U38" i="17"/>
  <c r="U37" i="17" s="1"/>
  <c r="W14" i="17" s="1"/>
  <c r="W16" i="17" s="1"/>
  <c r="T38" i="17"/>
  <c r="T37" i="17" s="1"/>
  <c r="V14" i="17" s="1"/>
  <c r="V16" i="17" s="1"/>
  <c r="S38" i="17"/>
  <c r="S37" i="17" s="1"/>
  <c r="U14" i="17" s="1"/>
  <c r="U16" i="17" s="1"/>
  <c r="R38" i="17"/>
  <c r="R37" i="17" s="1"/>
  <c r="Q38" i="17"/>
  <c r="Z38" i="16"/>
  <c r="Z37" i="16" s="1"/>
  <c r="Y38" i="16"/>
  <c r="Y37" i="16" s="1"/>
  <c r="X38" i="16"/>
  <c r="X37" i="16" s="1"/>
  <c r="W38" i="16"/>
  <c r="W37" i="16" s="1"/>
  <c r="W98" i="16" s="1"/>
  <c r="V38" i="16"/>
  <c r="V37" i="16" s="1"/>
  <c r="U38" i="16"/>
  <c r="U37" i="16" s="1"/>
  <c r="T38" i="16"/>
  <c r="T37" i="16" s="1"/>
  <c r="T98" i="16" s="1"/>
  <c r="S38" i="16"/>
  <c r="S37" i="16" s="1"/>
  <c r="R38" i="16"/>
  <c r="R37" i="16" s="1"/>
  <c r="R98" i="16" s="1"/>
  <c r="Q38" i="16"/>
  <c r="Z38" i="15"/>
  <c r="Z37" i="15" s="1"/>
  <c r="Y38" i="15"/>
  <c r="Y37" i="15" s="1"/>
  <c r="AA14" i="15" s="1"/>
  <c r="X38" i="15"/>
  <c r="X37" i="15" s="1"/>
  <c r="Z14" i="15" s="1"/>
  <c r="Z16" i="15" s="1"/>
  <c r="W38" i="15"/>
  <c r="W37" i="15" s="1"/>
  <c r="Y14" i="15" s="1"/>
  <c r="Y16" i="15" s="1"/>
  <c r="V38" i="15"/>
  <c r="V37" i="15" s="1"/>
  <c r="X14" i="15" s="1"/>
  <c r="X16" i="15" s="1"/>
  <c r="U38" i="15"/>
  <c r="U37" i="15" s="1"/>
  <c r="W14" i="15" s="1"/>
  <c r="W16" i="15" s="1"/>
  <c r="T38" i="15"/>
  <c r="T37" i="15" s="1"/>
  <c r="V14" i="15" s="1"/>
  <c r="V16" i="15" s="1"/>
  <c r="S38" i="15"/>
  <c r="S37" i="15" s="1"/>
  <c r="U14" i="15" s="1"/>
  <c r="U16" i="15" s="1"/>
  <c r="R38" i="15"/>
  <c r="R37" i="15" s="1"/>
  <c r="Q38" i="15"/>
  <c r="Y38" i="6"/>
  <c r="Y37" i="6" s="1"/>
  <c r="X38" i="6"/>
  <c r="X37" i="6" s="1"/>
  <c r="W38" i="6"/>
  <c r="W37" i="6" s="1"/>
  <c r="W98" i="6" s="1"/>
  <c r="V38" i="6"/>
  <c r="V37" i="6" s="1"/>
  <c r="U38" i="6"/>
  <c r="U37" i="6" s="1"/>
  <c r="T38" i="6"/>
  <c r="T37" i="6" s="1"/>
  <c r="T98" i="6" s="1"/>
  <c r="S38" i="6"/>
  <c r="S37" i="6" s="1"/>
  <c r="S98" i="6" s="1"/>
  <c r="R38" i="6"/>
  <c r="C93" i="5"/>
  <c r="C132" i="5" s="1"/>
  <c r="I87" i="5"/>
  <c r="I88" i="5" s="1"/>
  <c r="I89" i="5" s="1"/>
  <c r="I90" i="5" s="1"/>
  <c r="I84" i="5"/>
  <c r="I85" i="5" s="1"/>
  <c r="K78" i="5"/>
  <c r="K81" i="5" s="1"/>
  <c r="K82" i="5" s="1"/>
  <c r="I78" i="5"/>
  <c r="I81" i="5" s="1"/>
  <c r="I82" i="5" s="1"/>
  <c r="BY35" i="6"/>
  <c r="BY34" i="6" s="1"/>
  <c r="U34" i="6"/>
  <c r="V98" i="6"/>
  <c r="X98" i="6"/>
  <c r="Y98" i="6"/>
  <c r="BY35" i="15"/>
  <c r="BY34" i="15" s="1"/>
  <c r="S34" i="15"/>
  <c r="T98" i="15"/>
  <c r="V98" i="15"/>
  <c r="W98" i="15"/>
  <c r="X98" i="15"/>
  <c r="Z98" i="15"/>
  <c r="BY35" i="16"/>
  <c r="BY34" i="16" s="1"/>
  <c r="S34" i="16"/>
  <c r="S98" i="16" s="1"/>
  <c r="U98" i="16"/>
  <c r="V98" i="16"/>
  <c r="X98" i="16"/>
  <c r="Y98" i="16"/>
  <c r="Z98" i="16"/>
  <c r="BY35" i="17"/>
  <c r="BY34" i="17" s="1"/>
  <c r="S34" i="17"/>
  <c r="T98" i="17"/>
  <c r="U98" i="17"/>
  <c r="V98" i="17"/>
  <c r="W98" i="17"/>
  <c r="X98" i="17"/>
  <c r="Y98" i="17"/>
  <c r="BY35" i="26"/>
  <c r="BY34" i="26" s="1"/>
  <c r="T34" i="26"/>
  <c r="T98" i="26" s="1"/>
  <c r="U98" i="26"/>
  <c r="V98" i="26"/>
  <c r="W98" i="26"/>
  <c r="X98" i="26"/>
  <c r="F73" i="5"/>
  <c r="BY40" i="12"/>
  <c r="J37" i="12"/>
  <c r="K37" i="12"/>
  <c r="L37" i="12"/>
  <c r="M37" i="12"/>
  <c r="N37" i="12"/>
  <c r="BY80" i="12"/>
  <c r="BY61" i="12" s="1"/>
  <c r="Q61" i="12"/>
  <c r="Q96" i="12" s="1"/>
  <c r="BY80" i="14"/>
  <c r="BY61" i="14" s="1"/>
  <c r="Q61" i="14"/>
  <c r="Q96" i="14" s="1"/>
  <c r="BY82" i="15"/>
  <c r="BY63" i="15" s="1"/>
  <c r="Q63" i="15"/>
  <c r="AA98" i="15"/>
  <c r="BY82" i="16"/>
  <c r="Q63" i="16"/>
  <c r="BY82" i="17"/>
  <c r="Q63" i="17"/>
  <c r="BY82" i="19"/>
  <c r="BY63" i="19" s="1"/>
  <c r="Q63" i="19"/>
  <c r="R98" i="19"/>
  <c r="T14" i="19"/>
  <c r="S98" i="19"/>
  <c r="U14" i="19"/>
  <c r="T98" i="19"/>
  <c r="V14" i="19"/>
  <c r="U98" i="19"/>
  <c r="W14" i="19"/>
  <c r="V98" i="19"/>
  <c r="X14" i="19"/>
  <c r="W98" i="19"/>
  <c r="Y14" i="19"/>
  <c r="X98" i="19"/>
  <c r="Z14" i="19"/>
  <c r="Y98" i="19"/>
  <c r="AA14" i="19"/>
  <c r="Z98" i="19"/>
  <c r="AB14" i="19"/>
  <c r="AA98" i="19"/>
  <c r="AC14" i="19"/>
  <c r="BY82" i="20"/>
  <c r="BY63" i="20" s="1"/>
  <c r="Q63" i="20"/>
  <c r="Q98" i="20" s="1"/>
  <c r="BY82" i="26"/>
  <c r="R63" i="26"/>
  <c r="Z98" i="6"/>
  <c r="BY48" i="7"/>
  <c r="BY37" i="7" s="1"/>
  <c r="Z37" i="7"/>
  <c r="Z98" i="26"/>
  <c r="R29" i="11"/>
  <c r="J24" i="11"/>
  <c r="R19" i="11"/>
  <c r="R21" i="11" s="1"/>
  <c r="O46" i="12"/>
  <c r="O37" i="12" s="1"/>
  <c r="O96" i="12" s="1"/>
  <c r="I46" i="12"/>
  <c r="R29" i="5"/>
  <c r="R19" i="5"/>
  <c r="R21" i="5" s="1"/>
  <c r="B16" i="1"/>
  <c r="Q122" i="26"/>
  <c r="AA12" i="26"/>
  <c r="CH6" i="26"/>
  <c r="CF6" i="26"/>
  <c r="T12" i="20"/>
  <c r="S12" i="20"/>
  <c r="S16" i="20" s="1"/>
  <c r="S99" i="20" s="1"/>
  <c r="R12" i="20"/>
  <c r="R16" i="20" s="1"/>
  <c r="R99" i="20" s="1"/>
  <c r="Q12" i="20"/>
  <c r="AC12" i="19"/>
  <c r="AB12" i="19"/>
  <c r="AB16" i="19" s="1"/>
  <c r="AB99" i="19" s="1"/>
  <c r="AA12" i="19"/>
  <c r="AA16" i="19" s="1"/>
  <c r="AA99" i="19" s="1"/>
  <c r="Z12" i="19"/>
  <c r="Z16" i="19" s="1"/>
  <c r="Z99" i="19" s="1"/>
  <c r="Y12" i="19"/>
  <c r="X12" i="19"/>
  <c r="X16" i="19" s="1"/>
  <c r="X99" i="19" s="1"/>
  <c r="W12" i="19"/>
  <c r="V12" i="19"/>
  <c r="U12" i="19"/>
  <c r="U16" i="19" s="1"/>
  <c r="T12" i="19"/>
  <c r="T16" i="19" s="1"/>
  <c r="T99" i="19" s="1"/>
  <c r="S12" i="19"/>
  <c r="R12" i="19"/>
  <c r="R16" i="19" s="1"/>
  <c r="R99" i="19" s="1"/>
  <c r="Q12" i="19"/>
  <c r="Q122" i="17"/>
  <c r="AA12" i="17"/>
  <c r="CF6" i="17"/>
  <c r="Q122" i="16"/>
  <c r="AA12" i="16"/>
  <c r="Z12" i="16"/>
  <c r="Y12" i="16"/>
  <c r="X12" i="16"/>
  <c r="W12" i="16"/>
  <c r="V12" i="16"/>
  <c r="U12" i="16"/>
  <c r="T12" i="16"/>
  <c r="S12" i="16"/>
  <c r="R12" i="16"/>
  <c r="Q12" i="16"/>
  <c r="CF6" i="16"/>
  <c r="Q122" i="15"/>
  <c r="AA12" i="15"/>
  <c r="T12" i="14"/>
  <c r="S12" i="14"/>
  <c r="S16" i="14" s="1"/>
  <c r="S97" i="14" s="1"/>
  <c r="R12" i="14"/>
  <c r="R16" i="14" s="1"/>
  <c r="R97" i="14" s="1"/>
  <c r="Q12" i="14"/>
  <c r="T12" i="12"/>
  <c r="S12" i="12"/>
  <c r="R12" i="12"/>
  <c r="Q12" i="12"/>
  <c r="AB12" i="7"/>
  <c r="AA12" i="7"/>
  <c r="AA16" i="7" s="1"/>
  <c r="AA100" i="7" s="1"/>
  <c r="V12" i="7"/>
  <c r="U12" i="7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D155" i="16" l="1"/>
  <c r="D157" i="16" s="1"/>
  <c r="U99" i="19"/>
  <c r="Y16" i="19"/>
  <c r="Y99" i="19" s="1"/>
  <c r="Y98" i="15"/>
  <c r="D155" i="17"/>
  <c r="D157" i="17" s="1"/>
  <c r="D125" i="5"/>
  <c r="D127" i="5" s="1"/>
  <c r="S98" i="17"/>
  <c r="U98" i="15"/>
  <c r="U98" i="6"/>
  <c r="D152" i="14"/>
  <c r="D154" i="14" s="1"/>
  <c r="D155" i="26"/>
  <c r="D157" i="26" s="1"/>
  <c r="V16" i="19"/>
  <c r="V99" i="19" s="1"/>
  <c r="W16" i="19"/>
  <c r="W99" i="19" s="1"/>
  <c r="Y98" i="26"/>
  <c r="S98" i="15"/>
  <c r="D155" i="15"/>
  <c r="D157" i="15" s="1"/>
  <c r="D183" i="19"/>
  <c r="D185" i="19" s="1"/>
  <c r="D150" i="12"/>
  <c r="D152" i="12" s="1"/>
  <c r="D154" i="12" s="1"/>
  <c r="S16" i="6"/>
  <c r="S100" i="6" s="1"/>
  <c r="U14" i="6"/>
  <c r="U16" i="6" s="1"/>
  <c r="U100" i="6" s="1"/>
  <c r="BY12" i="6"/>
  <c r="V14" i="6"/>
  <c r="V16" i="6" s="1"/>
  <c r="V100" i="6" s="1"/>
  <c r="W14" i="6"/>
  <c r="W16" i="6" s="1"/>
  <c r="W100" i="6" s="1"/>
  <c r="X14" i="6"/>
  <c r="Y14" i="6"/>
  <c r="Z14" i="6"/>
  <c r="Z16" i="6" s="1"/>
  <c r="Z100" i="6" s="1"/>
  <c r="X16" i="6"/>
  <c r="X100" i="6" s="1"/>
  <c r="AA14" i="6"/>
  <c r="AA16" i="6" s="1"/>
  <c r="AA100" i="6" s="1"/>
  <c r="Y16" i="6"/>
  <c r="Y100" i="6" s="1"/>
  <c r="AB14" i="6"/>
  <c r="AC14" i="6"/>
  <c r="AB16" i="6"/>
  <c r="AB100" i="6" s="1"/>
  <c r="AD14" i="6"/>
  <c r="AD16" i="6" s="1"/>
  <c r="AD100" i="6" s="1"/>
  <c r="AC16" i="6"/>
  <c r="AC100" i="6" s="1"/>
  <c r="AE14" i="6"/>
  <c r="AE16" i="6" s="1"/>
  <c r="AE100" i="6" s="1"/>
  <c r="AF14" i="6"/>
  <c r="U16" i="7"/>
  <c r="U100" i="7" s="1"/>
  <c r="U101" i="7" s="1"/>
  <c r="BY12" i="7"/>
  <c r="X14" i="7"/>
  <c r="V16" i="7"/>
  <c r="BY12" i="12"/>
  <c r="Q16" i="14"/>
  <c r="Q97" i="14" s="1"/>
  <c r="BY12" i="14"/>
  <c r="BY12" i="15"/>
  <c r="BY12" i="16"/>
  <c r="Q16" i="16"/>
  <c r="R16" i="16"/>
  <c r="R100" i="16" s="1"/>
  <c r="T14" i="16"/>
  <c r="T16" i="16" s="1"/>
  <c r="T100" i="16" s="1"/>
  <c r="U14" i="16"/>
  <c r="V14" i="16"/>
  <c r="W14" i="16"/>
  <c r="U16" i="16"/>
  <c r="U100" i="16" s="1"/>
  <c r="X14" i="16"/>
  <c r="X16" i="16" s="1"/>
  <c r="X100" i="16" s="1"/>
  <c r="V16" i="16"/>
  <c r="V100" i="16" s="1"/>
  <c r="Y14" i="16"/>
  <c r="Y16" i="16" s="1"/>
  <c r="Y100" i="16" s="1"/>
  <c r="W16" i="16"/>
  <c r="W100" i="16" s="1"/>
  <c r="Z14" i="16"/>
  <c r="AA14" i="16"/>
  <c r="Z16" i="16"/>
  <c r="Z100" i="16" s="1"/>
  <c r="BY12" i="17"/>
  <c r="Q16" i="19"/>
  <c r="BY12" i="19"/>
  <c r="Q16" i="20"/>
  <c r="Q99" i="20" s="1"/>
  <c r="BY12" i="20"/>
  <c r="BY12" i="26"/>
  <c r="R23" i="5"/>
  <c r="R22" i="5"/>
  <c r="N21" i="5"/>
  <c r="BY46" i="12"/>
  <c r="BY37" i="12" s="1"/>
  <c r="I37" i="12"/>
  <c r="R23" i="11"/>
  <c r="R22" i="11"/>
  <c r="J25" i="11"/>
  <c r="N21" i="11"/>
  <c r="Z98" i="7"/>
  <c r="Q98" i="19"/>
  <c r="S14" i="19"/>
  <c r="N96" i="12"/>
  <c r="T14" i="12"/>
  <c r="Q14" i="12"/>
  <c r="Q16" i="12" s="1"/>
  <c r="Q97" i="12" s="1"/>
  <c r="P14" i="12"/>
  <c r="P16" i="12" s="1"/>
  <c r="P97" i="12" s="1"/>
  <c r="O14" i="12"/>
  <c r="O16" i="12" s="1"/>
  <c r="O97" i="12" s="1"/>
  <c r="M96" i="12"/>
  <c r="S14" i="12"/>
  <c r="S16" i="12" s="1"/>
  <c r="S97" i="12" s="1"/>
  <c r="R14" i="12"/>
  <c r="R16" i="12" s="1"/>
  <c r="R97" i="12" s="1"/>
  <c r="N14" i="12"/>
  <c r="N16" i="12" s="1"/>
  <c r="N97" i="12" s="1"/>
  <c r="L96" i="12"/>
  <c r="M14" i="12"/>
  <c r="M16" i="12" s="1"/>
  <c r="K96" i="12"/>
  <c r="L14" i="12"/>
  <c r="L16" i="12" s="1"/>
  <c r="J96" i="12"/>
  <c r="J97" i="12" s="1"/>
  <c r="C134" i="5"/>
  <c r="D129" i="5"/>
  <c r="D128" i="5"/>
  <c r="R37" i="6"/>
  <c r="BY38" i="6"/>
  <c r="BY37" i="6" s="1"/>
  <c r="Q37" i="15"/>
  <c r="BY38" i="15"/>
  <c r="BY37" i="15" s="1"/>
  <c r="BZ17" i="15" s="1"/>
  <c r="BY90" i="15" s="1"/>
  <c r="T14" i="15"/>
  <c r="T16" i="15" s="1"/>
  <c r="T100" i="15" s="1"/>
  <c r="R98" i="15"/>
  <c r="U100" i="15"/>
  <c r="V100" i="15"/>
  <c r="W100" i="15"/>
  <c r="X100" i="15"/>
  <c r="Y100" i="15"/>
  <c r="Z100" i="15"/>
  <c r="Q37" i="16"/>
  <c r="BY38" i="16"/>
  <c r="BY37" i="16" s="1"/>
  <c r="Q37" i="17"/>
  <c r="BY38" i="17"/>
  <c r="BY37" i="17" s="1"/>
  <c r="T14" i="17"/>
  <c r="T16" i="17" s="1"/>
  <c r="T100" i="17" s="1"/>
  <c r="R98" i="17"/>
  <c r="U100" i="17"/>
  <c r="V100" i="17"/>
  <c r="W100" i="17"/>
  <c r="X100" i="17"/>
  <c r="Y100" i="17"/>
  <c r="Z100" i="17"/>
  <c r="R37" i="26"/>
  <c r="BY38" i="26"/>
  <c r="BY37" i="26" s="1"/>
  <c r="U14" i="26"/>
  <c r="U16" i="26" s="1"/>
  <c r="U100" i="26" s="1"/>
  <c r="S98" i="26"/>
  <c r="S100" i="26" s="1"/>
  <c r="V100" i="26"/>
  <c r="W100" i="26"/>
  <c r="X100" i="26"/>
  <c r="Y100" i="26"/>
  <c r="Z100" i="26"/>
  <c r="P99" i="20"/>
  <c r="O99" i="20"/>
  <c r="N99" i="20"/>
  <c r="M99" i="20"/>
  <c r="L14" i="20"/>
  <c r="J98" i="20"/>
  <c r="J99" i="20" s="1"/>
  <c r="J100" i="20" s="1"/>
  <c r="K100" i="20" s="1"/>
  <c r="P97" i="14"/>
  <c r="O97" i="14"/>
  <c r="N97" i="14"/>
  <c r="M97" i="14"/>
  <c r="L14" i="14"/>
  <c r="J96" i="14"/>
  <c r="J97" i="14" s="1"/>
  <c r="J98" i="14" s="1"/>
  <c r="K98" i="14" s="1"/>
  <c r="AF90" i="6"/>
  <c r="BY96" i="6"/>
  <c r="BZ91" i="6" s="1"/>
  <c r="BY98" i="6" s="1"/>
  <c r="AB90" i="7"/>
  <c r="BY96" i="7"/>
  <c r="D13" i="8"/>
  <c r="E12" i="8"/>
  <c r="S13" i="8"/>
  <c r="T12" i="8"/>
  <c r="C134" i="11"/>
  <c r="D129" i="11"/>
  <c r="D128" i="11"/>
  <c r="CB35" i="23"/>
  <c r="CC35" i="23" s="1"/>
  <c r="CD35" i="23" s="1"/>
  <c r="CE35" i="23" s="1"/>
  <c r="CF35" i="23" s="1"/>
  <c r="CG35" i="23" s="1"/>
  <c r="CH35" i="23" s="1"/>
  <c r="CI35" i="23" s="1"/>
  <c r="CJ35" i="23" s="1"/>
  <c r="BY96" i="12"/>
  <c r="BY88" i="12"/>
  <c r="S13" i="13"/>
  <c r="T12" i="13"/>
  <c r="R100" i="15"/>
  <c r="BY96" i="16"/>
  <c r="BZ91" i="16" s="1"/>
  <c r="BY98" i="16" s="1"/>
  <c r="AA90" i="16"/>
  <c r="BY96" i="17"/>
  <c r="BZ91" i="17" s="1"/>
  <c r="BY98" i="17" s="1"/>
  <c r="AA90" i="17"/>
  <c r="R100" i="17"/>
  <c r="S13" i="18"/>
  <c r="T12" i="18"/>
  <c r="S13" i="21"/>
  <c r="T12" i="21"/>
  <c r="I13" i="22"/>
  <c r="J12" i="22"/>
  <c r="N13" i="22"/>
  <c r="O12" i="22"/>
  <c r="S13" i="22"/>
  <c r="T12" i="22"/>
  <c r="BY96" i="26"/>
  <c r="BZ91" i="26" s="1"/>
  <c r="BY98" i="26" s="1"/>
  <c r="AA90" i="26"/>
  <c r="R30" i="27"/>
  <c r="Q61" i="27"/>
  <c r="Q60" i="27"/>
  <c r="Q59" i="27"/>
  <c r="Q58" i="27"/>
  <c r="F41" i="27"/>
  <c r="F40" i="27"/>
  <c r="C44" i="27" s="1"/>
  <c r="V100" i="7" l="1"/>
  <c r="V101" i="7" s="1"/>
  <c r="W101" i="7" s="1"/>
  <c r="M97" i="12"/>
  <c r="L97" i="12"/>
  <c r="C47" i="27"/>
  <c r="F45" i="27"/>
  <c r="R52" i="27"/>
  <c r="Q52" i="27"/>
  <c r="Q51" i="27"/>
  <c r="Q50" i="27"/>
  <c r="Q49" i="27"/>
  <c r="R23" i="27"/>
  <c r="S14" i="22"/>
  <c r="T13" i="22"/>
  <c r="N14" i="22"/>
  <c r="O13" i="22"/>
  <c r="I14" i="22"/>
  <c r="J13" i="22"/>
  <c r="S14" i="21"/>
  <c r="T13" i="21"/>
  <c r="S14" i="18"/>
  <c r="T13" i="18"/>
  <c r="S14" i="13"/>
  <c r="T13" i="13"/>
  <c r="S14" i="8"/>
  <c r="T13" i="8"/>
  <c r="D14" i="8"/>
  <c r="E13" i="8"/>
  <c r="BZ91" i="7"/>
  <c r="BY98" i="7" s="1"/>
  <c r="L16" i="14"/>
  <c r="L97" i="14" s="1"/>
  <c r="L98" i="14" s="1"/>
  <c r="BY14" i="14"/>
  <c r="CB14" i="14" s="1"/>
  <c r="M98" i="14"/>
  <c r="N98" i="14"/>
  <c r="O98" i="14"/>
  <c r="P98" i="14"/>
  <c r="L16" i="20"/>
  <c r="L99" i="20" s="1"/>
  <c r="L100" i="20" s="1"/>
  <c r="BY14" i="20"/>
  <c r="CB14" i="20" s="1"/>
  <c r="M100" i="20"/>
  <c r="N100" i="20"/>
  <c r="O100" i="20"/>
  <c r="P100" i="20"/>
  <c r="T14" i="26"/>
  <c r="R98" i="26"/>
  <c r="R100" i="26" s="1"/>
  <c r="R101" i="26" s="1"/>
  <c r="S101" i="26" s="1"/>
  <c r="S14" i="17"/>
  <c r="Q98" i="17"/>
  <c r="Q100" i="17" s="1"/>
  <c r="Q101" i="17" s="1"/>
  <c r="R101" i="17" s="1"/>
  <c r="Q98" i="16"/>
  <c r="S14" i="16"/>
  <c r="S14" i="15"/>
  <c r="Q98" i="15"/>
  <c r="Q100" i="15" s="1"/>
  <c r="Q101" i="15" s="1"/>
  <c r="R101" i="15" s="1"/>
  <c r="T14" i="6"/>
  <c r="R98" i="6"/>
  <c r="BY14" i="19"/>
  <c r="CB14" i="19" s="1"/>
  <c r="S16" i="19"/>
  <c r="S99" i="19" s="1"/>
  <c r="Z99" i="7"/>
  <c r="AA99" i="7" s="1"/>
  <c r="Z100" i="7"/>
  <c r="R53" i="11"/>
  <c r="Q53" i="11" s="1"/>
  <c r="Q52" i="11"/>
  <c r="Q51" i="11"/>
  <c r="Q50" i="11"/>
  <c r="Q49" i="11"/>
  <c r="R72" i="11"/>
  <c r="Q72" i="11"/>
  <c r="Q71" i="11"/>
  <c r="Q70" i="11"/>
  <c r="Q69" i="11"/>
  <c r="Q68" i="11"/>
  <c r="R62" i="11"/>
  <c r="Q62" i="11"/>
  <c r="Q61" i="11"/>
  <c r="Q60" i="11"/>
  <c r="Q59" i="11"/>
  <c r="R31" i="11"/>
  <c r="R32" i="11" s="1"/>
  <c r="R33" i="11" s="1"/>
  <c r="M30" i="11"/>
  <c r="K14" i="12"/>
  <c r="I96" i="12"/>
  <c r="I97" i="12" s="1"/>
  <c r="I98" i="12" s="1"/>
  <c r="J98" i="12" s="1"/>
  <c r="AA86" i="26"/>
  <c r="AA86" i="17"/>
  <c r="AA86" i="16"/>
  <c r="AB86" i="7"/>
  <c r="AF86" i="6"/>
  <c r="R53" i="5"/>
  <c r="Q53" i="5" s="1"/>
  <c r="Q52" i="5"/>
  <c r="Q51" i="5"/>
  <c r="Q50" i="5"/>
  <c r="Q49" i="5"/>
  <c r="AA13" i="26"/>
  <c r="T13" i="20"/>
  <c r="AC13" i="19"/>
  <c r="AA13" i="17"/>
  <c r="AA13" i="16"/>
  <c r="AA13" i="15"/>
  <c r="T13" i="14"/>
  <c r="T13" i="12"/>
  <c r="AB13" i="7"/>
  <c r="AF13" i="6"/>
  <c r="R72" i="5"/>
  <c r="Q72" i="5" s="1"/>
  <c r="Q71" i="5"/>
  <c r="Q70" i="5"/>
  <c r="Q69" i="5"/>
  <c r="Q68" i="5"/>
  <c r="R62" i="5"/>
  <c r="Q62" i="5"/>
  <c r="Q61" i="5"/>
  <c r="Q60" i="5"/>
  <c r="Q59" i="5"/>
  <c r="R31" i="5"/>
  <c r="R32" i="5" s="1"/>
  <c r="R33" i="5" s="1"/>
  <c r="Q100" i="20"/>
  <c r="R100" i="20" s="1"/>
  <c r="S100" i="20" s="1"/>
  <c r="Q99" i="19"/>
  <c r="Q100" i="19" s="1"/>
  <c r="R100" i="19" s="1"/>
  <c r="Q100" i="16"/>
  <c r="Q101" i="16" s="1"/>
  <c r="R101" i="16" s="1"/>
  <c r="Q98" i="14"/>
  <c r="R98" i="14" s="1"/>
  <c r="S98" i="14" s="1"/>
  <c r="X16" i="7"/>
  <c r="X100" i="7" s="1"/>
  <c r="X101" i="7" s="1"/>
  <c r="Y101" i="7" s="1"/>
  <c r="BY13" i="6" l="1"/>
  <c r="AF16" i="6"/>
  <c r="BY13" i="7"/>
  <c r="BY13" i="12"/>
  <c r="T16" i="12"/>
  <c r="BY13" i="14"/>
  <c r="T16" i="14"/>
  <c r="BY13" i="15"/>
  <c r="AA16" i="15"/>
  <c r="AA100" i="15" s="1"/>
  <c r="BY13" i="16"/>
  <c r="AA16" i="16"/>
  <c r="BY13" i="17"/>
  <c r="AA16" i="17"/>
  <c r="BY13" i="19"/>
  <c r="AC16" i="19"/>
  <c r="BY13" i="20"/>
  <c r="T16" i="20"/>
  <c r="BY13" i="26"/>
  <c r="AA16" i="26"/>
  <c r="BY86" i="6"/>
  <c r="BY63" i="6" s="1"/>
  <c r="AF63" i="6"/>
  <c r="BY86" i="7"/>
  <c r="BY63" i="7" s="1"/>
  <c r="AB63" i="7"/>
  <c r="BY86" i="16"/>
  <c r="BY63" i="16" s="1"/>
  <c r="AA63" i="16"/>
  <c r="BY86" i="17"/>
  <c r="BY63" i="17" s="1"/>
  <c r="AA63" i="17"/>
  <c r="BY86" i="26"/>
  <c r="BY63" i="26" s="1"/>
  <c r="AA63" i="26"/>
  <c r="BY14" i="12"/>
  <c r="CB14" i="12" s="1"/>
  <c r="CB57" i="12" s="1"/>
  <c r="K16" i="12"/>
  <c r="K97" i="12" s="1"/>
  <c r="K98" i="12" s="1"/>
  <c r="L98" i="12" s="1"/>
  <c r="M98" i="12" s="1"/>
  <c r="N98" i="12" s="1"/>
  <c r="O98" i="12" s="1"/>
  <c r="P98" i="12" s="1"/>
  <c r="Q98" i="12" s="1"/>
  <c r="R98" i="12" s="1"/>
  <c r="S98" i="12" s="1"/>
  <c r="CB58" i="12"/>
  <c r="R38" i="11"/>
  <c r="R40" i="11" s="1"/>
  <c r="N35" i="11"/>
  <c r="N34" i="11"/>
  <c r="N33" i="11"/>
  <c r="N32" i="11"/>
  <c r="Z101" i="7"/>
  <c r="AA101" i="7" s="1"/>
  <c r="S100" i="19"/>
  <c r="T100" i="19" s="1"/>
  <c r="R100" i="6"/>
  <c r="R101" i="6" s="1"/>
  <c r="S101" i="6" s="1"/>
  <c r="R99" i="6"/>
  <c r="BY14" i="6"/>
  <c r="AA102" i="26"/>
  <c r="T16" i="6"/>
  <c r="T100" i="6" s="1"/>
  <c r="T101" i="6" s="1"/>
  <c r="S16" i="15"/>
  <c r="S100" i="15" s="1"/>
  <c r="S101" i="15" s="1"/>
  <c r="T101" i="15" s="1"/>
  <c r="BY14" i="15"/>
  <c r="CB14" i="15" s="1"/>
  <c r="BY14" i="16"/>
  <c r="CB14" i="16" s="1"/>
  <c r="S16" i="16"/>
  <c r="S100" i="16" s="1"/>
  <c r="S101" i="16" s="1"/>
  <c r="T101" i="16" s="1"/>
  <c r="S16" i="17"/>
  <c r="S100" i="17" s="1"/>
  <c r="S101" i="17" s="1"/>
  <c r="T101" i="17" s="1"/>
  <c r="BY14" i="17"/>
  <c r="CB14" i="17" s="1"/>
  <c r="T16" i="26"/>
  <c r="T100" i="26" s="1"/>
  <c r="T101" i="26" s="1"/>
  <c r="BY14" i="26"/>
  <c r="CB14" i="26" s="1"/>
  <c r="D15" i="8"/>
  <c r="E14" i="8"/>
  <c r="S15" i="8"/>
  <c r="T14" i="8"/>
  <c r="S15" i="13"/>
  <c r="T14" i="13"/>
  <c r="S15" i="18"/>
  <c r="T14" i="18"/>
  <c r="S15" i="21"/>
  <c r="T14" i="21"/>
  <c r="I15" i="22"/>
  <c r="J14" i="22"/>
  <c r="N15" i="22"/>
  <c r="O14" i="22"/>
  <c r="S15" i="22"/>
  <c r="T14" i="22"/>
  <c r="C49" i="27"/>
  <c r="R43" i="27"/>
  <c r="Q43" i="27" s="1"/>
  <c r="Q42" i="27"/>
  <c r="Q41" i="27"/>
  <c r="Q40" i="27"/>
  <c r="Q39" i="27"/>
  <c r="N20" i="27"/>
  <c r="N21" i="27" s="1"/>
  <c r="N25" i="27"/>
  <c r="N23" i="27"/>
  <c r="R24" i="27" l="1"/>
  <c r="R25" i="27" s="1"/>
  <c r="M29" i="27"/>
  <c r="S16" i="22"/>
  <c r="T15" i="22"/>
  <c r="N16" i="22"/>
  <c r="O15" i="22"/>
  <c r="I16" i="22"/>
  <c r="J15" i="22"/>
  <c r="S16" i="21"/>
  <c r="T15" i="21"/>
  <c r="S16" i="18"/>
  <c r="T15" i="18"/>
  <c r="S16" i="13"/>
  <c r="T15" i="13"/>
  <c r="S16" i="8"/>
  <c r="T15" i="8"/>
  <c r="D16" i="8"/>
  <c r="E15" i="8"/>
  <c r="T134" i="26"/>
  <c r="T136" i="26" s="1"/>
  <c r="BZ102" i="26"/>
  <c r="X125" i="26"/>
  <c r="U101" i="26"/>
  <c r="V101" i="26" s="1"/>
  <c r="W101" i="26" s="1"/>
  <c r="X101" i="26" s="1"/>
  <c r="Y101" i="26" s="1"/>
  <c r="Z101" i="26" s="1"/>
  <c r="Z102" i="26" s="1"/>
  <c r="T134" i="17"/>
  <c r="T136" i="17" s="1"/>
  <c r="T118" i="17"/>
  <c r="T119" i="17" s="1"/>
  <c r="BZ102" i="17"/>
  <c r="X125" i="17"/>
  <c r="U101" i="17"/>
  <c r="V101" i="17" s="1"/>
  <c r="W101" i="17" s="1"/>
  <c r="X101" i="17" s="1"/>
  <c r="Y101" i="17" s="1"/>
  <c r="Z101" i="17" s="1"/>
  <c r="T134" i="16"/>
  <c r="T136" i="16" s="1"/>
  <c r="BZ102" i="16"/>
  <c r="X125" i="16"/>
  <c r="U101" i="16"/>
  <c r="V101" i="16" s="1"/>
  <c r="W101" i="16" s="1"/>
  <c r="X101" i="16" s="1"/>
  <c r="Y101" i="16" s="1"/>
  <c r="Z101" i="16" s="1"/>
  <c r="T134" i="15"/>
  <c r="T136" i="15" s="1"/>
  <c r="T118" i="15"/>
  <c r="T119" i="15" s="1"/>
  <c r="BZ102" i="15"/>
  <c r="X125" i="15"/>
  <c r="U101" i="15"/>
  <c r="V101" i="15" s="1"/>
  <c r="W101" i="15" s="1"/>
  <c r="X101" i="15" s="1"/>
  <c r="Y101" i="15" s="1"/>
  <c r="Z101" i="15" s="1"/>
  <c r="T134" i="6"/>
  <c r="T136" i="6" s="1"/>
  <c r="U101" i="6"/>
  <c r="V101" i="6" s="1"/>
  <c r="W101" i="6" s="1"/>
  <c r="X101" i="6" s="1"/>
  <c r="Y101" i="6" s="1"/>
  <c r="Z101" i="6" s="1"/>
  <c r="AA101" i="6" s="1"/>
  <c r="T133" i="19"/>
  <c r="T135" i="19" s="1"/>
  <c r="U100" i="19"/>
  <c r="V100" i="19" s="1"/>
  <c r="W100" i="19" s="1"/>
  <c r="X100" i="19" s="1"/>
  <c r="Y100" i="19" s="1"/>
  <c r="Z100" i="19" s="1"/>
  <c r="AA100" i="19" s="1"/>
  <c r="AB100" i="19" s="1"/>
  <c r="AB14" i="7"/>
  <c r="BZ12" i="26"/>
  <c r="CB13" i="26"/>
  <c r="BZ12" i="20"/>
  <c r="CB13" i="20"/>
  <c r="BZ12" i="19"/>
  <c r="CB13" i="19"/>
  <c r="BZ12" i="17"/>
  <c r="CB13" i="17"/>
  <c r="BZ12" i="16"/>
  <c r="CB13" i="16"/>
  <c r="AA101" i="15"/>
  <c r="AB101" i="15" s="1"/>
  <c r="AC101" i="15" s="1"/>
  <c r="AD101" i="15" s="1"/>
  <c r="AE101" i="15" s="1"/>
  <c r="AF101" i="15" s="1"/>
  <c r="AG101" i="15" s="1"/>
  <c r="AH101" i="15" s="1"/>
  <c r="AI101" i="15" s="1"/>
  <c r="AJ101" i="15" s="1"/>
  <c r="AK101" i="15" s="1"/>
  <c r="AL101" i="15" s="1"/>
  <c r="AM101" i="15" s="1"/>
  <c r="AN101" i="15" s="1"/>
  <c r="AO101" i="15" s="1"/>
  <c r="AP101" i="15" s="1"/>
  <c r="AQ101" i="15" s="1"/>
  <c r="AR101" i="15" s="1"/>
  <c r="AS101" i="15" s="1"/>
  <c r="AT101" i="15" s="1"/>
  <c r="AU101" i="15" s="1"/>
  <c r="AV101" i="15" s="1"/>
  <c r="AW101" i="15" s="1"/>
  <c r="AX101" i="15" s="1"/>
  <c r="AY101" i="15" s="1"/>
  <c r="AZ101" i="15" s="1"/>
  <c r="BA101" i="15" s="1"/>
  <c r="BB101" i="15" s="1"/>
  <c r="BC101" i="15" s="1"/>
  <c r="BD101" i="15" s="1"/>
  <c r="BE101" i="15" s="1"/>
  <c r="BF101" i="15" s="1"/>
  <c r="BG101" i="15" s="1"/>
  <c r="BH101" i="15" s="1"/>
  <c r="BI101" i="15" s="1"/>
  <c r="BJ101" i="15" s="1"/>
  <c r="BK101" i="15" s="1"/>
  <c r="BL101" i="15" s="1"/>
  <c r="BM101" i="15" s="1"/>
  <c r="BN101" i="15" s="1"/>
  <c r="BO101" i="15" s="1"/>
  <c r="BP101" i="15" s="1"/>
  <c r="BQ101" i="15" s="1"/>
  <c r="BR101" i="15" s="1"/>
  <c r="BS101" i="15" s="1"/>
  <c r="BT101" i="15" s="1"/>
  <c r="BU101" i="15" s="1"/>
  <c r="BV101" i="15" s="1"/>
  <c r="BW101" i="15" s="1"/>
  <c r="BX101" i="15" s="1"/>
  <c r="BZ12" i="15"/>
  <c r="CB13" i="15"/>
  <c r="BZ12" i="14"/>
  <c r="CB13" i="14"/>
  <c r="BZ12" i="12"/>
  <c r="CB13" i="12"/>
  <c r="CB56" i="12" s="1"/>
  <c r="BZ12" i="6"/>
  <c r="BY16" i="6" s="1"/>
  <c r="BY16" i="12" l="1"/>
  <c r="BY97" i="12" s="1"/>
  <c r="CB12" i="12"/>
  <c r="BY16" i="14"/>
  <c r="CB12" i="14"/>
  <c r="CC12" i="14" s="1"/>
  <c r="CB16" i="14" s="1"/>
  <c r="BY16" i="15"/>
  <c r="BY100" i="15" s="1"/>
  <c r="CB12" i="15"/>
  <c r="CC12" i="15" s="1"/>
  <c r="CB16" i="15" s="1"/>
  <c r="BX109" i="15"/>
  <c r="BX105" i="15"/>
  <c r="D106" i="15" s="1"/>
  <c r="BY16" i="16"/>
  <c r="CB12" i="16"/>
  <c r="CC12" i="16" s="1"/>
  <c r="CB16" i="16" s="1"/>
  <c r="BY16" i="17"/>
  <c r="CB12" i="17"/>
  <c r="CC12" i="17" s="1"/>
  <c r="CB16" i="17" s="1"/>
  <c r="BY16" i="19"/>
  <c r="CB12" i="19"/>
  <c r="CC12" i="19" s="1"/>
  <c r="CB16" i="19" s="1"/>
  <c r="BY16" i="20"/>
  <c r="CB12" i="20"/>
  <c r="CC12" i="20" s="1"/>
  <c r="CB16" i="20" s="1"/>
  <c r="BY16" i="26"/>
  <c r="CB12" i="26"/>
  <c r="CC12" i="26" s="1"/>
  <c r="CB16" i="26" s="1"/>
  <c r="BY14" i="7"/>
  <c r="BZ12" i="7" s="1"/>
  <c r="BY16" i="7" s="1"/>
  <c r="AB16" i="7"/>
  <c r="T136" i="19"/>
  <c r="U136" i="19" s="1"/>
  <c r="V136" i="19" s="1"/>
  <c r="W136" i="19" s="1"/>
  <c r="X136" i="19" s="1"/>
  <c r="Y136" i="19" s="1"/>
  <c r="Z136" i="19" s="1"/>
  <c r="AA136" i="19" s="1"/>
  <c r="AB136" i="19" s="1"/>
  <c r="AC136" i="19" s="1"/>
  <c r="AD136" i="19" s="1"/>
  <c r="AE136" i="19" s="1"/>
  <c r="AF136" i="19" s="1"/>
  <c r="AG136" i="19" s="1"/>
  <c r="AH136" i="19" s="1"/>
  <c r="AI136" i="19" s="1"/>
  <c r="AJ136" i="19" s="1"/>
  <c r="AK136" i="19" s="1"/>
  <c r="AL136" i="19" s="1"/>
  <c r="AM136" i="19" s="1"/>
  <c r="AN136" i="19" s="1"/>
  <c r="AO136" i="19" s="1"/>
  <c r="AP136" i="19" s="1"/>
  <c r="AQ136" i="19" s="1"/>
  <c r="AR136" i="19" s="1"/>
  <c r="AS136" i="19" s="1"/>
  <c r="AT136" i="19" s="1"/>
  <c r="AU136" i="19" s="1"/>
  <c r="AV136" i="19" s="1"/>
  <c r="AW136" i="19" s="1"/>
  <c r="AX136" i="19" s="1"/>
  <c r="AY136" i="19" s="1"/>
  <c r="AZ136" i="19" s="1"/>
  <c r="BA136" i="19" s="1"/>
  <c r="BB136" i="19" s="1"/>
  <c r="BC136" i="19" s="1"/>
  <c r="BD136" i="19" s="1"/>
  <c r="BE136" i="19" s="1"/>
  <c r="BF136" i="19" s="1"/>
  <c r="BG136" i="19" s="1"/>
  <c r="BH136" i="19" s="1"/>
  <c r="BI136" i="19" s="1"/>
  <c r="BJ136" i="19" s="1"/>
  <c r="BK136" i="19" s="1"/>
  <c r="BL136" i="19" s="1"/>
  <c r="BM136" i="19" s="1"/>
  <c r="BN136" i="19" s="1"/>
  <c r="BO136" i="19" s="1"/>
  <c r="BP136" i="19" s="1"/>
  <c r="BQ136" i="19" s="1"/>
  <c r="BR136" i="19" s="1"/>
  <c r="BS136" i="19" s="1"/>
  <c r="BT136" i="19" s="1"/>
  <c r="BU136" i="19" s="1"/>
  <c r="BV136" i="19" s="1"/>
  <c r="BW136" i="19" s="1"/>
  <c r="AA128" i="6"/>
  <c r="AB101" i="6"/>
  <c r="AC101" i="6" s="1"/>
  <c r="AD101" i="6" s="1"/>
  <c r="AE101" i="6" s="1"/>
  <c r="T137" i="6"/>
  <c r="U137" i="6" s="1"/>
  <c r="V137" i="6" s="1"/>
  <c r="W137" i="6" s="1"/>
  <c r="X137" i="6" s="1"/>
  <c r="Y137" i="6" s="1"/>
  <c r="Z137" i="6" s="1"/>
  <c r="AA137" i="6" s="1"/>
  <c r="AB137" i="6" s="1"/>
  <c r="AC137" i="6" s="1"/>
  <c r="AD137" i="6" s="1"/>
  <c r="AE137" i="6" s="1"/>
  <c r="V125" i="15"/>
  <c r="V126" i="15" s="1"/>
  <c r="D124" i="15"/>
  <c r="D125" i="15" s="1"/>
  <c r="T137" i="15"/>
  <c r="U137" i="15" s="1"/>
  <c r="V137" i="15" s="1"/>
  <c r="W137" i="15" s="1"/>
  <c r="X137" i="15" s="1"/>
  <c r="Y137" i="15" s="1"/>
  <c r="Z137" i="15" s="1"/>
  <c r="AA137" i="15" s="1"/>
  <c r="AB137" i="15" s="1"/>
  <c r="AC137" i="15" s="1"/>
  <c r="AD137" i="15" s="1"/>
  <c r="AE137" i="15" s="1"/>
  <c r="AF137" i="15" s="1"/>
  <c r="AG137" i="15" s="1"/>
  <c r="AH137" i="15" s="1"/>
  <c r="AI137" i="15" s="1"/>
  <c r="AJ137" i="15" s="1"/>
  <c r="AK137" i="15" s="1"/>
  <c r="AL137" i="15" s="1"/>
  <c r="AM137" i="15" s="1"/>
  <c r="AN137" i="15" s="1"/>
  <c r="AO137" i="15" s="1"/>
  <c r="AP137" i="15" s="1"/>
  <c r="AQ137" i="15" s="1"/>
  <c r="AR137" i="15" s="1"/>
  <c r="AS137" i="15" s="1"/>
  <c r="AT137" i="15" s="1"/>
  <c r="AU137" i="15" s="1"/>
  <c r="AV137" i="15" s="1"/>
  <c r="AW137" i="15" s="1"/>
  <c r="AX137" i="15" s="1"/>
  <c r="AY137" i="15" s="1"/>
  <c r="AZ137" i="15" s="1"/>
  <c r="BA137" i="15" s="1"/>
  <c r="BB137" i="15" s="1"/>
  <c r="BC137" i="15" s="1"/>
  <c r="BD137" i="15" s="1"/>
  <c r="BE137" i="15" s="1"/>
  <c r="BF137" i="15" s="1"/>
  <c r="BG137" i="15" s="1"/>
  <c r="BH137" i="15" s="1"/>
  <c r="BI137" i="15" s="1"/>
  <c r="BJ137" i="15" s="1"/>
  <c r="BK137" i="15" s="1"/>
  <c r="BL137" i="15" s="1"/>
  <c r="BM137" i="15" s="1"/>
  <c r="BN137" i="15" s="1"/>
  <c r="BO137" i="15" s="1"/>
  <c r="BP137" i="15" s="1"/>
  <c r="BQ137" i="15" s="1"/>
  <c r="BR137" i="15" s="1"/>
  <c r="BS137" i="15" s="1"/>
  <c r="BT137" i="15" s="1"/>
  <c r="BU137" i="15" s="1"/>
  <c r="BV137" i="15" s="1"/>
  <c r="BW137" i="15" s="1"/>
  <c r="T137" i="16"/>
  <c r="U137" i="16" s="1"/>
  <c r="V137" i="16" s="1"/>
  <c r="W137" i="16" s="1"/>
  <c r="X137" i="16" s="1"/>
  <c r="Y137" i="16" s="1"/>
  <c r="Z137" i="16" s="1"/>
  <c r="V125" i="17"/>
  <c r="V126" i="17" s="1"/>
  <c r="D124" i="17"/>
  <c r="D125" i="17" s="1"/>
  <c r="T137" i="17"/>
  <c r="U137" i="17" s="1"/>
  <c r="V137" i="17" s="1"/>
  <c r="W137" i="17" s="1"/>
  <c r="X137" i="17" s="1"/>
  <c r="Y137" i="17" s="1"/>
  <c r="Z137" i="17" s="1"/>
  <c r="AA137" i="17" s="1"/>
  <c r="AB137" i="17" s="1"/>
  <c r="AC137" i="17" s="1"/>
  <c r="AD137" i="17" s="1"/>
  <c r="AE137" i="17" s="1"/>
  <c r="AF137" i="17" s="1"/>
  <c r="AG137" i="17" s="1"/>
  <c r="AH137" i="17" s="1"/>
  <c r="AI137" i="17" s="1"/>
  <c r="AJ137" i="17" s="1"/>
  <c r="AK137" i="17" s="1"/>
  <c r="AL137" i="17" s="1"/>
  <c r="AM137" i="17" s="1"/>
  <c r="AN137" i="17" s="1"/>
  <c r="AO137" i="17" s="1"/>
  <c r="AP137" i="17" s="1"/>
  <c r="AQ137" i="17" s="1"/>
  <c r="AR137" i="17" s="1"/>
  <c r="AS137" i="17" s="1"/>
  <c r="AT137" i="17" s="1"/>
  <c r="AU137" i="17" s="1"/>
  <c r="AV137" i="17" s="1"/>
  <c r="AW137" i="17" s="1"/>
  <c r="AX137" i="17" s="1"/>
  <c r="AY137" i="17" s="1"/>
  <c r="AZ137" i="17" s="1"/>
  <c r="BA137" i="17" s="1"/>
  <c r="BB137" i="17" s="1"/>
  <c r="BC137" i="17" s="1"/>
  <c r="BD137" i="17" s="1"/>
  <c r="BE137" i="17" s="1"/>
  <c r="BF137" i="17" s="1"/>
  <c r="BG137" i="17" s="1"/>
  <c r="BH137" i="17" s="1"/>
  <c r="BI137" i="17" s="1"/>
  <c r="BJ137" i="17" s="1"/>
  <c r="BK137" i="17" s="1"/>
  <c r="BL137" i="17" s="1"/>
  <c r="BM137" i="17" s="1"/>
  <c r="BN137" i="17" s="1"/>
  <c r="BO137" i="17" s="1"/>
  <c r="BP137" i="17" s="1"/>
  <c r="BQ137" i="17" s="1"/>
  <c r="BR137" i="17" s="1"/>
  <c r="BS137" i="17" s="1"/>
  <c r="BT137" i="17" s="1"/>
  <c r="BU137" i="17" s="1"/>
  <c r="BV137" i="17" s="1"/>
  <c r="BW137" i="17" s="1"/>
  <c r="T137" i="26"/>
  <c r="U137" i="26" s="1"/>
  <c r="V137" i="26" s="1"/>
  <c r="W137" i="26" s="1"/>
  <c r="X137" i="26" s="1"/>
  <c r="Y137" i="26" s="1"/>
  <c r="Z137" i="26" s="1"/>
  <c r="D17" i="8"/>
  <c r="E16" i="8"/>
  <c r="S17" i="8"/>
  <c r="T16" i="8"/>
  <c r="S17" i="13"/>
  <c r="T16" i="13"/>
  <c r="S17" i="18"/>
  <c r="T16" i="18"/>
  <c r="S17" i="21"/>
  <c r="T16" i="21"/>
  <c r="I17" i="22"/>
  <c r="J16" i="22"/>
  <c r="N17" i="22"/>
  <c r="O16" i="22"/>
  <c r="S17" i="22"/>
  <c r="T16" i="22"/>
  <c r="N33" i="27"/>
  <c r="N32" i="27"/>
  <c r="N31" i="27"/>
  <c r="R29" i="27"/>
  <c r="R31" i="27" s="1"/>
  <c r="S18" i="22" l="1"/>
  <c r="T17" i="22"/>
  <c r="N18" i="22"/>
  <c r="O17" i="22"/>
  <c r="I18" i="22"/>
  <c r="J17" i="22"/>
  <c r="S18" i="21"/>
  <c r="T17" i="21"/>
  <c r="S18" i="18"/>
  <c r="T17" i="18"/>
  <c r="S18" i="13"/>
  <c r="T17" i="13"/>
  <c r="S18" i="8"/>
  <c r="T17" i="8"/>
  <c r="D18" i="8"/>
  <c r="E17" i="8"/>
  <c r="AB128" i="6"/>
  <c r="AC128" i="6" s="1"/>
  <c r="AO128" i="6" s="1"/>
  <c r="G129" i="6"/>
  <c r="BX182" i="15"/>
  <c r="BX166" i="15"/>
  <c r="BX134" i="15"/>
  <c r="BX117" i="15"/>
  <c r="BX150" i="15" s="1"/>
  <c r="BX116" i="15"/>
  <c r="BX119" i="15" s="1"/>
  <c r="D120" i="15" s="1"/>
  <c r="CB55" i="12"/>
  <c r="CC12" i="12"/>
  <c r="CB16" i="12" s="1"/>
  <c r="CB59" i="12" s="1"/>
  <c r="BX152" i="15" l="1"/>
  <c r="BX153" i="15" s="1"/>
  <c r="D158" i="15"/>
  <c r="BX136" i="15"/>
  <c r="D142" i="15"/>
  <c r="D143" i="15" s="1"/>
  <c r="BX168" i="15"/>
  <c r="D174" i="15"/>
  <c r="BX184" i="15"/>
  <c r="D190" i="15"/>
  <c r="D19" i="8"/>
  <c r="E18" i="8"/>
  <c r="S19" i="8"/>
  <c r="T18" i="8"/>
  <c r="S19" i="13"/>
  <c r="T18" i="13"/>
  <c r="S19" i="18"/>
  <c r="T18" i="18"/>
  <c r="S19" i="21"/>
  <c r="T18" i="21"/>
  <c r="I19" i="22"/>
  <c r="J18" i="22"/>
  <c r="N19" i="22"/>
  <c r="O18" i="22"/>
  <c r="S19" i="22"/>
  <c r="T18" i="22"/>
  <c r="S20" i="22" l="1"/>
  <c r="T19" i="22"/>
  <c r="N20" i="22"/>
  <c r="O19" i="22"/>
  <c r="I20" i="22"/>
  <c r="J19" i="22"/>
  <c r="S20" i="21"/>
  <c r="T19" i="21"/>
  <c r="S20" i="18"/>
  <c r="T19" i="18"/>
  <c r="S20" i="13"/>
  <c r="T19" i="13"/>
  <c r="S20" i="8"/>
  <c r="T19" i="8"/>
  <c r="D20" i="8"/>
  <c r="E19" i="8"/>
  <c r="D186" i="15"/>
  <c r="BX185" i="15"/>
  <c r="D170" i="15"/>
  <c r="BX169" i="15"/>
  <c r="D138" i="15"/>
  <c r="BX137" i="15"/>
  <c r="D21" i="8" l="1"/>
  <c r="E20" i="8"/>
  <c r="S21" i="8"/>
  <c r="T20" i="8"/>
  <c r="S21" i="13"/>
  <c r="T20" i="13"/>
  <c r="S21" i="18"/>
  <c r="T20" i="18"/>
  <c r="S21" i="21"/>
  <c r="T20" i="21"/>
  <c r="I21" i="22"/>
  <c r="J20" i="22"/>
  <c r="N21" i="22"/>
  <c r="O20" i="22"/>
  <c r="S21" i="22"/>
  <c r="T20" i="22"/>
  <c r="S22" i="22" l="1"/>
  <c r="T21" i="22"/>
  <c r="N22" i="22"/>
  <c r="O21" i="22"/>
  <c r="I22" i="22"/>
  <c r="J21" i="22"/>
  <c r="S22" i="21"/>
  <c r="T21" i="21"/>
  <c r="S22" i="18"/>
  <c r="T21" i="18"/>
  <c r="S22" i="13"/>
  <c r="T21" i="13"/>
  <c r="S22" i="8"/>
  <c r="T21" i="8"/>
  <c r="D22" i="8"/>
  <c r="E21" i="8"/>
  <c r="D23" i="8" l="1"/>
  <c r="E22" i="8"/>
  <c r="S23" i="8"/>
  <c r="T22" i="8"/>
  <c r="S23" i="13"/>
  <c r="T22" i="13"/>
  <c r="S23" i="18"/>
  <c r="T22" i="18"/>
  <c r="S23" i="21"/>
  <c r="T22" i="21"/>
  <c r="I23" i="22"/>
  <c r="J22" i="22"/>
  <c r="N23" i="22"/>
  <c r="O22" i="22"/>
  <c r="S23" i="22"/>
  <c r="T22" i="22"/>
  <c r="S24" i="22" l="1"/>
  <c r="T23" i="22"/>
  <c r="N24" i="22"/>
  <c r="O23" i="22"/>
  <c r="I24" i="22"/>
  <c r="J23" i="22"/>
  <c r="S24" i="21"/>
  <c r="T23" i="21"/>
  <c r="S24" i="18"/>
  <c r="T23" i="18"/>
  <c r="S24" i="13"/>
  <c r="T23" i="13"/>
  <c r="S24" i="8"/>
  <c r="T23" i="8"/>
  <c r="D24" i="8"/>
  <c r="E23" i="8"/>
  <c r="D25" i="8" l="1"/>
  <c r="E24" i="8"/>
  <c r="S25" i="8"/>
  <c r="T24" i="8"/>
  <c r="S25" i="13"/>
  <c r="T24" i="13"/>
  <c r="S25" i="18"/>
  <c r="T24" i="18"/>
  <c r="S25" i="21"/>
  <c r="T24" i="21"/>
  <c r="I25" i="22"/>
  <c r="J24" i="22"/>
  <c r="N25" i="22"/>
  <c r="O24" i="22"/>
  <c r="S25" i="22"/>
  <c r="T24" i="22"/>
  <c r="S26" i="22" l="1"/>
  <c r="T25" i="22"/>
  <c r="N26" i="22"/>
  <c r="O25" i="22"/>
  <c r="I26" i="22"/>
  <c r="J25" i="22"/>
  <c r="S26" i="21"/>
  <c r="T25" i="21"/>
  <c r="S26" i="18"/>
  <c r="T25" i="18"/>
  <c r="S26" i="13"/>
  <c r="T25" i="13"/>
  <c r="S26" i="8"/>
  <c r="T25" i="8"/>
  <c r="D26" i="8"/>
  <c r="E25" i="8"/>
  <c r="D27" i="8" l="1"/>
  <c r="E26" i="8"/>
  <c r="S27" i="8"/>
  <c r="T26" i="8"/>
  <c r="S27" i="13"/>
  <c r="T26" i="13"/>
  <c r="S27" i="18"/>
  <c r="T26" i="18"/>
  <c r="S27" i="21"/>
  <c r="T26" i="21"/>
  <c r="I27" i="22"/>
  <c r="J26" i="22"/>
  <c r="N27" i="22"/>
  <c r="O26" i="22"/>
  <c r="S27" i="22"/>
  <c r="T26" i="22"/>
  <c r="S28" i="22" l="1"/>
  <c r="T27" i="22"/>
  <c r="N28" i="22"/>
  <c r="O27" i="22"/>
  <c r="I28" i="22"/>
  <c r="J27" i="22"/>
  <c r="S28" i="21"/>
  <c r="T27" i="21"/>
  <c r="S28" i="18"/>
  <c r="T27" i="18"/>
  <c r="S28" i="13"/>
  <c r="T27" i="13"/>
  <c r="S28" i="8"/>
  <c r="T27" i="8"/>
  <c r="D28" i="8"/>
  <c r="E27" i="8"/>
  <c r="D29" i="8" l="1"/>
  <c r="E28" i="8"/>
  <c r="S29" i="8"/>
  <c r="T28" i="8"/>
  <c r="S29" i="13"/>
  <c r="T28" i="13"/>
  <c r="S29" i="18"/>
  <c r="T28" i="18"/>
  <c r="S29" i="21"/>
  <c r="T28" i="21"/>
  <c r="I29" i="22"/>
  <c r="J28" i="22"/>
  <c r="N29" i="22"/>
  <c r="O28" i="22"/>
  <c r="S29" i="22"/>
  <c r="T28" i="22"/>
  <c r="S30" i="22" l="1"/>
  <c r="T29" i="22"/>
  <c r="N30" i="22"/>
  <c r="O29" i="22"/>
  <c r="I30" i="22"/>
  <c r="J29" i="22"/>
  <c r="S30" i="21"/>
  <c r="T29" i="21"/>
  <c r="S30" i="18"/>
  <c r="T29" i="18"/>
  <c r="S30" i="13"/>
  <c r="T29" i="13"/>
  <c r="S30" i="8"/>
  <c r="T29" i="8"/>
  <c r="D30" i="8"/>
  <c r="E29" i="8"/>
  <c r="D31" i="8" l="1"/>
  <c r="E30" i="8"/>
  <c r="S31" i="8"/>
  <c r="T30" i="8"/>
  <c r="S31" i="13"/>
  <c r="T30" i="13"/>
  <c r="S31" i="18"/>
  <c r="T30" i="18"/>
  <c r="S31" i="21"/>
  <c r="T30" i="21"/>
  <c r="I31" i="22"/>
  <c r="J30" i="22"/>
  <c r="N31" i="22"/>
  <c r="O30" i="22"/>
  <c r="S31" i="22"/>
  <c r="T30" i="22"/>
  <c r="S32" i="22" l="1"/>
  <c r="T31" i="22"/>
  <c r="N32" i="22"/>
  <c r="O31" i="22"/>
  <c r="I32" i="22"/>
  <c r="J31" i="22"/>
  <c r="K32" i="22" s="1"/>
  <c r="S32" i="21"/>
  <c r="T31" i="21"/>
  <c r="S32" i="18"/>
  <c r="T31" i="18"/>
  <c r="S32" i="13"/>
  <c r="T31" i="13"/>
  <c r="S32" i="8"/>
  <c r="T31" i="8"/>
  <c r="D32" i="8"/>
  <c r="E31" i="8"/>
  <c r="D33" i="8" l="1"/>
  <c r="E32" i="8"/>
  <c r="S33" i="8"/>
  <c r="T32" i="8"/>
  <c r="S33" i="13"/>
  <c r="T32" i="13"/>
  <c r="S33" i="18"/>
  <c r="T32" i="18"/>
  <c r="S33" i="21"/>
  <c r="T32" i="21"/>
  <c r="I33" i="22"/>
  <c r="J32" i="22"/>
  <c r="N33" i="22"/>
  <c r="O32" i="22"/>
  <c r="S33" i="22"/>
  <c r="T32" i="22"/>
  <c r="S34" i="22" l="1"/>
  <c r="T33" i="22"/>
  <c r="N34" i="22"/>
  <c r="O33" i="22"/>
  <c r="I34" i="22"/>
  <c r="J33" i="22"/>
  <c r="S34" i="21"/>
  <c r="T33" i="21"/>
  <c r="S34" i="18"/>
  <c r="T33" i="18"/>
  <c r="S34" i="13"/>
  <c r="T33" i="13"/>
  <c r="S34" i="8"/>
  <c r="T33" i="8"/>
  <c r="D34" i="8"/>
  <c r="E33" i="8"/>
  <c r="D35" i="8" l="1"/>
  <c r="E34" i="8"/>
  <c r="S35" i="8"/>
  <c r="T34" i="8"/>
  <c r="S35" i="13"/>
  <c r="T34" i="13"/>
  <c r="S35" i="18"/>
  <c r="T34" i="18"/>
  <c r="S35" i="21"/>
  <c r="T34" i="21"/>
  <c r="I35" i="22"/>
  <c r="J34" i="22"/>
  <c r="N35" i="22"/>
  <c r="O34" i="22"/>
  <c r="S35" i="22"/>
  <c r="T34" i="22"/>
  <c r="S36" i="22" l="1"/>
  <c r="T35" i="22"/>
  <c r="N36" i="22"/>
  <c r="O35" i="22"/>
  <c r="I36" i="22"/>
  <c r="J35" i="22"/>
  <c r="S36" i="21"/>
  <c r="T35" i="21"/>
  <c r="S36" i="18"/>
  <c r="T35" i="18"/>
  <c r="S36" i="13"/>
  <c r="T35" i="13"/>
  <c r="S36" i="8"/>
  <c r="T35" i="8"/>
  <c r="D36" i="8"/>
  <c r="E35" i="8"/>
  <c r="D37" i="8" l="1"/>
  <c r="E36" i="8"/>
  <c r="S37" i="8"/>
  <c r="T36" i="8"/>
  <c r="S37" i="13"/>
  <c r="T36" i="13"/>
  <c r="S37" i="18"/>
  <c r="T36" i="18"/>
  <c r="S37" i="21"/>
  <c r="T36" i="21"/>
  <c r="I37" i="22"/>
  <c r="J36" i="22"/>
  <c r="N37" i="22"/>
  <c r="O36" i="22"/>
  <c r="S37" i="22"/>
  <c r="T36" i="22"/>
  <c r="S38" i="22" l="1"/>
  <c r="T37" i="22"/>
  <c r="N38" i="22"/>
  <c r="O37" i="22"/>
  <c r="I38" i="22"/>
  <c r="J37" i="22"/>
  <c r="S38" i="21"/>
  <c r="T37" i="21"/>
  <c r="S38" i="18"/>
  <c r="T37" i="18"/>
  <c r="S38" i="13"/>
  <c r="T37" i="13"/>
  <c r="S38" i="8"/>
  <c r="T37" i="8"/>
  <c r="D38" i="8"/>
  <c r="E37" i="8"/>
  <c r="D39" i="8" l="1"/>
  <c r="E38" i="8"/>
  <c r="S39" i="8"/>
  <c r="T38" i="8"/>
  <c r="S39" i="13"/>
  <c r="T38" i="13"/>
  <c r="S39" i="18"/>
  <c r="T38" i="18"/>
  <c r="S39" i="21"/>
  <c r="T38" i="21"/>
  <c r="I39" i="22"/>
  <c r="J38" i="22"/>
  <c r="N39" i="22"/>
  <c r="O38" i="22"/>
  <c r="S39" i="22"/>
  <c r="T38" i="22"/>
  <c r="S40" i="22" l="1"/>
  <c r="T39" i="22"/>
  <c r="N40" i="22"/>
  <c r="O39" i="22"/>
  <c r="I40" i="22"/>
  <c r="J39" i="22"/>
  <c r="S40" i="21"/>
  <c r="T39" i="21"/>
  <c r="S40" i="18"/>
  <c r="T39" i="18"/>
  <c r="S40" i="13"/>
  <c r="T39" i="13"/>
  <c r="S40" i="8"/>
  <c r="T39" i="8"/>
  <c r="D40" i="8"/>
  <c r="E39" i="8"/>
  <c r="D41" i="8" l="1"/>
  <c r="E40" i="8"/>
  <c r="S41" i="8"/>
  <c r="T40" i="8"/>
  <c r="S41" i="13"/>
  <c r="T40" i="13"/>
  <c r="S41" i="18"/>
  <c r="T40" i="18"/>
  <c r="S41" i="21"/>
  <c r="T40" i="21"/>
  <c r="I41" i="22"/>
  <c r="J40" i="22"/>
  <c r="N41" i="22"/>
  <c r="O40" i="22"/>
  <c r="S41" i="22"/>
  <c r="T40" i="22"/>
  <c r="S42" i="22" l="1"/>
  <c r="T41" i="22"/>
  <c r="N42" i="22"/>
  <c r="O41" i="22"/>
  <c r="I42" i="22"/>
  <c r="J41" i="22"/>
  <c r="S42" i="21"/>
  <c r="T41" i="21"/>
  <c r="S42" i="18"/>
  <c r="T41" i="18"/>
  <c r="S42" i="13"/>
  <c r="T41" i="13"/>
  <c r="S42" i="8"/>
  <c r="T41" i="8"/>
  <c r="D42" i="8"/>
  <c r="E41" i="8"/>
  <c r="D43" i="8" l="1"/>
  <c r="E42" i="8"/>
  <c r="S43" i="8"/>
  <c r="T42" i="8"/>
  <c r="S43" i="13"/>
  <c r="T42" i="13"/>
  <c r="S43" i="18"/>
  <c r="T42" i="18"/>
  <c r="S43" i="21"/>
  <c r="T42" i="21"/>
  <c r="I43" i="22"/>
  <c r="J42" i="22"/>
  <c r="N43" i="22"/>
  <c r="O42" i="22"/>
  <c r="S43" i="22"/>
  <c r="T42" i="22"/>
  <c r="S44" i="22" l="1"/>
  <c r="T43" i="22"/>
  <c r="N44" i="22"/>
  <c r="O43" i="22"/>
  <c r="I44" i="22"/>
  <c r="J43" i="22"/>
  <c r="S44" i="21"/>
  <c r="T43" i="21"/>
  <c r="S44" i="18"/>
  <c r="T43" i="18"/>
  <c r="S44" i="13"/>
  <c r="T43" i="13"/>
  <c r="S44" i="8"/>
  <c r="T43" i="8"/>
  <c r="D44" i="8"/>
  <c r="E43" i="8"/>
  <c r="D45" i="8" l="1"/>
  <c r="E44" i="8"/>
  <c r="S45" i="8"/>
  <c r="T44" i="8"/>
  <c r="S45" i="13"/>
  <c r="T44" i="13"/>
  <c r="S45" i="18"/>
  <c r="T44" i="18"/>
  <c r="S45" i="21"/>
  <c r="T44" i="21"/>
  <c r="I45" i="22"/>
  <c r="J44" i="22"/>
  <c r="N45" i="22"/>
  <c r="O44" i="22"/>
  <c r="S45" i="22"/>
  <c r="T44" i="22"/>
  <c r="S46" i="22" l="1"/>
  <c r="T45" i="22"/>
  <c r="N46" i="22"/>
  <c r="O45" i="22"/>
  <c r="I46" i="22"/>
  <c r="J45" i="22"/>
  <c r="S46" i="21"/>
  <c r="T45" i="21"/>
  <c r="S46" i="18"/>
  <c r="T45" i="18"/>
  <c r="S46" i="13"/>
  <c r="T45" i="13"/>
  <c r="S46" i="8"/>
  <c r="T45" i="8"/>
  <c r="D46" i="8"/>
  <c r="E45" i="8"/>
  <c r="D47" i="8" l="1"/>
  <c r="E46" i="8"/>
  <c r="S47" i="8"/>
  <c r="T46" i="8"/>
  <c r="S47" i="13"/>
  <c r="T46" i="13"/>
  <c r="S47" i="18"/>
  <c r="T46" i="18"/>
  <c r="S47" i="21"/>
  <c r="T46" i="21"/>
  <c r="I47" i="22"/>
  <c r="J46" i="22"/>
  <c r="N47" i="22"/>
  <c r="O46" i="22"/>
  <c r="S47" i="22"/>
  <c r="T46" i="22"/>
  <c r="S48" i="22" l="1"/>
  <c r="T47" i="22"/>
  <c r="N48" i="22"/>
  <c r="O47" i="22"/>
  <c r="I48" i="22"/>
  <c r="J47" i="22"/>
  <c r="S48" i="21"/>
  <c r="T47" i="21"/>
  <c r="S48" i="18"/>
  <c r="T47" i="18"/>
  <c r="S48" i="13"/>
  <c r="T47" i="13"/>
  <c r="S48" i="8"/>
  <c r="T47" i="8"/>
  <c r="D48" i="8"/>
  <c r="E47" i="8"/>
  <c r="D49" i="8" l="1"/>
  <c r="E48" i="8"/>
  <c r="S49" i="8"/>
  <c r="T48" i="8"/>
  <c r="S49" i="13"/>
  <c r="T48" i="13"/>
  <c r="S49" i="18"/>
  <c r="T48" i="18"/>
  <c r="S49" i="21"/>
  <c r="T48" i="21"/>
  <c r="I49" i="22"/>
  <c r="J48" i="22"/>
  <c r="N49" i="22"/>
  <c r="O48" i="22"/>
  <c r="S49" i="22"/>
  <c r="T48" i="22"/>
  <c r="S50" i="22" l="1"/>
  <c r="T49" i="22"/>
  <c r="N50" i="22"/>
  <c r="O49" i="22"/>
  <c r="I50" i="22"/>
  <c r="J49" i="22"/>
  <c r="S50" i="21"/>
  <c r="T49" i="21"/>
  <c r="S50" i="18"/>
  <c r="T49" i="18"/>
  <c r="S50" i="13"/>
  <c r="T49" i="13"/>
  <c r="S50" i="8"/>
  <c r="T49" i="8"/>
  <c r="D50" i="8"/>
  <c r="E49" i="8"/>
  <c r="D51" i="8" l="1"/>
  <c r="E50" i="8"/>
  <c r="S51" i="8"/>
  <c r="T50" i="8"/>
  <c r="S51" i="13"/>
  <c r="T50" i="13"/>
  <c r="S51" i="18"/>
  <c r="T50" i="18"/>
  <c r="S51" i="21"/>
  <c r="T50" i="21"/>
  <c r="I51" i="22"/>
  <c r="J50" i="22"/>
  <c r="N51" i="22"/>
  <c r="O50" i="22"/>
  <c r="S51" i="22"/>
  <c r="T50" i="22"/>
  <c r="S52" i="22" l="1"/>
  <c r="T51" i="22"/>
  <c r="N52" i="22"/>
  <c r="O51" i="22"/>
  <c r="I52" i="22"/>
  <c r="J51" i="22"/>
  <c r="S52" i="21"/>
  <c r="T51" i="21"/>
  <c r="S52" i="18"/>
  <c r="T51" i="18"/>
  <c r="S52" i="13"/>
  <c r="T51" i="13"/>
  <c r="S52" i="8"/>
  <c r="T51" i="8"/>
  <c r="D52" i="8"/>
  <c r="E51" i="8"/>
  <c r="D53" i="8" l="1"/>
  <c r="E52" i="8"/>
  <c r="S53" i="8"/>
  <c r="T52" i="8"/>
  <c r="S53" i="13"/>
  <c r="T52" i="13"/>
  <c r="S53" i="18"/>
  <c r="T52" i="18"/>
  <c r="S53" i="21"/>
  <c r="T52" i="21"/>
  <c r="I53" i="22"/>
  <c r="J52" i="22"/>
  <c r="N53" i="22"/>
  <c r="O52" i="22"/>
  <c r="S53" i="22"/>
  <c r="T52" i="22"/>
  <c r="S54" i="22" l="1"/>
  <c r="T53" i="22"/>
  <c r="N54" i="22"/>
  <c r="O53" i="22"/>
  <c r="I54" i="22"/>
  <c r="J53" i="22"/>
  <c r="S54" i="21"/>
  <c r="T53" i="21"/>
  <c r="S54" i="18"/>
  <c r="T53" i="18"/>
  <c r="S54" i="13"/>
  <c r="T53" i="13"/>
  <c r="S54" i="8"/>
  <c r="T53" i="8"/>
  <c r="D54" i="8"/>
  <c r="E53" i="8"/>
  <c r="D55" i="8" l="1"/>
  <c r="E54" i="8"/>
  <c r="S55" i="8"/>
  <c r="T54" i="8"/>
  <c r="S55" i="13"/>
  <c r="T54" i="13"/>
  <c r="S55" i="18"/>
  <c r="T54" i="18"/>
  <c r="S55" i="21"/>
  <c r="T54" i="21"/>
  <c r="I55" i="22"/>
  <c r="J54" i="22"/>
  <c r="N55" i="22"/>
  <c r="O54" i="22"/>
  <c r="S55" i="22"/>
  <c r="T54" i="22"/>
  <c r="S56" i="22" l="1"/>
  <c r="T55" i="22"/>
  <c r="N56" i="22"/>
  <c r="O55" i="22"/>
  <c r="I56" i="22"/>
  <c r="J55" i="22"/>
  <c r="S56" i="21"/>
  <c r="T55" i="21"/>
  <c r="S56" i="18"/>
  <c r="T55" i="18"/>
  <c r="S56" i="13"/>
  <c r="T55" i="13"/>
  <c r="S56" i="8"/>
  <c r="T55" i="8"/>
  <c r="D56" i="8"/>
  <c r="E55" i="8"/>
  <c r="D57" i="8" l="1"/>
  <c r="E56" i="8"/>
  <c r="S57" i="8"/>
  <c r="T56" i="8"/>
  <c r="S57" i="13"/>
  <c r="T56" i="13"/>
  <c r="S57" i="18"/>
  <c r="T56" i="18"/>
  <c r="S57" i="21"/>
  <c r="T56" i="21"/>
  <c r="I57" i="22"/>
  <c r="J56" i="22"/>
  <c r="N57" i="22"/>
  <c r="O56" i="22"/>
  <c r="S57" i="22"/>
  <c r="T56" i="22"/>
  <c r="S58" i="22" l="1"/>
  <c r="T57" i="22"/>
  <c r="N58" i="22"/>
  <c r="O57" i="22"/>
  <c r="I58" i="22"/>
  <c r="J57" i="22"/>
  <c r="S58" i="21"/>
  <c r="T57" i="21"/>
  <c r="S58" i="18"/>
  <c r="T57" i="18"/>
  <c r="S58" i="13"/>
  <c r="T57" i="13"/>
  <c r="S58" i="8"/>
  <c r="T57" i="8"/>
  <c r="D58" i="8"/>
  <c r="E57" i="8"/>
  <c r="D59" i="8" l="1"/>
  <c r="E58" i="8"/>
  <c r="S59" i="8"/>
  <c r="T58" i="8"/>
  <c r="S59" i="13"/>
  <c r="T58" i="13"/>
  <c r="S59" i="18"/>
  <c r="T58" i="18"/>
  <c r="S59" i="21"/>
  <c r="T58" i="21"/>
  <c r="I59" i="22"/>
  <c r="J58" i="22"/>
  <c r="N59" i="22"/>
  <c r="O58" i="22"/>
  <c r="S59" i="22"/>
  <c r="T58" i="22"/>
  <c r="S60" i="22" l="1"/>
  <c r="T59" i="22"/>
  <c r="N60" i="22"/>
  <c r="O59" i="22"/>
  <c r="I60" i="22"/>
  <c r="J59" i="22"/>
  <c r="S60" i="21"/>
  <c r="T59" i="21"/>
  <c r="S60" i="18"/>
  <c r="T59" i="18"/>
  <c r="S60" i="13"/>
  <c r="T59" i="13"/>
  <c r="S60" i="8"/>
  <c r="T59" i="8"/>
  <c r="D60" i="8"/>
  <c r="E59" i="8"/>
  <c r="D61" i="8" l="1"/>
  <c r="E60" i="8"/>
  <c r="S61" i="8"/>
  <c r="T60" i="8"/>
  <c r="S61" i="13"/>
  <c r="T60" i="13"/>
  <c r="S61" i="18"/>
  <c r="T60" i="18"/>
  <c r="S61" i="21"/>
  <c r="T60" i="21"/>
  <c r="I61" i="22"/>
  <c r="J60" i="22"/>
  <c r="N61" i="22"/>
  <c r="O60" i="22"/>
  <c r="S61" i="22"/>
  <c r="T60" i="22"/>
  <c r="S62" i="22" l="1"/>
  <c r="T61" i="22"/>
  <c r="N62" i="22"/>
  <c r="O61" i="22"/>
  <c r="I62" i="22"/>
  <c r="J61" i="22"/>
  <c r="S62" i="21"/>
  <c r="T61" i="21"/>
  <c r="S62" i="18"/>
  <c r="T61" i="18"/>
  <c r="S62" i="13"/>
  <c r="T61" i="13"/>
  <c r="S62" i="8"/>
  <c r="T61" i="8"/>
  <c r="D62" i="8"/>
  <c r="E61" i="8"/>
  <c r="D63" i="8" l="1"/>
  <c r="E62" i="8"/>
  <c r="S63" i="8"/>
  <c r="T62" i="8"/>
  <c r="S63" i="13"/>
  <c r="T62" i="13"/>
  <c r="S63" i="18"/>
  <c r="T62" i="18"/>
  <c r="S63" i="21"/>
  <c r="T62" i="21"/>
  <c r="I63" i="22"/>
  <c r="J62" i="22"/>
  <c r="N63" i="22"/>
  <c r="O62" i="22"/>
  <c r="S63" i="22"/>
  <c r="T62" i="22"/>
  <c r="S64" i="22" l="1"/>
  <c r="T63" i="22"/>
  <c r="N64" i="22"/>
  <c r="O63" i="22"/>
  <c r="I64" i="22"/>
  <c r="J63" i="22"/>
  <c r="S64" i="21"/>
  <c r="T63" i="21"/>
  <c r="S64" i="18"/>
  <c r="T63" i="18"/>
  <c r="S64" i="13"/>
  <c r="T63" i="13"/>
  <c r="S64" i="8"/>
  <c r="T63" i="8"/>
  <c r="D64" i="8"/>
  <c r="E63" i="8"/>
  <c r="D65" i="8" l="1"/>
  <c r="E64" i="8"/>
  <c r="S65" i="8"/>
  <c r="T64" i="8"/>
  <c r="S65" i="13"/>
  <c r="T64" i="13"/>
  <c r="S65" i="18"/>
  <c r="T64" i="18"/>
  <c r="S65" i="21"/>
  <c r="T64" i="21"/>
  <c r="I65" i="22"/>
  <c r="J64" i="22"/>
  <c r="N65" i="22"/>
  <c r="O64" i="22"/>
  <c r="S65" i="22"/>
  <c r="T64" i="22"/>
  <c r="S66" i="22" l="1"/>
  <c r="T65" i="22"/>
  <c r="N66" i="22"/>
  <c r="O65" i="22"/>
  <c r="I66" i="22"/>
  <c r="J65" i="22"/>
  <c r="S66" i="21"/>
  <c r="T65" i="21"/>
  <c r="S66" i="18"/>
  <c r="T65" i="18"/>
  <c r="S66" i="13"/>
  <c r="T65" i="13"/>
  <c r="S66" i="8"/>
  <c r="T65" i="8"/>
  <c r="D66" i="8"/>
  <c r="E65" i="8"/>
  <c r="D67" i="8" l="1"/>
  <c r="E66" i="8"/>
  <c r="S67" i="8"/>
  <c r="T66" i="8"/>
  <c r="S67" i="13"/>
  <c r="T66" i="13"/>
  <c r="S67" i="18"/>
  <c r="T66" i="18"/>
  <c r="S67" i="21"/>
  <c r="T66" i="21"/>
  <c r="I67" i="22"/>
  <c r="J66" i="22"/>
  <c r="N67" i="22"/>
  <c r="O66" i="22"/>
  <c r="S67" i="22"/>
  <c r="T66" i="22"/>
  <c r="S68" i="22" l="1"/>
  <c r="T67" i="22"/>
  <c r="N68" i="22"/>
  <c r="O67" i="22"/>
  <c r="I68" i="22"/>
  <c r="J67" i="22"/>
  <c r="S68" i="21"/>
  <c r="T67" i="21"/>
  <c r="S68" i="18"/>
  <c r="T67" i="18"/>
  <c r="S68" i="13"/>
  <c r="T67" i="13"/>
  <c r="S68" i="8"/>
  <c r="T67" i="8"/>
  <c r="D68" i="8"/>
  <c r="E67" i="8"/>
  <c r="D69" i="8" l="1"/>
  <c r="E68" i="8"/>
  <c r="S69" i="8"/>
  <c r="T68" i="8"/>
  <c r="S69" i="13"/>
  <c r="T68" i="13"/>
  <c r="S69" i="18"/>
  <c r="T68" i="18"/>
  <c r="S69" i="21"/>
  <c r="T68" i="21"/>
  <c r="I69" i="22"/>
  <c r="J68" i="22"/>
  <c r="N69" i="22"/>
  <c r="O68" i="22"/>
  <c r="S69" i="22"/>
  <c r="T68" i="22"/>
  <c r="S70" i="22" l="1"/>
  <c r="T69" i="22"/>
  <c r="N70" i="22"/>
  <c r="O69" i="22"/>
  <c r="I70" i="22"/>
  <c r="J69" i="22"/>
  <c r="S70" i="21"/>
  <c r="T69" i="21"/>
  <c r="S70" i="18"/>
  <c r="T69" i="18"/>
  <c r="S70" i="13"/>
  <c r="T69" i="13"/>
  <c r="S70" i="8"/>
  <c r="T69" i="8"/>
  <c r="D70" i="8"/>
  <c r="E69" i="8"/>
  <c r="D71" i="8" l="1"/>
  <c r="E70" i="8"/>
  <c r="S71" i="8"/>
  <c r="T70" i="8"/>
  <c r="S71" i="13"/>
  <c r="T70" i="13"/>
  <c r="S71" i="18"/>
  <c r="T70" i="18"/>
  <c r="S71" i="21"/>
  <c r="T70" i="21"/>
  <c r="I71" i="22"/>
  <c r="J70" i="22"/>
  <c r="N71" i="22"/>
  <c r="O70" i="22"/>
  <c r="S71" i="22"/>
  <c r="T70" i="22"/>
  <c r="S72" i="22" l="1"/>
  <c r="T71" i="22"/>
  <c r="N72" i="22"/>
  <c r="O71" i="22"/>
  <c r="I72" i="22"/>
  <c r="J71" i="22"/>
  <c r="S72" i="21"/>
  <c r="T71" i="21"/>
  <c r="S72" i="18"/>
  <c r="T71" i="18"/>
  <c r="S72" i="13"/>
  <c r="T71" i="13"/>
  <c r="S72" i="8"/>
  <c r="T71" i="8"/>
  <c r="D72" i="8"/>
  <c r="E71" i="8"/>
  <c r="D73" i="8" l="1"/>
  <c r="E72" i="8"/>
  <c r="S73" i="8"/>
  <c r="T72" i="8"/>
  <c r="S73" i="13"/>
  <c r="T72" i="13"/>
  <c r="S73" i="18"/>
  <c r="T72" i="18"/>
  <c r="S73" i="21"/>
  <c r="T72" i="21"/>
  <c r="I73" i="22"/>
  <c r="J72" i="22"/>
  <c r="N73" i="22"/>
  <c r="O72" i="22"/>
  <c r="S73" i="22"/>
  <c r="T72" i="22"/>
  <c r="S74" i="22" l="1"/>
  <c r="T73" i="22"/>
  <c r="N74" i="22"/>
  <c r="O73" i="22"/>
  <c r="I74" i="22"/>
  <c r="J73" i="22"/>
  <c r="S74" i="21"/>
  <c r="T73" i="21"/>
  <c r="S74" i="18"/>
  <c r="T73" i="18"/>
  <c r="S74" i="13"/>
  <c r="T73" i="13"/>
  <c r="S74" i="8"/>
  <c r="T73" i="8"/>
  <c r="D74" i="8"/>
  <c r="E73" i="8"/>
  <c r="D75" i="8" l="1"/>
  <c r="E74" i="8"/>
  <c r="S75" i="8"/>
  <c r="T74" i="8"/>
  <c r="S75" i="13"/>
  <c r="T74" i="13"/>
  <c r="S75" i="18"/>
  <c r="T74" i="18"/>
  <c r="S75" i="21"/>
  <c r="T74" i="21"/>
  <c r="I75" i="22"/>
  <c r="J74" i="22"/>
  <c r="N75" i="22"/>
  <c r="O74" i="22"/>
  <c r="S75" i="22"/>
  <c r="T74" i="22"/>
  <c r="S76" i="22" l="1"/>
  <c r="T75" i="22"/>
  <c r="N76" i="22"/>
  <c r="O75" i="22"/>
  <c r="I76" i="22"/>
  <c r="J75" i="22"/>
  <c r="S76" i="21"/>
  <c r="T75" i="21"/>
  <c r="S76" i="18"/>
  <c r="T75" i="18"/>
  <c r="S76" i="13"/>
  <c r="T75" i="13"/>
  <c r="S76" i="8"/>
  <c r="T75" i="8"/>
  <c r="D76" i="8"/>
  <c r="E75" i="8"/>
  <c r="D77" i="8" l="1"/>
  <c r="E76" i="8"/>
  <c r="S77" i="8"/>
  <c r="T76" i="8"/>
  <c r="S77" i="13"/>
  <c r="T76" i="13"/>
  <c r="S77" i="18"/>
  <c r="T76" i="18"/>
  <c r="S77" i="21"/>
  <c r="T76" i="21"/>
  <c r="I77" i="22"/>
  <c r="J76" i="22"/>
  <c r="N77" i="22"/>
  <c r="O76" i="22"/>
  <c r="S77" i="22"/>
  <c r="T76" i="22"/>
  <c r="S78" i="22" l="1"/>
  <c r="T77" i="22"/>
  <c r="N78" i="22"/>
  <c r="O77" i="22"/>
  <c r="I78" i="22"/>
  <c r="J77" i="22"/>
  <c r="S78" i="21"/>
  <c r="T77" i="21"/>
  <c r="S78" i="18"/>
  <c r="T77" i="18"/>
  <c r="S78" i="13"/>
  <c r="T77" i="13"/>
  <c r="S78" i="8"/>
  <c r="T77" i="8"/>
  <c r="D78" i="8"/>
  <c r="E77" i="8"/>
  <c r="D79" i="8" l="1"/>
  <c r="E79" i="8" s="1"/>
  <c r="E78" i="8"/>
  <c r="S79" i="8"/>
  <c r="T79" i="8" s="1"/>
  <c r="T78" i="8"/>
  <c r="S79" i="13"/>
  <c r="T79" i="13" s="1"/>
  <c r="T78" i="13"/>
  <c r="S79" i="18"/>
  <c r="T79" i="18" s="1"/>
  <c r="T78" i="18"/>
  <c r="S79" i="21"/>
  <c r="T79" i="21" s="1"/>
  <c r="T78" i="21"/>
  <c r="I79" i="22"/>
  <c r="J79" i="22" s="1"/>
  <c r="J78" i="22"/>
  <c r="N79" i="22"/>
  <c r="O79" i="22" s="1"/>
  <c r="O78" i="22"/>
  <c r="S79" i="22"/>
  <c r="T79" i="22" s="1"/>
  <c r="T78" i="22"/>
  <c r="C8" i="22" l="1" a="1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8" i="22"/>
  <c r="D8" i="22"/>
  <c r="E8" i="22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AA57" i="26"/>
  <c r="BY57" i="26"/>
  <c r="AA133" i="26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H8" i="21" a="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H77" i="21"/>
  <c r="H78" i="21"/>
  <c r="H79" i="21"/>
  <c r="H8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K32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I48" i="21"/>
  <c r="J48" i="21"/>
  <c r="I49" i="21"/>
  <c r="J49" i="21"/>
  <c r="I50" i="21"/>
  <c r="J50" i="21"/>
  <c r="I51" i="21"/>
  <c r="J51" i="21"/>
  <c r="I52" i="21"/>
  <c r="J52" i="21"/>
  <c r="I53" i="21"/>
  <c r="J53" i="21"/>
  <c r="I54" i="21"/>
  <c r="J54" i="21"/>
  <c r="I55" i="21"/>
  <c r="J55" i="21"/>
  <c r="I56" i="21"/>
  <c r="J56" i="21"/>
  <c r="I57" i="21"/>
  <c r="J57" i="21"/>
  <c r="I58" i="21"/>
  <c r="J58" i="21"/>
  <c r="I59" i="21"/>
  <c r="J59" i="21"/>
  <c r="I60" i="21"/>
  <c r="J60" i="21"/>
  <c r="I61" i="21"/>
  <c r="J61" i="21"/>
  <c r="I62" i="21"/>
  <c r="J62" i="21"/>
  <c r="I63" i="21"/>
  <c r="J63" i="21"/>
  <c r="I64" i="21"/>
  <c r="J64" i="21"/>
  <c r="I65" i="21"/>
  <c r="J65" i="21"/>
  <c r="I66" i="21"/>
  <c r="J66" i="21"/>
  <c r="I67" i="21"/>
  <c r="J67" i="21"/>
  <c r="I68" i="21"/>
  <c r="J68" i="21"/>
  <c r="I69" i="21"/>
  <c r="J69" i="21"/>
  <c r="I70" i="21"/>
  <c r="J70" i="21"/>
  <c r="I71" i="21"/>
  <c r="J71" i="21"/>
  <c r="I72" i="21"/>
  <c r="J72" i="21"/>
  <c r="I73" i="21"/>
  <c r="J73" i="21"/>
  <c r="I74" i="21"/>
  <c r="J74" i="21"/>
  <c r="I75" i="21"/>
  <c r="J75" i="21"/>
  <c r="I76" i="21"/>
  <c r="J76" i="21"/>
  <c r="I77" i="21"/>
  <c r="J77" i="21"/>
  <c r="I78" i="21"/>
  <c r="J78" i="21"/>
  <c r="I79" i="21"/>
  <c r="J79" i="21"/>
  <c r="C8" i="21" a="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" i="21"/>
  <c r="D8" i="21"/>
  <c r="E8" i="21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AC58" i="19"/>
  <c r="BY58" i="19"/>
  <c r="AC147" i="19"/>
  <c r="D156" i="19"/>
  <c r="D157" i="19"/>
  <c r="AC193" i="19"/>
  <c r="AC55" i="19"/>
  <c r="H8" i="18" a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" i="18"/>
  <c r="I8" i="18"/>
  <c r="J8" i="18"/>
  <c r="I9" i="18"/>
  <c r="J9" i="18"/>
  <c r="I10" i="18"/>
  <c r="J10" i="18"/>
  <c r="I11" i="18"/>
  <c r="J11" i="18"/>
  <c r="I12" i="18"/>
  <c r="J12" i="18"/>
  <c r="I13" i="18"/>
  <c r="J13" i="18"/>
  <c r="I14" i="18"/>
  <c r="I15" i="18"/>
  <c r="I16" i="18"/>
  <c r="I17" i="18"/>
  <c r="I18" i="18"/>
  <c r="I19" i="18"/>
  <c r="I20" i="18"/>
  <c r="I21" i="18"/>
  <c r="I22" i="18"/>
  <c r="J22" i="18"/>
  <c r="T57" i="20"/>
  <c r="T55" i="20"/>
  <c r="BY57" i="20"/>
  <c r="BY55" i="20"/>
  <c r="T114" i="20"/>
  <c r="T132" i="20"/>
  <c r="J14" i="18"/>
  <c r="J15" i="18"/>
  <c r="J16" i="18"/>
  <c r="J17" i="18"/>
  <c r="J18" i="18"/>
  <c r="J19" i="18"/>
  <c r="J20" i="18"/>
  <c r="J21" i="18"/>
  <c r="I23" i="18"/>
  <c r="J23" i="18"/>
  <c r="I24" i="18"/>
  <c r="J24" i="18"/>
  <c r="I25" i="18"/>
  <c r="J25" i="18"/>
  <c r="I26" i="18"/>
  <c r="J26" i="18"/>
  <c r="I27" i="18"/>
  <c r="J27" i="18"/>
  <c r="I28" i="18"/>
  <c r="J28" i="18"/>
  <c r="I29" i="18"/>
  <c r="J29" i="18"/>
  <c r="I30" i="18"/>
  <c r="J30" i="18"/>
  <c r="I31" i="18"/>
  <c r="J31" i="18"/>
  <c r="I32" i="18"/>
  <c r="J32" i="18"/>
  <c r="I33" i="18"/>
  <c r="J33" i="18"/>
  <c r="I34" i="18"/>
  <c r="J34" i="18"/>
  <c r="I35" i="18"/>
  <c r="J35" i="18"/>
  <c r="I36" i="18"/>
  <c r="J36" i="18"/>
  <c r="I37" i="18"/>
  <c r="J37" i="18"/>
  <c r="I38" i="18"/>
  <c r="J38" i="18"/>
  <c r="I39" i="18"/>
  <c r="J39" i="18"/>
  <c r="I40" i="18"/>
  <c r="J40" i="18"/>
  <c r="I41" i="18"/>
  <c r="J41" i="18"/>
  <c r="I42" i="18"/>
  <c r="J42" i="18"/>
  <c r="I43" i="18"/>
  <c r="J43" i="18"/>
  <c r="I44" i="18"/>
  <c r="J44" i="18"/>
  <c r="I45" i="18"/>
  <c r="J45" i="18"/>
  <c r="I46" i="18"/>
  <c r="J46" i="18"/>
  <c r="I47" i="18"/>
  <c r="J47" i="18"/>
  <c r="I48" i="18"/>
  <c r="J48" i="18"/>
  <c r="I49" i="18"/>
  <c r="J49" i="18"/>
  <c r="I50" i="18"/>
  <c r="J50" i="18"/>
  <c r="I51" i="18"/>
  <c r="J51" i="18"/>
  <c r="I52" i="18"/>
  <c r="J52" i="18"/>
  <c r="I53" i="18"/>
  <c r="J53" i="18"/>
  <c r="I54" i="18"/>
  <c r="J54" i="18"/>
  <c r="I55" i="18"/>
  <c r="J55" i="18"/>
  <c r="I56" i="18"/>
  <c r="J56" i="18"/>
  <c r="I57" i="18"/>
  <c r="J57" i="18"/>
  <c r="I58" i="18"/>
  <c r="J58" i="18"/>
  <c r="I59" i="18"/>
  <c r="J59" i="18"/>
  <c r="I60" i="18"/>
  <c r="J60" i="18"/>
  <c r="I61" i="18"/>
  <c r="J61" i="18"/>
  <c r="I62" i="18"/>
  <c r="J62" i="18"/>
  <c r="I63" i="18"/>
  <c r="J63" i="18"/>
  <c r="I64" i="18"/>
  <c r="J64" i="18"/>
  <c r="I65" i="18"/>
  <c r="J65" i="18"/>
  <c r="I66" i="18"/>
  <c r="J66" i="18"/>
  <c r="I67" i="18"/>
  <c r="J67" i="18"/>
  <c r="I68" i="18"/>
  <c r="J68" i="18"/>
  <c r="I69" i="18"/>
  <c r="J69" i="18"/>
  <c r="I70" i="18"/>
  <c r="J70" i="18"/>
  <c r="I71" i="18"/>
  <c r="J71" i="18"/>
  <c r="I72" i="18"/>
  <c r="J72" i="18"/>
  <c r="I73" i="18"/>
  <c r="J73" i="18"/>
  <c r="I74" i="18"/>
  <c r="J74" i="18"/>
  <c r="I75" i="18"/>
  <c r="J75" i="18"/>
  <c r="I76" i="18"/>
  <c r="J76" i="18"/>
  <c r="I77" i="18"/>
  <c r="J77" i="18"/>
  <c r="I78" i="18"/>
  <c r="J78" i="18"/>
  <c r="I79" i="18"/>
  <c r="J79" i="18"/>
  <c r="C8" i="18" a="1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" i="18"/>
  <c r="D8" i="18"/>
  <c r="E8" i="18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AA56" i="17"/>
  <c r="BY56" i="17"/>
  <c r="AA115" i="17"/>
  <c r="BY55" i="17"/>
  <c r="AA55" i="17"/>
  <c r="AA57" i="16"/>
  <c r="BY57" i="16"/>
  <c r="AA133" i="16"/>
  <c r="T55" i="14"/>
  <c r="BY55" i="14"/>
  <c r="T112" i="14"/>
  <c r="T130" i="14"/>
  <c r="BY53" i="14"/>
  <c r="T53" i="14"/>
  <c r="H8" i="13" a="1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" i="13"/>
  <c r="I8" i="13"/>
  <c r="J8" i="13"/>
  <c r="I9" i="13"/>
  <c r="J9" i="13"/>
  <c r="I10" i="13"/>
  <c r="J10" i="13"/>
  <c r="I11" i="13"/>
  <c r="J11" i="13"/>
  <c r="I12" i="13"/>
  <c r="J12" i="13"/>
  <c r="I13" i="13"/>
  <c r="J13" i="13"/>
  <c r="I14" i="13"/>
  <c r="J14" i="13"/>
  <c r="I15" i="13"/>
  <c r="J15" i="13"/>
  <c r="I16" i="13"/>
  <c r="J16" i="13"/>
  <c r="I17" i="13"/>
  <c r="J17" i="13"/>
  <c r="I18" i="13"/>
  <c r="J18" i="13"/>
  <c r="I19" i="13"/>
  <c r="J19" i="13"/>
  <c r="I20" i="13"/>
  <c r="J20" i="13"/>
  <c r="I21" i="13"/>
  <c r="J21" i="13"/>
  <c r="I22" i="13"/>
  <c r="J22" i="13"/>
  <c r="I23" i="13"/>
  <c r="J23" i="13"/>
  <c r="I24" i="13"/>
  <c r="J24" i="13"/>
  <c r="I25" i="13"/>
  <c r="J25" i="13"/>
  <c r="I26" i="13"/>
  <c r="J26" i="13"/>
  <c r="I27" i="13"/>
  <c r="J27" i="13"/>
  <c r="I28" i="13"/>
  <c r="J28" i="13"/>
  <c r="I29" i="13"/>
  <c r="J29" i="13"/>
  <c r="I30" i="13"/>
  <c r="J30" i="13"/>
  <c r="I31" i="13"/>
  <c r="J31" i="13"/>
  <c r="I32" i="13"/>
  <c r="J32" i="13"/>
  <c r="I33" i="13"/>
  <c r="J33" i="13"/>
  <c r="I34" i="13"/>
  <c r="J34" i="13"/>
  <c r="I35" i="13"/>
  <c r="J35" i="13"/>
  <c r="I36" i="13"/>
  <c r="J36" i="13"/>
  <c r="I37" i="13"/>
  <c r="J37" i="13"/>
  <c r="I38" i="13"/>
  <c r="J38" i="13"/>
  <c r="I39" i="13"/>
  <c r="J39" i="13"/>
  <c r="I40" i="13"/>
  <c r="J40" i="13"/>
  <c r="I41" i="13"/>
  <c r="J41" i="13"/>
  <c r="I42" i="13"/>
  <c r="J42" i="13"/>
  <c r="I43" i="13"/>
  <c r="J43" i="13"/>
  <c r="I44" i="13"/>
  <c r="J44" i="13"/>
  <c r="I45" i="13"/>
  <c r="J45" i="13"/>
  <c r="I46" i="13"/>
  <c r="J46" i="13"/>
  <c r="I47" i="13"/>
  <c r="J47" i="13"/>
  <c r="I48" i="13"/>
  <c r="J48" i="13"/>
  <c r="I49" i="13"/>
  <c r="J49" i="13"/>
  <c r="I50" i="13"/>
  <c r="J50" i="13"/>
  <c r="I51" i="13"/>
  <c r="J51" i="13"/>
  <c r="I52" i="13"/>
  <c r="J52" i="13"/>
  <c r="I53" i="13"/>
  <c r="J53" i="13"/>
  <c r="I54" i="13"/>
  <c r="J54" i="13"/>
  <c r="I55" i="13"/>
  <c r="J55" i="13"/>
  <c r="I56" i="13"/>
  <c r="J56" i="13"/>
  <c r="I57" i="13"/>
  <c r="J57" i="13"/>
  <c r="I58" i="13"/>
  <c r="J58" i="13"/>
  <c r="I59" i="13"/>
  <c r="J59" i="13"/>
  <c r="I60" i="13"/>
  <c r="J60" i="13"/>
  <c r="I61" i="13"/>
  <c r="J61" i="13"/>
  <c r="I62" i="13"/>
  <c r="J62" i="13"/>
  <c r="I63" i="13"/>
  <c r="J63" i="13"/>
  <c r="I64" i="13"/>
  <c r="J64" i="13"/>
  <c r="I65" i="13"/>
  <c r="J65" i="13"/>
  <c r="I66" i="13"/>
  <c r="J66" i="13"/>
  <c r="I67" i="13"/>
  <c r="J67" i="13"/>
  <c r="I68" i="13"/>
  <c r="J68" i="13"/>
  <c r="I69" i="13"/>
  <c r="J69" i="13"/>
  <c r="I70" i="13"/>
  <c r="J70" i="13"/>
  <c r="I71" i="13"/>
  <c r="J71" i="13"/>
  <c r="I72" i="13"/>
  <c r="J72" i="13"/>
  <c r="I73" i="13"/>
  <c r="J73" i="13"/>
  <c r="I74" i="13"/>
  <c r="J74" i="13"/>
  <c r="I75" i="13"/>
  <c r="J75" i="13"/>
  <c r="I76" i="13"/>
  <c r="J76" i="13"/>
  <c r="I77" i="13"/>
  <c r="J77" i="13"/>
  <c r="I78" i="13"/>
  <c r="J78" i="13"/>
  <c r="I79" i="13"/>
  <c r="J79" i="13"/>
  <c r="C8" i="13" a="1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" i="13"/>
  <c r="D8" i="13"/>
  <c r="E8" i="13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T55" i="12"/>
  <c r="T128" i="12" s="1"/>
  <c r="BY55" i="12"/>
  <c r="BY53" i="12" s="1"/>
  <c r="BZ17" i="12" s="1"/>
  <c r="H8" i="8" a="1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" i="8"/>
  <c r="I8" i="8"/>
  <c r="J8" i="8"/>
  <c r="I9" i="8"/>
  <c r="J9" i="8"/>
  <c r="I10" i="8"/>
  <c r="J10" i="8"/>
  <c r="I11" i="8"/>
  <c r="J11" i="8"/>
  <c r="I12" i="8"/>
  <c r="J12" i="8"/>
  <c r="I13" i="8"/>
  <c r="J13" i="8"/>
  <c r="I14" i="8"/>
  <c r="J14" i="8"/>
  <c r="I15" i="8"/>
  <c r="J15" i="8"/>
  <c r="I16" i="8"/>
  <c r="J16" i="8"/>
  <c r="I17" i="8"/>
  <c r="J17" i="8"/>
  <c r="I18" i="8"/>
  <c r="J18" i="8"/>
  <c r="I19" i="8"/>
  <c r="J19" i="8"/>
  <c r="I20" i="8"/>
  <c r="J20" i="8"/>
  <c r="I21" i="8"/>
  <c r="J21" i="8"/>
  <c r="I22" i="8"/>
  <c r="J22" i="8"/>
  <c r="I23" i="8"/>
  <c r="J23" i="8"/>
  <c r="I24" i="8"/>
  <c r="J24" i="8"/>
  <c r="I25" i="8"/>
  <c r="J25" i="8"/>
  <c r="I26" i="8"/>
  <c r="J26" i="8"/>
  <c r="I27" i="8"/>
  <c r="J27" i="8"/>
  <c r="I28" i="8"/>
  <c r="J28" i="8"/>
  <c r="I29" i="8"/>
  <c r="J29" i="8"/>
  <c r="I30" i="8"/>
  <c r="J30" i="8"/>
  <c r="I31" i="8"/>
  <c r="J31" i="8"/>
  <c r="I32" i="8"/>
  <c r="J32" i="8"/>
  <c r="I33" i="8"/>
  <c r="J33" i="8"/>
  <c r="I34" i="8"/>
  <c r="J34" i="8"/>
  <c r="I35" i="8"/>
  <c r="J35" i="8"/>
  <c r="I36" i="8"/>
  <c r="J36" i="8"/>
  <c r="I37" i="8"/>
  <c r="J37" i="8"/>
  <c r="I38" i="8"/>
  <c r="J38" i="8"/>
  <c r="I39" i="8"/>
  <c r="J39" i="8"/>
  <c r="I40" i="8"/>
  <c r="J40" i="8"/>
  <c r="I41" i="8"/>
  <c r="J41" i="8"/>
  <c r="I42" i="8"/>
  <c r="J42" i="8"/>
  <c r="I43" i="8"/>
  <c r="J43" i="8"/>
  <c r="I44" i="8"/>
  <c r="J44" i="8"/>
  <c r="I45" i="8"/>
  <c r="J45" i="8"/>
  <c r="I46" i="8"/>
  <c r="J46" i="8"/>
  <c r="I47" i="8"/>
  <c r="J47" i="8"/>
  <c r="I48" i="8"/>
  <c r="J48" i="8"/>
  <c r="I49" i="8"/>
  <c r="J49" i="8"/>
  <c r="I50" i="8"/>
  <c r="J50" i="8"/>
  <c r="I51" i="8"/>
  <c r="J51" i="8"/>
  <c r="I52" i="8"/>
  <c r="J52" i="8"/>
  <c r="I53" i="8"/>
  <c r="J53" i="8"/>
  <c r="I54" i="8"/>
  <c r="J54" i="8"/>
  <c r="I55" i="8"/>
  <c r="J55" i="8"/>
  <c r="I56" i="8"/>
  <c r="J56" i="8"/>
  <c r="I57" i="8"/>
  <c r="J57" i="8"/>
  <c r="I58" i="8"/>
  <c r="J58" i="8"/>
  <c r="I59" i="8"/>
  <c r="J59" i="8"/>
  <c r="I60" i="8"/>
  <c r="J60" i="8"/>
  <c r="I61" i="8"/>
  <c r="J61" i="8"/>
  <c r="I62" i="8"/>
  <c r="J62" i="8"/>
  <c r="I63" i="8"/>
  <c r="J63" i="8"/>
  <c r="I64" i="8"/>
  <c r="J64" i="8"/>
  <c r="I65" i="8"/>
  <c r="J65" i="8"/>
  <c r="I66" i="8"/>
  <c r="J66" i="8"/>
  <c r="I67" i="8"/>
  <c r="J67" i="8"/>
  <c r="I68" i="8"/>
  <c r="J68" i="8"/>
  <c r="I69" i="8"/>
  <c r="J69" i="8"/>
  <c r="I70" i="8"/>
  <c r="J70" i="8"/>
  <c r="I71" i="8"/>
  <c r="J71" i="8"/>
  <c r="I72" i="8"/>
  <c r="J72" i="8"/>
  <c r="I73" i="8"/>
  <c r="J73" i="8"/>
  <c r="I74" i="8"/>
  <c r="J74" i="8"/>
  <c r="I75" i="8"/>
  <c r="J75" i="8"/>
  <c r="I76" i="8"/>
  <c r="J76" i="8"/>
  <c r="I77" i="8"/>
  <c r="J77" i="8"/>
  <c r="I78" i="8"/>
  <c r="J78" i="8"/>
  <c r="I79" i="8"/>
  <c r="J79" i="8"/>
  <c r="AB57" i="7"/>
  <c r="BY57" i="7"/>
  <c r="AB138" i="7"/>
  <c r="AF57" i="6"/>
  <c r="BY57" i="6"/>
  <c r="AF133" i="6"/>
  <c r="AA98" i="17"/>
  <c r="AC98" i="19"/>
  <c r="BY55" i="19"/>
  <c r="BZ17" i="19"/>
  <c r="BY90" i="19" s="1"/>
  <c r="T98" i="20"/>
  <c r="T96" i="14"/>
  <c r="AF115" i="6"/>
  <c r="M32" i="5"/>
  <c r="M33" i="5"/>
  <c r="AF55" i="6"/>
  <c r="AF98" i="6"/>
  <c r="AF100" i="6" s="1"/>
  <c r="AF101" i="6" s="1"/>
  <c r="AG101" i="6" s="1"/>
  <c r="BY55" i="6"/>
  <c r="AF136" i="6"/>
  <c r="BY55" i="7"/>
  <c r="AB55" i="7"/>
  <c r="AB98" i="7"/>
  <c r="AB141" i="7"/>
  <c r="AB142" i="7"/>
  <c r="AC142" i="7"/>
  <c r="AD142" i="7"/>
  <c r="AE142" i="7"/>
  <c r="AB100" i="7"/>
  <c r="AB101" i="7" s="1"/>
  <c r="AC101" i="7" s="1"/>
  <c r="AD101" i="7" s="1"/>
  <c r="AE101" i="7" s="1"/>
  <c r="AF101" i="7" s="1"/>
  <c r="AG101" i="7" s="1"/>
  <c r="AH101" i="7" s="1"/>
  <c r="AI101" i="7" s="1"/>
  <c r="AJ101" i="7" s="1"/>
  <c r="AK101" i="7" s="1"/>
  <c r="AL101" i="7" s="1"/>
  <c r="AM101" i="7" s="1"/>
  <c r="AN101" i="7" s="1"/>
  <c r="AO101" i="7" s="1"/>
  <c r="AP101" i="7" s="1"/>
  <c r="AQ101" i="7" s="1"/>
  <c r="AR101" i="7" s="1"/>
  <c r="AS101" i="7" s="1"/>
  <c r="AT101" i="7" s="1"/>
  <c r="AU101" i="7" s="1"/>
  <c r="AV101" i="7" s="1"/>
  <c r="AW101" i="7" s="1"/>
  <c r="AX101" i="7" s="1"/>
  <c r="AY101" i="7" s="1"/>
  <c r="AZ101" i="7" s="1"/>
  <c r="BA101" i="7" s="1"/>
  <c r="BB101" i="7" s="1"/>
  <c r="BC101" i="7" s="1"/>
  <c r="BD101" i="7" s="1"/>
  <c r="BE101" i="7" s="1"/>
  <c r="BF101" i="7" s="1"/>
  <c r="BG101" i="7" s="1"/>
  <c r="BH101" i="7" s="1"/>
  <c r="BI101" i="7" s="1"/>
  <c r="BJ101" i="7" s="1"/>
  <c r="BK101" i="7" s="1"/>
  <c r="BL101" i="7" s="1"/>
  <c r="BM101" i="7" s="1"/>
  <c r="BN101" i="7" s="1"/>
  <c r="BO101" i="7" s="1"/>
  <c r="BP101" i="7" s="1"/>
  <c r="BQ101" i="7" s="1"/>
  <c r="BR101" i="7" s="1"/>
  <c r="BS101" i="7" s="1"/>
  <c r="BT101" i="7" s="1"/>
  <c r="BU101" i="7" s="1"/>
  <c r="BV101" i="7" s="1"/>
  <c r="BW101" i="7" s="1"/>
  <c r="BX101" i="7" s="1"/>
  <c r="T97" i="14"/>
  <c r="T98" i="14" s="1"/>
  <c r="AA115" i="16"/>
  <c r="AA55" i="16"/>
  <c r="AA98" i="16"/>
  <c r="AA100" i="16" s="1"/>
  <c r="AA101" i="16" s="1"/>
  <c r="AA116" i="16" s="1"/>
  <c r="D124" i="16"/>
  <c r="D125" i="16" s="1"/>
  <c r="BY55" i="16"/>
  <c r="AC196" i="19"/>
  <c r="AC99" i="19"/>
  <c r="AC100" i="19"/>
  <c r="AD100" i="19" s="1"/>
  <c r="AE100" i="19" s="1"/>
  <c r="AF100" i="19" s="1"/>
  <c r="AG100" i="19" s="1"/>
  <c r="AH100" i="19" s="1"/>
  <c r="AI100" i="19" s="1"/>
  <c r="AJ100" i="19" s="1"/>
  <c r="AK100" i="19" s="1"/>
  <c r="AL100" i="19" s="1"/>
  <c r="AM100" i="19" s="1"/>
  <c r="AN100" i="19" s="1"/>
  <c r="AO100" i="19" s="1"/>
  <c r="AP100" i="19" s="1"/>
  <c r="AQ100" i="19" s="1"/>
  <c r="AR100" i="19" s="1"/>
  <c r="AS100" i="19" s="1"/>
  <c r="AT100" i="19" s="1"/>
  <c r="AU100" i="19" s="1"/>
  <c r="AV100" i="19" s="1"/>
  <c r="AW100" i="19" s="1"/>
  <c r="AX100" i="19" s="1"/>
  <c r="AY100" i="19" s="1"/>
  <c r="AZ100" i="19" s="1"/>
  <c r="BA100" i="19" s="1"/>
  <c r="BB100" i="19" s="1"/>
  <c r="BC100" i="19" s="1"/>
  <c r="BD100" i="19" s="1"/>
  <c r="BE100" i="19" s="1"/>
  <c r="BF100" i="19" s="1"/>
  <c r="BG100" i="19" s="1"/>
  <c r="BH100" i="19" s="1"/>
  <c r="BI100" i="19" s="1"/>
  <c r="BJ100" i="19" s="1"/>
  <c r="BK100" i="19" s="1"/>
  <c r="BL100" i="19" s="1"/>
  <c r="BM100" i="19" s="1"/>
  <c r="BN100" i="19" s="1"/>
  <c r="BO100" i="19" s="1"/>
  <c r="BP100" i="19" s="1"/>
  <c r="BQ100" i="19" s="1"/>
  <c r="BR100" i="19" s="1"/>
  <c r="BS100" i="19" s="1"/>
  <c r="BT100" i="19" s="1"/>
  <c r="BU100" i="19" s="1"/>
  <c r="BV100" i="19" s="1"/>
  <c r="BW100" i="19" s="1"/>
  <c r="BX100" i="19" s="1"/>
  <c r="AC197" i="19"/>
  <c r="AD197" i="19"/>
  <c r="AE197" i="19"/>
  <c r="AF197" i="19"/>
  <c r="AG197" i="19"/>
  <c r="AH197" i="19"/>
  <c r="AI197" i="19"/>
  <c r="AJ197" i="19"/>
  <c r="AK197" i="19"/>
  <c r="AL197" i="19"/>
  <c r="AM197" i="19"/>
  <c r="AN197" i="19"/>
  <c r="AO197" i="19"/>
  <c r="AP197" i="19"/>
  <c r="AQ197" i="19"/>
  <c r="AR197" i="19"/>
  <c r="AS197" i="19"/>
  <c r="AT197" i="19"/>
  <c r="AU197" i="19"/>
  <c r="AV197" i="19"/>
  <c r="AW197" i="19"/>
  <c r="AX197" i="19"/>
  <c r="AY197" i="19"/>
  <c r="AZ197" i="19"/>
  <c r="BA197" i="19"/>
  <c r="BB197" i="19"/>
  <c r="BC197" i="19"/>
  <c r="BD197" i="19"/>
  <c r="BE197" i="19"/>
  <c r="BF197" i="19"/>
  <c r="BG197" i="19"/>
  <c r="BH197" i="19"/>
  <c r="BI197" i="19"/>
  <c r="BJ197" i="19"/>
  <c r="BK197" i="19"/>
  <c r="BL197" i="19"/>
  <c r="BM197" i="19"/>
  <c r="BN197" i="19"/>
  <c r="BO197" i="19"/>
  <c r="BP197" i="19"/>
  <c r="BQ197" i="19"/>
  <c r="BR197" i="19"/>
  <c r="BS197" i="19"/>
  <c r="BT197" i="19"/>
  <c r="BU197" i="19"/>
  <c r="BV197" i="19"/>
  <c r="BW197" i="19"/>
  <c r="D199" i="19"/>
  <c r="D201" i="19"/>
  <c r="T99" i="20"/>
  <c r="T100" i="20" s="1"/>
  <c r="T133" i="20" s="1"/>
  <c r="T135" i="20" s="1"/>
  <c r="U100" i="20"/>
  <c r="V100" i="20"/>
  <c r="W100" i="20" s="1"/>
  <c r="X100" i="20" s="1"/>
  <c r="Y100" i="20" s="1"/>
  <c r="Z100" i="20" s="1"/>
  <c r="AA100" i="20" s="1"/>
  <c r="AB100" i="20" s="1"/>
  <c r="AC100" i="20" s="1"/>
  <c r="AD100" i="20"/>
  <c r="AE100" i="20" s="1"/>
  <c r="AF100" i="20" s="1"/>
  <c r="AG100" i="20" s="1"/>
  <c r="AH100" i="20" s="1"/>
  <c r="AI100" i="20" s="1"/>
  <c r="AJ100" i="20" s="1"/>
  <c r="AK100" i="20" s="1"/>
  <c r="AL100" i="20" s="1"/>
  <c r="AM100" i="20" s="1"/>
  <c r="AN100" i="20" s="1"/>
  <c r="AO100" i="20" s="1"/>
  <c r="AP100" i="20" s="1"/>
  <c r="AQ100" i="20" s="1"/>
  <c r="AR100" i="20" s="1"/>
  <c r="AS100" i="20" s="1"/>
  <c r="AT100" i="20"/>
  <c r="AU100" i="20" s="1"/>
  <c r="AV100" i="20" s="1"/>
  <c r="AW100" i="20" s="1"/>
  <c r="AX100" i="20" s="1"/>
  <c r="AY100" i="20" s="1"/>
  <c r="AZ100" i="20" s="1"/>
  <c r="BA100" i="20" s="1"/>
  <c r="BB100" i="20" s="1"/>
  <c r="BC100" i="20" s="1"/>
  <c r="BD100" i="20" s="1"/>
  <c r="BE100" i="20" s="1"/>
  <c r="BF100" i="20" s="1"/>
  <c r="BG100" i="20" s="1"/>
  <c r="BH100" i="20" s="1"/>
  <c r="BI100" i="20" s="1"/>
  <c r="BJ100" i="20" s="1"/>
  <c r="BK100" i="20" s="1"/>
  <c r="BL100" i="20" s="1"/>
  <c r="BM100" i="20" s="1"/>
  <c r="BN100" i="20" s="1"/>
  <c r="BO100" i="20" s="1"/>
  <c r="BP100" i="20" s="1"/>
  <c r="BQ100" i="20" s="1"/>
  <c r="BR100" i="20" s="1"/>
  <c r="BS100" i="20" s="1"/>
  <c r="BT100" i="20" s="1"/>
  <c r="BU100" i="20" s="1"/>
  <c r="BV100" i="20" s="1"/>
  <c r="BW100" i="20" s="1"/>
  <c r="BX100" i="20" s="1"/>
  <c r="AA115" i="26"/>
  <c r="AA55" i="26"/>
  <c r="AA98" i="26"/>
  <c r="AA100" i="26"/>
  <c r="AA101" i="26" s="1"/>
  <c r="CF8" i="26" s="1"/>
  <c r="BY55" i="26"/>
  <c r="AA136" i="26"/>
  <c r="T117" i="20"/>
  <c r="T118" i="20" s="1"/>
  <c r="D123" i="20" s="1"/>
  <c r="D124" i="20" s="1"/>
  <c r="D119" i="20"/>
  <c r="AC150" i="19"/>
  <c r="AC151" i="19"/>
  <c r="AD151" i="19"/>
  <c r="AE151" i="19"/>
  <c r="AF151" i="19"/>
  <c r="AG151" i="19"/>
  <c r="AH151" i="19"/>
  <c r="AI151" i="19"/>
  <c r="AJ151" i="19"/>
  <c r="AK151" i="19"/>
  <c r="AL151" i="19"/>
  <c r="AM151" i="19"/>
  <c r="AN151" i="19"/>
  <c r="AO151" i="19"/>
  <c r="AP151" i="19"/>
  <c r="AQ151" i="19"/>
  <c r="AR151" i="19"/>
  <c r="AS151" i="19"/>
  <c r="AT151" i="19"/>
  <c r="AU151" i="19"/>
  <c r="AV151" i="19"/>
  <c r="AW151" i="19"/>
  <c r="AX151" i="19"/>
  <c r="AY151" i="19"/>
  <c r="AZ151" i="19"/>
  <c r="BA151" i="19"/>
  <c r="BB151" i="19"/>
  <c r="BC151" i="19"/>
  <c r="BD151" i="19"/>
  <c r="BE151" i="19"/>
  <c r="BF151" i="19"/>
  <c r="BG151" i="19"/>
  <c r="BH151" i="19"/>
  <c r="BI151" i="19"/>
  <c r="BJ151" i="19"/>
  <c r="BK151" i="19"/>
  <c r="BL151" i="19"/>
  <c r="BM151" i="19"/>
  <c r="BN151" i="19"/>
  <c r="BO151" i="19"/>
  <c r="BP151" i="19"/>
  <c r="BQ151" i="19"/>
  <c r="BR151" i="19"/>
  <c r="BS151" i="19"/>
  <c r="BT151" i="19"/>
  <c r="BU151" i="19"/>
  <c r="BV151" i="19"/>
  <c r="BW151" i="19"/>
  <c r="D152" i="19"/>
  <c r="AA119" i="17"/>
  <c r="AA136" i="16"/>
  <c r="AA119" i="16"/>
  <c r="D120" i="16" s="1"/>
  <c r="BZ17" i="14"/>
  <c r="BY88" i="14" s="1"/>
  <c r="BZ17" i="20"/>
  <c r="BY90" i="20" s="1"/>
  <c r="BY99" i="20" s="1"/>
  <c r="BZ17" i="7"/>
  <c r="BY90" i="7"/>
  <c r="BY98" i="19"/>
  <c r="BZ17" i="6"/>
  <c r="BY90" i="6"/>
  <c r="BY100" i="6" s="1"/>
  <c r="BZ17" i="16"/>
  <c r="BY90" i="16"/>
  <c r="BZ17" i="17"/>
  <c r="BY90" i="17" s="1"/>
  <c r="BZ17" i="26"/>
  <c r="BY90" i="26" s="1"/>
  <c r="AB99" i="7"/>
  <c r="AC99" i="7"/>
  <c r="AD99" i="7" s="1"/>
  <c r="AE99" i="7"/>
  <c r="AF99" i="7" s="1"/>
  <c r="AH101" i="6"/>
  <c r="AI101" i="6"/>
  <c r="AJ101" i="6" s="1"/>
  <c r="AK101" i="6" s="1"/>
  <c r="AL101" i="6" s="1"/>
  <c r="AM101" i="6" s="1"/>
  <c r="AN101" i="6" s="1"/>
  <c r="AO101" i="6" s="1"/>
  <c r="AP101" i="6" s="1"/>
  <c r="AQ101" i="6" s="1"/>
  <c r="AR101" i="6" s="1"/>
  <c r="AS101" i="6" s="1"/>
  <c r="AT101" i="6" s="1"/>
  <c r="AU101" i="6" s="1"/>
  <c r="AV101" i="6" s="1"/>
  <c r="AW101" i="6" s="1"/>
  <c r="AX101" i="6" s="1"/>
  <c r="AY101" i="6" s="1"/>
  <c r="AZ101" i="6" s="1"/>
  <c r="BA101" i="6" s="1"/>
  <c r="BB101" i="6" s="1"/>
  <c r="BC101" i="6" s="1"/>
  <c r="BD101" i="6" s="1"/>
  <c r="BE101" i="6" s="1"/>
  <c r="BF101" i="6" s="1"/>
  <c r="BG101" i="6" s="1"/>
  <c r="BH101" i="6" s="1"/>
  <c r="BI101" i="6" s="1"/>
  <c r="BJ101" i="6" s="1"/>
  <c r="BK101" i="6" s="1"/>
  <c r="BL101" i="6" s="1"/>
  <c r="BM101" i="6" s="1"/>
  <c r="BN101" i="6" s="1"/>
  <c r="BO101" i="6" s="1"/>
  <c r="BP101" i="6" s="1"/>
  <c r="BQ101" i="6" s="1"/>
  <c r="BR101" i="6" s="1"/>
  <c r="BS101" i="6" s="1"/>
  <c r="BT101" i="6" s="1"/>
  <c r="BU101" i="6" s="1"/>
  <c r="BV101" i="6" s="1"/>
  <c r="BW101" i="6" s="1"/>
  <c r="BX101" i="6" s="1"/>
  <c r="AB101" i="16"/>
  <c r="AC101" i="16" s="1"/>
  <c r="AD101" i="16" s="1"/>
  <c r="AE101" i="16" s="1"/>
  <c r="AF101" i="16" s="1"/>
  <c r="AG101" i="16" s="1"/>
  <c r="AH101" i="16" s="1"/>
  <c r="AI101" i="16" s="1"/>
  <c r="AJ101" i="16" s="1"/>
  <c r="AK101" i="16" s="1"/>
  <c r="AL101" i="16" s="1"/>
  <c r="AM101" i="16" s="1"/>
  <c r="AN101" i="16" s="1"/>
  <c r="AO101" i="16" s="1"/>
  <c r="AP101" i="16" s="1"/>
  <c r="AQ101" i="16" s="1"/>
  <c r="AR101" i="16" s="1"/>
  <c r="AS101" i="16" s="1"/>
  <c r="AT101" i="16" s="1"/>
  <c r="AU101" i="16" s="1"/>
  <c r="AV101" i="16" s="1"/>
  <c r="AW101" i="16" s="1"/>
  <c r="AX101" i="16" s="1"/>
  <c r="AY101" i="16" s="1"/>
  <c r="AZ101" i="16" s="1"/>
  <c r="BA101" i="16" s="1"/>
  <c r="BB101" i="16" s="1"/>
  <c r="BC101" i="16" s="1"/>
  <c r="BD101" i="16" s="1"/>
  <c r="BE101" i="16" s="1"/>
  <c r="BF101" i="16" s="1"/>
  <c r="BG101" i="16" s="1"/>
  <c r="BH101" i="16" s="1"/>
  <c r="BI101" i="16" s="1"/>
  <c r="BJ101" i="16" s="1"/>
  <c r="BK101" i="16" s="1"/>
  <c r="BL101" i="16" s="1"/>
  <c r="BM101" i="16" s="1"/>
  <c r="BN101" i="16" s="1"/>
  <c r="BO101" i="16" s="1"/>
  <c r="BP101" i="16" s="1"/>
  <c r="BQ101" i="16" s="1"/>
  <c r="BR101" i="16" s="1"/>
  <c r="BS101" i="16" s="1"/>
  <c r="BT101" i="16" s="1"/>
  <c r="BU101" i="16" s="1"/>
  <c r="BV101" i="16" s="1"/>
  <c r="BW101" i="16" s="1"/>
  <c r="BX101" i="16" s="1"/>
  <c r="AA100" i="17"/>
  <c r="AA101" i="17" s="1"/>
  <c r="AB101" i="17" s="1"/>
  <c r="AC101" i="17" s="1"/>
  <c r="AD101" i="17" s="1"/>
  <c r="AE101" i="17" s="1"/>
  <c r="AF101" i="17" s="1"/>
  <c r="AG101" i="17"/>
  <c r="AH101" i="17" s="1"/>
  <c r="AI101" i="17" s="1"/>
  <c r="AJ101" i="17" s="1"/>
  <c r="AK101" i="17" s="1"/>
  <c r="AL101" i="17" s="1"/>
  <c r="AM101" i="17" s="1"/>
  <c r="AN101" i="17" s="1"/>
  <c r="AO101" i="17" s="1"/>
  <c r="AP101" i="17" s="1"/>
  <c r="AQ101" i="17" s="1"/>
  <c r="AR101" i="17" s="1"/>
  <c r="AS101" i="17" s="1"/>
  <c r="AT101" i="17" s="1"/>
  <c r="AU101" i="17" s="1"/>
  <c r="AV101" i="17" s="1"/>
  <c r="AW101" i="17" s="1"/>
  <c r="AX101" i="17" s="1"/>
  <c r="AY101" i="17" s="1"/>
  <c r="AZ101" i="17" s="1"/>
  <c r="BA101" i="17" s="1"/>
  <c r="BB101" i="17" s="1"/>
  <c r="BC101" i="17" s="1"/>
  <c r="BD101" i="17" s="1"/>
  <c r="BE101" i="17" s="1"/>
  <c r="BF101" i="17" s="1"/>
  <c r="BG101" i="17" s="1"/>
  <c r="BH101" i="17" s="1"/>
  <c r="BI101" i="17" s="1"/>
  <c r="BJ101" i="17" s="1"/>
  <c r="BK101" i="17" s="1"/>
  <c r="BL101" i="17" s="1"/>
  <c r="BM101" i="17" s="1"/>
  <c r="BN101" i="17" s="1"/>
  <c r="BO101" i="17" s="1"/>
  <c r="BP101" i="17" s="1"/>
  <c r="BQ101" i="17" s="1"/>
  <c r="BR101" i="17" s="1"/>
  <c r="BS101" i="17" s="1"/>
  <c r="BT101" i="17" s="1"/>
  <c r="BU101" i="17" s="1"/>
  <c r="BV101" i="17" s="1"/>
  <c r="BW101" i="17" s="1"/>
  <c r="BX101" i="17" s="1"/>
  <c r="AC117" i="19"/>
  <c r="AC118" i="19" s="1"/>
  <c r="D123" i="19"/>
  <c r="D124" i="19"/>
  <c r="BZ101" i="20"/>
  <c r="AB101" i="26"/>
  <c r="AC101" i="26"/>
  <c r="AD101" i="26" s="1"/>
  <c r="AE101" i="26" s="1"/>
  <c r="AF101" i="26" s="1"/>
  <c r="AG101" i="26" s="1"/>
  <c r="AH101" i="26" s="1"/>
  <c r="AI101" i="26" s="1"/>
  <c r="AJ101" i="26" s="1"/>
  <c r="AK101" i="26" s="1"/>
  <c r="AL101" i="26" s="1"/>
  <c r="AM101" i="26" s="1"/>
  <c r="AN101" i="26" s="1"/>
  <c r="AO101" i="26" s="1"/>
  <c r="AP101" i="26" s="1"/>
  <c r="AQ101" i="26" s="1"/>
  <c r="AR101" i="26" s="1"/>
  <c r="AS101" i="26" s="1"/>
  <c r="AT101" i="26" s="1"/>
  <c r="AU101" i="26" s="1"/>
  <c r="AV101" i="26" s="1"/>
  <c r="AW101" i="26" s="1"/>
  <c r="AX101" i="26" s="1"/>
  <c r="AY101" i="26" s="1"/>
  <c r="AZ101" i="26" s="1"/>
  <c r="BA101" i="26" s="1"/>
  <c r="BB101" i="26" s="1"/>
  <c r="BC101" i="26" s="1"/>
  <c r="BD101" i="26" s="1"/>
  <c r="BE101" i="26" s="1"/>
  <c r="BF101" i="26" s="1"/>
  <c r="BG101" i="26" s="1"/>
  <c r="BH101" i="26" s="1"/>
  <c r="BI101" i="26" s="1"/>
  <c r="BJ101" i="26" s="1"/>
  <c r="BK101" i="26" s="1"/>
  <c r="BL101" i="26" s="1"/>
  <c r="BM101" i="26" s="1"/>
  <c r="BN101" i="26" s="1"/>
  <c r="BO101" i="26" s="1"/>
  <c r="BP101" i="26" s="1"/>
  <c r="BQ101" i="26" s="1"/>
  <c r="BR101" i="26" s="1"/>
  <c r="BS101" i="26" s="1"/>
  <c r="BT101" i="26" s="1"/>
  <c r="BU101" i="26" s="1"/>
  <c r="BV101" i="26" s="1"/>
  <c r="BW101" i="26" s="1"/>
  <c r="BX101" i="26" s="1"/>
  <c r="BY97" i="14"/>
  <c r="BY100" i="16"/>
  <c r="BY100" i="17"/>
  <c r="BY100" i="26"/>
  <c r="BY100" i="7"/>
  <c r="AF137" i="6"/>
  <c r="AG137" i="6"/>
  <c r="AH137" i="6"/>
  <c r="AI137" i="6" s="1"/>
  <c r="AJ137" i="6" s="1"/>
  <c r="AK137" i="6" s="1"/>
  <c r="AL137" i="6" s="1"/>
  <c r="AM137" i="6" s="1"/>
  <c r="AN137" i="6" s="1"/>
  <c r="AO137" i="6" s="1"/>
  <c r="AP137" i="6" s="1"/>
  <c r="AQ137" i="6" s="1"/>
  <c r="AR137" i="6" s="1"/>
  <c r="AS137" i="6" s="1"/>
  <c r="AT137" i="6" s="1"/>
  <c r="AU137" i="6" s="1"/>
  <c r="AV137" i="6" s="1"/>
  <c r="AW137" i="6" s="1"/>
  <c r="AX137" i="6" s="1"/>
  <c r="AY137" i="6" s="1"/>
  <c r="AZ137" i="6" s="1"/>
  <c r="BA137" i="6" s="1"/>
  <c r="BB137" i="6" s="1"/>
  <c r="BC137" i="6" s="1"/>
  <c r="BD137" i="6" s="1"/>
  <c r="BE137" i="6" s="1"/>
  <c r="BF137" i="6" s="1"/>
  <c r="BG137" i="6" s="1"/>
  <c r="BH137" i="6" s="1"/>
  <c r="BI137" i="6" s="1"/>
  <c r="BJ137" i="6" s="1"/>
  <c r="BK137" i="6" s="1"/>
  <c r="BL137" i="6" s="1"/>
  <c r="BM137" i="6" s="1"/>
  <c r="BN137" i="6" s="1"/>
  <c r="BO137" i="6" s="1"/>
  <c r="BP137" i="6" s="1"/>
  <c r="BQ137" i="6" s="1"/>
  <c r="BR137" i="6" s="1"/>
  <c r="BS137" i="6" s="1"/>
  <c r="BT137" i="6" s="1"/>
  <c r="BU137" i="6" s="1"/>
  <c r="BV137" i="6" s="1"/>
  <c r="BW137" i="6" s="1"/>
  <c r="AA137" i="16"/>
  <c r="AB137" i="16"/>
  <c r="AC137" i="16"/>
  <c r="AD137" i="16"/>
  <c r="AE137" i="16"/>
  <c r="AF137" i="16" s="1"/>
  <c r="AG137" i="16" s="1"/>
  <c r="AH137" i="16" s="1"/>
  <c r="AI137" i="16" s="1"/>
  <c r="AJ137" i="16" s="1"/>
  <c r="AK137" i="16" s="1"/>
  <c r="AL137" i="16" s="1"/>
  <c r="AM137" i="16" s="1"/>
  <c r="AN137" i="16" s="1"/>
  <c r="AO137" i="16" s="1"/>
  <c r="AP137" i="16" s="1"/>
  <c r="AQ137" i="16" s="1"/>
  <c r="AR137" i="16" s="1"/>
  <c r="AS137" i="16" s="1"/>
  <c r="AT137" i="16" s="1"/>
  <c r="AU137" i="16" s="1"/>
  <c r="AV137" i="16" s="1"/>
  <c r="AW137" i="16" s="1"/>
  <c r="AX137" i="16" s="1"/>
  <c r="AY137" i="16" s="1"/>
  <c r="AZ137" i="16" s="1"/>
  <c r="BA137" i="16" s="1"/>
  <c r="BB137" i="16" s="1"/>
  <c r="BC137" i="16" s="1"/>
  <c r="BD137" i="16" s="1"/>
  <c r="BE137" i="16" s="1"/>
  <c r="BF137" i="16" s="1"/>
  <c r="BG137" i="16" s="1"/>
  <c r="BH137" i="16" s="1"/>
  <c r="BI137" i="16" s="1"/>
  <c r="BJ137" i="16" s="1"/>
  <c r="BK137" i="16" s="1"/>
  <c r="BL137" i="16" s="1"/>
  <c r="BM137" i="16" s="1"/>
  <c r="BN137" i="16" s="1"/>
  <c r="BO137" i="16" s="1"/>
  <c r="BP137" i="16" s="1"/>
  <c r="BQ137" i="16" s="1"/>
  <c r="BR137" i="16" s="1"/>
  <c r="BS137" i="16" s="1"/>
  <c r="BT137" i="16" s="1"/>
  <c r="BU137" i="16" s="1"/>
  <c r="BV137" i="16" s="1"/>
  <c r="BW137" i="16" s="1"/>
  <c r="AA137" i="26"/>
  <c r="AB137" i="26"/>
  <c r="AC137" i="26" s="1"/>
  <c r="AD137" i="26" s="1"/>
  <c r="AE137" i="26"/>
  <c r="AF137" i="26" s="1"/>
  <c r="AG137" i="26" s="1"/>
  <c r="AH137" i="26" s="1"/>
  <c r="AI137" i="26" s="1"/>
  <c r="AJ137" i="26" s="1"/>
  <c r="AK137" i="26" s="1"/>
  <c r="AL137" i="26" s="1"/>
  <c r="AM137" i="26" s="1"/>
  <c r="AN137" i="26" s="1"/>
  <c r="AO137" i="26" s="1"/>
  <c r="AP137" i="26" s="1"/>
  <c r="AQ137" i="26" s="1"/>
  <c r="AR137" i="26" s="1"/>
  <c r="AS137" i="26" s="1"/>
  <c r="AT137" i="26" s="1"/>
  <c r="AU137" i="26" s="1"/>
  <c r="AV137" i="26" s="1"/>
  <c r="AW137" i="26" s="1"/>
  <c r="AX137" i="26" s="1"/>
  <c r="AY137" i="26" s="1"/>
  <c r="AZ137" i="26" s="1"/>
  <c r="BA137" i="26" s="1"/>
  <c r="BB137" i="26" s="1"/>
  <c r="BC137" i="26" s="1"/>
  <c r="BD137" i="26" s="1"/>
  <c r="BE137" i="26" s="1"/>
  <c r="BF137" i="26" s="1"/>
  <c r="BG137" i="26" s="1"/>
  <c r="BH137" i="26" s="1"/>
  <c r="BI137" i="26" s="1"/>
  <c r="BJ137" i="26" s="1"/>
  <c r="BK137" i="26" s="1"/>
  <c r="BL137" i="26" s="1"/>
  <c r="BM137" i="26" s="1"/>
  <c r="BN137" i="26" s="1"/>
  <c r="BO137" i="26" s="1"/>
  <c r="BP137" i="26" s="1"/>
  <c r="BQ137" i="26" s="1"/>
  <c r="BR137" i="26" s="1"/>
  <c r="BS137" i="26" s="1"/>
  <c r="BT137" i="26" s="1"/>
  <c r="BU137" i="26" s="1"/>
  <c r="BV137" i="26" s="1"/>
  <c r="BW137" i="26" s="1"/>
  <c r="AB121" i="7" l="1"/>
  <c r="BX108" i="19"/>
  <c r="BX104" i="19"/>
  <c r="D105" i="19" s="1"/>
  <c r="BX104" i="20"/>
  <c r="D105" i="20" s="1"/>
  <c r="BX108" i="20"/>
  <c r="BX105" i="17"/>
  <c r="D106" i="17" s="1"/>
  <c r="BX109" i="17"/>
  <c r="BX105" i="16"/>
  <c r="D106" i="16" s="1"/>
  <c r="BX109" i="16"/>
  <c r="BX105" i="26"/>
  <c r="D106" i="26" s="1"/>
  <c r="BX109" i="26"/>
  <c r="BX105" i="6"/>
  <c r="D106" i="6" s="1"/>
  <c r="BX109" i="6"/>
  <c r="D137" i="20"/>
  <c r="T136" i="20"/>
  <c r="U136" i="20" s="1"/>
  <c r="V136" i="20" s="1"/>
  <c r="W136" i="20" s="1"/>
  <c r="X136" i="20" s="1"/>
  <c r="Y136" i="20" s="1"/>
  <c r="Z136" i="20" s="1"/>
  <c r="AA136" i="20" s="1"/>
  <c r="AB136" i="20" s="1"/>
  <c r="AC136" i="20" s="1"/>
  <c r="AD136" i="20" s="1"/>
  <c r="AE136" i="20" s="1"/>
  <c r="AF136" i="20" s="1"/>
  <c r="AG136" i="20" s="1"/>
  <c r="AH136" i="20" s="1"/>
  <c r="AI136" i="20" s="1"/>
  <c r="AJ136" i="20" s="1"/>
  <c r="AK136" i="20" s="1"/>
  <c r="AL136" i="20" s="1"/>
  <c r="AM136" i="20" s="1"/>
  <c r="AN136" i="20" s="1"/>
  <c r="AO136" i="20" s="1"/>
  <c r="AP136" i="20" s="1"/>
  <c r="AQ136" i="20" s="1"/>
  <c r="AR136" i="20" s="1"/>
  <c r="AS136" i="20" s="1"/>
  <c r="AT136" i="20" s="1"/>
  <c r="AU136" i="20" s="1"/>
  <c r="AV136" i="20" s="1"/>
  <c r="AW136" i="20" s="1"/>
  <c r="AX136" i="20" s="1"/>
  <c r="AY136" i="20" s="1"/>
  <c r="AZ136" i="20" s="1"/>
  <c r="BA136" i="20" s="1"/>
  <c r="BB136" i="20" s="1"/>
  <c r="BC136" i="20" s="1"/>
  <c r="BD136" i="20" s="1"/>
  <c r="BE136" i="20" s="1"/>
  <c r="BF136" i="20" s="1"/>
  <c r="BG136" i="20" s="1"/>
  <c r="BH136" i="20" s="1"/>
  <c r="BI136" i="20" s="1"/>
  <c r="BJ136" i="20" s="1"/>
  <c r="BK136" i="20" s="1"/>
  <c r="BL136" i="20" s="1"/>
  <c r="BM136" i="20" s="1"/>
  <c r="BN136" i="20" s="1"/>
  <c r="BO136" i="20" s="1"/>
  <c r="BP136" i="20" s="1"/>
  <c r="BQ136" i="20" s="1"/>
  <c r="BR136" i="20" s="1"/>
  <c r="BS136" i="20" s="1"/>
  <c r="BT136" i="20" s="1"/>
  <c r="BU136" i="20" s="1"/>
  <c r="BV136" i="20" s="1"/>
  <c r="BW136" i="20" s="1"/>
  <c r="BX110" i="7"/>
  <c r="D111" i="7" s="1"/>
  <c r="BX114" i="7"/>
  <c r="AA128" i="26"/>
  <c r="AA116" i="26"/>
  <c r="V124" i="19"/>
  <c r="V124" i="20"/>
  <c r="V125" i="20" s="1"/>
  <c r="U98" i="14"/>
  <c r="V98" i="14" s="1"/>
  <c r="W98" i="14" s="1"/>
  <c r="X98" i="14" s="1"/>
  <c r="Y98" i="14" s="1"/>
  <c r="Z98" i="14" s="1"/>
  <c r="AA98" i="14" s="1"/>
  <c r="AB98" i="14" s="1"/>
  <c r="AC98" i="14" s="1"/>
  <c r="AD98" i="14" s="1"/>
  <c r="AE98" i="14" s="1"/>
  <c r="AF98" i="14" s="1"/>
  <c r="AG98" i="14" s="1"/>
  <c r="AH98" i="14" s="1"/>
  <c r="AI98" i="14" s="1"/>
  <c r="AJ98" i="14" s="1"/>
  <c r="AK98" i="14" s="1"/>
  <c r="AL98" i="14" s="1"/>
  <c r="AM98" i="14" s="1"/>
  <c r="AN98" i="14" s="1"/>
  <c r="AO98" i="14" s="1"/>
  <c r="AP98" i="14" s="1"/>
  <c r="AQ98" i="14" s="1"/>
  <c r="AR98" i="14" s="1"/>
  <c r="AS98" i="14" s="1"/>
  <c r="AT98" i="14" s="1"/>
  <c r="AU98" i="14" s="1"/>
  <c r="AV98" i="14" s="1"/>
  <c r="AW98" i="14" s="1"/>
  <c r="AX98" i="14" s="1"/>
  <c r="AY98" i="14" s="1"/>
  <c r="AZ98" i="14" s="1"/>
  <c r="BA98" i="14" s="1"/>
  <c r="BB98" i="14" s="1"/>
  <c r="BC98" i="14" s="1"/>
  <c r="BD98" i="14" s="1"/>
  <c r="BE98" i="14" s="1"/>
  <c r="BF98" i="14" s="1"/>
  <c r="BG98" i="14" s="1"/>
  <c r="BH98" i="14" s="1"/>
  <c r="BI98" i="14" s="1"/>
  <c r="BJ98" i="14" s="1"/>
  <c r="BK98" i="14" s="1"/>
  <c r="BL98" i="14" s="1"/>
  <c r="BM98" i="14" s="1"/>
  <c r="BN98" i="14" s="1"/>
  <c r="BO98" i="14" s="1"/>
  <c r="BP98" i="14" s="1"/>
  <c r="BQ98" i="14" s="1"/>
  <c r="BR98" i="14" s="1"/>
  <c r="BS98" i="14" s="1"/>
  <c r="BT98" i="14" s="1"/>
  <c r="BU98" i="14" s="1"/>
  <c r="BV98" i="14" s="1"/>
  <c r="BW98" i="14" s="1"/>
  <c r="BX98" i="14" s="1"/>
  <c r="BZ99" i="14"/>
  <c r="T131" i="14"/>
  <c r="T133" i="14" s="1"/>
  <c r="AF116" i="6"/>
  <c r="T115" i="14"/>
  <c r="T116" i="14" s="1"/>
  <c r="T112" i="12"/>
  <c r="T53" i="12"/>
  <c r="T96" i="12" s="1"/>
  <c r="T97" i="12" s="1"/>
  <c r="T98" i="12" s="1"/>
  <c r="D129" i="7" l="1"/>
  <c r="D130" i="7" s="1"/>
  <c r="AB124" i="7"/>
  <c r="D125" i="7" s="1"/>
  <c r="AB127" i="7"/>
  <c r="BX117" i="17"/>
  <c r="BX150" i="17" s="1"/>
  <c r="BX166" i="17"/>
  <c r="BX182" i="17"/>
  <c r="BX116" i="17"/>
  <c r="BX119" i="17" s="1"/>
  <c r="D120" i="17" s="1"/>
  <c r="BX134" i="17"/>
  <c r="BX116" i="26"/>
  <c r="BX182" i="26"/>
  <c r="BX117" i="26"/>
  <c r="BX150" i="26" s="1"/>
  <c r="BX134" i="26"/>
  <c r="BX166" i="26"/>
  <c r="BX210" i="19"/>
  <c r="BX115" i="19"/>
  <c r="BX116" i="19"/>
  <c r="BX178" i="19" s="1"/>
  <c r="BX194" i="19"/>
  <c r="BX133" i="19"/>
  <c r="T134" i="14"/>
  <c r="U134" i="14" s="1"/>
  <c r="V134" i="14" s="1"/>
  <c r="W134" i="14" s="1"/>
  <c r="X134" i="14" s="1"/>
  <c r="Y134" i="14" s="1"/>
  <c r="Z134" i="14" s="1"/>
  <c r="AA134" i="14" s="1"/>
  <c r="AB134" i="14" s="1"/>
  <c r="AC134" i="14" s="1"/>
  <c r="AD134" i="14" s="1"/>
  <c r="AE134" i="14" s="1"/>
  <c r="AF134" i="14" s="1"/>
  <c r="AG134" i="14" s="1"/>
  <c r="AH134" i="14" s="1"/>
  <c r="AI134" i="14" s="1"/>
  <c r="AJ134" i="14" s="1"/>
  <c r="AK134" i="14" s="1"/>
  <c r="AL134" i="14" s="1"/>
  <c r="AM134" i="14" s="1"/>
  <c r="AN134" i="14" s="1"/>
  <c r="AO134" i="14" s="1"/>
  <c r="AP134" i="14" s="1"/>
  <c r="AQ134" i="14" s="1"/>
  <c r="AR134" i="14" s="1"/>
  <c r="AS134" i="14" s="1"/>
  <c r="AT134" i="14" s="1"/>
  <c r="AU134" i="14" s="1"/>
  <c r="AV134" i="14" s="1"/>
  <c r="AW134" i="14" s="1"/>
  <c r="AX134" i="14" s="1"/>
  <c r="AY134" i="14" s="1"/>
  <c r="AZ134" i="14" s="1"/>
  <c r="BA134" i="14" s="1"/>
  <c r="BB134" i="14" s="1"/>
  <c r="BC134" i="14" s="1"/>
  <c r="BD134" i="14" s="1"/>
  <c r="BE134" i="14" s="1"/>
  <c r="BF134" i="14" s="1"/>
  <c r="BG134" i="14" s="1"/>
  <c r="BH134" i="14" s="1"/>
  <c r="BI134" i="14" s="1"/>
  <c r="BJ134" i="14" s="1"/>
  <c r="BK134" i="14" s="1"/>
  <c r="BL134" i="14" s="1"/>
  <c r="BM134" i="14" s="1"/>
  <c r="BN134" i="14" s="1"/>
  <c r="BO134" i="14" s="1"/>
  <c r="BP134" i="14" s="1"/>
  <c r="BQ134" i="14" s="1"/>
  <c r="BR134" i="14" s="1"/>
  <c r="BS134" i="14" s="1"/>
  <c r="BT134" i="14" s="1"/>
  <c r="BU134" i="14" s="1"/>
  <c r="BV134" i="14" s="1"/>
  <c r="BW134" i="14" s="1"/>
  <c r="D135" i="14"/>
  <c r="BX117" i="6"/>
  <c r="BX150" i="6" s="1"/>
  <c r="BX182" i="6"/>
  <c r="BX134" i="6"/>
  <c r="BX116" i="6"/>
  <c r="BX119" i="6" s="1"/>
  <c r="BX166" i="6"/>
  <c r="D121" i="14"/>
  <c r="D122" i="14" s="1"/>
  <c r="D117" i="14"/>
  <c r="V122" i="14"/>
  <c r="V123" i="14" s="1"/>
  <c r="AA119" i="26"/>
  <c r="D120" i="26" s="1"/>
  <c r="D124" i="26"/>
  <c r="D125" i="26" s="1"/>
  <c r="BX133" i="20"/>
  <c r="BX116" i="20"/>
  <c r="BX149" i="20" s="1"/>
  <c r="BX181" i="20"/>
  <c r="BX165" i="20"/>
  <c r="BX115" i="20"/>
  <c r="BX118" i="20" s="1"/>
  <c r="D124" i="6"/>
  <c r="D125" i="6" s="1"/>
  <c r="AF119" i="6"/>
  <c r="G129" i="26"/>
  <c r="AB128" i="26"/>
  <c r="AC128" i="26" s="1"/>
  <c r="AO128" i="26" s="1"/>
  <c r="BX139" i="7"/>
  <c r="BX122" i="7"/>
  <c r="BX155" i="7" s="1"/>
  <c r="BX187" i="7"/>
  <c r="BX171" i="7"/>
  <c r="BX121" i="7"/>
  <c r="BX102" i="14"/>
  <c r="D103" i="14" s="1"/>
  <c r="BX106" i="14"/>
  <c r="BX166" i="16"/>
  <c r="BX116" i="16"/>
  <c r="BX182" i="16"/>
  <c r="BX117" i="16"/>
  <c r="BX150" i="16" s="1"/>
  <c r="BX134" i="16"/>
  <c r="U98" i="12"/>
  <c r="V98" i="12" s="1"/>
  <c r="W98" i="12" s="1"/>
  <c r="X98" i="12" s="1"/>
  <c r="Y98" i="12" s="1"/>
  <c r="Z98" i="12" s="1"/>
  <c r="AA98" i="12" s="1"/>
  <c r="AB98" i="12" s="1"/>
  <c r="AC98" i="12" s="1"/>
  <c r="AD98" i="12" s="1"/>
  <c r="AE98" i="12" s="1"/>
  <c r="AF98" i="12" s="1"/>
  <c r="AG98" i="12" s="1"/>
  <c r="AH98" i="12" s="1"/>
  <c r="AI98" i="12" s="1"/>
  <c r="AJ98" i="12" s="1"/>
  <c r="AK98" i="12" s="1"/>
  <c r="AL98" i="12" s="1"/>
  <c r="AM98" i="12" s="1"/>
  <c r="AN98" i="12" s="1"/>
  <c r="AO98" i="12" s="1"/>
  <c r="AP98" i="12" s="1"/>
  <c r="AQ98" i="12" s="1"/>
  <c r="AR98" i="12" s="1"/>
  <c r="AS98" i="12" s="1"/>
  <c r="AT98" i="12" s="1"/>
  <c r="AU98" i="12" s="1"/>
  <c r="AV98" i="12" s="1"/>
  <c r="AW98" i="12" s="1"/>
  <c r="AX98" i="12" s="1"/>
  <c r="AY98" i="12" s="1"/>
  <c r="AZ98" i="12" s="1"/>
  <c r="BA98" i="12" s="1"/>
  <c r="BB98" i="12" s="1"/>
  <c r="BC98" i="12" s="1"/>
  <c r="BD98" i="12" s="1"/>
  <c r="BE98" i="12" s="1"/>
  <c r="BF98" i="12" s="1"/>
  <c r="BG98" i="12" s="1"/>
  <c r="BH98" i="12" s="1"/>
  <c r="BI98" i="12" s="1"/>
  <c r="BJ98" i="12" s="1"/>
  <c r="BK98" i="12" s="1"/>
  <c r="BL98" i="12" s="1"/>
  <c r="BM98" i="12" s="1"/>
  <c r="BN98" i="12" s="1"/>
  <c r="BO98" i="12" s="1"/>
  <c r="BP98" i="12" s="1"/>
  <c r="BQ98" i="12" s="1"/>
  <c r="BR98" i="12" s="1"/>
  <c r="BS98" i="12" s="1"/>
  <c r="BT98" i="12" s="1"/>
  <c r="BU98" i="12" s="1"/>
  <c r="BV98" i="12" s="1"/>
  <c r="BW98" i="12" s="1"/>
  <c r="BX98" i="12" s="1"/>
  <c r="T130" i="12"/>
  <c r="T115" i="12"/>
  <c r="BZ99" i="12"/>
  <c r="T116" i="12"/>
  <c r="D158" i="16" l="1"/>
  <c r="BX152" i="16"/>
  <c r="BX153" i="16" s="1"/>
  <c r="BX152" i="26"/>
  <c r="BX153" i="26" s="1"/>
  <c r="D158" i="26"/>
  <c r="D173" i="20"/>
  <c r="BX167" i="20"/>
  <c r="BX135" i="19"/>
  <c r="D141" i="19"/>
  <c r="D142" i="19" s="1"/>
  <c r="BX184" i="26"/>
  <c r="D190" i="26"/>
  <c r="D174" i="6"/>
  <c r="BX168" i="6"/>
  <c r="BX196" i="19"/>
  <c r="D202" i="19"/>
  <c r="BX119" i="26"/>
  <c r="D179" i="7"/>
  <c r="BX173" i="7"/>
  <c r="D190" i="16"/>
  <c r="BX184" i="16"/>
  <c r="BX157" i="7"/>
  <c r="BX158" i="7" s="1"/>
  <c r="D163" i="7"/>
  <c r="D174" i="16"/>
  <c r="BX168" i="16"/>
  <c r="BX141" i="7"/>
  <c r="D147" i="7"/>
  <c r="D148" i="7" s="1"/>
  <c r="BX151" i="20"/>
  <c r="BX152" i="20" s="1"/>
  <c r="D157" i="20"/>
  <c r="D186" i="19"/>
  <c r="BX180" i="19"/>
  <c r="BX181" i="19" s="1"/>
  <c r="D142" i="17"/>
  <c r="D143" i="17" s="1"/>
  <c r="BX136" i="17"/>
  <c r="BX135" i="20"/>
  <c r="BX136" i="20" s="1"/>
  <c r="D141" i="20"/>
  <c r="D142" i="20" s="1"/>
  <c r="D142" i="6"/>
  <c r="D143" i="6" s="1"/>
  <c r="BX136" i="6"/>
  <c r="BX148" i="19"/>
  <c r="BX150" i="19" s="1"/>
  <c r="BX151" i="19" s="1"/>
  <c r="BX118" i="19"/>
  <c r="D119" i="19" s="1"/>
  <c r="D190" i="6"/>
  <c r="BX184" i="6"/>
  <c r="BX212" i="19"/>
  <c r="D218" i="19"/>
  <c r="D190" i="17"/>
  <c r="BX184" i="17"/>
  <c r="BX189" i="7"/>
  <c r="D195" i="7"/>
  <c r="BX119" i="16"/>
  <c r="D189" i="20"/>
  <c r="BX183" i="20"/>
  <c r="BX152" i="6"/>
  <c r="BX153" i="6" s="1"/>
  <c r="D158" i="6"/>
  <c r="D174" i="26"/>
  <c r="BX168" i="26"/>
  <c r="BX168" i="17"/>
  <c r="D174" i="17"/>
  <c r="BX131" i="14"/>
  <c r="BX114" i="14"/>
  <c r="BX147" i="14" s="1"/>
  <c r="BX163" i="14"/>
  <c r="BX179" i="14"/>
  <c r="BX113" i="14"/>
  <c r="BX116" i="14" s="1"/>
  <c r="AF122" i="6"/>
  <c r="M34" i="5"/>
  <c r="M35" i="5" s="1"/>
  <c r="M36" i="5" s="1"/>
  <c r="D120" i="6"/>
  <c r="D142" i="16"/>
  <c r="D143" i="16" s="1"/>
  <c r="BX136" i="16"/>
  <c r="BX124" i="7"/>
  <c r="BX136" i="26"/>
  <c r="D142" i="26"/>
  <c r="D143" i="26" s="1"/>
  <c r="D158" i="17"/>
  <c r="BX152" i="17"/>
  <c r="BX153" i="17" s="1"/>
  <c r="D121" i="12"/>
  <c r="D122" i="12" s="1"/>
  <c r="T120" i="12"/>
  <c r="D137" i="12"/>
  <c r="D138" i="12" s="1"/>
  <c r="T131" i="12"/>
  <c r="BX102" i="12"/>
  <c r="D103" i="12" s="1"/>
  <c r="BX106" i="12"/>
  <c r="BX142" i="12" s="1"/>
  <c r="BX169" i="17" l="1"/>
  <c r="D170" i="17"/>
  <c r="D139" i="14"/>
  <c r="D140" i="14" s="1"/>
  <c r="BX133" i="14"/>
  <c r="BX134" i="14" s="1"/>
  <c r="BX185" i="6"/>
  <c r="D186" i="6"/>
  <c r="BX136" i="19"/>
  <c r="D137" i="19"/>
  <c r="BX137" i="17"/>
  <c r="D138" i="17"/>
  <c r="BX169" i="16"/>
  <c r="D170" i="16"/>
  <c r="D169" i="20"/>
  <c r="BX168" i="20"/>
  <c r="D198" i="19"/>
  <c r="BX197" i="19"/>
  <c r="BX169" i="6"/>
  <c r="D170" i="6"/>
  <c r="AG122" i="6"/>
  <c r="AH122" i="6" s="1"/>
  <c r="AF123" i="6"/>
  <c r="BX169" i="26"/>
  <c r="D170" i="26"/>
  <c r="BX190" i="7"/>
  <c r="D191" i="7"/>
  <c r="D186" i="17"/>
  <c r="BX185" i="17"/>
  <c r="D138" i="6"/>
  <c r="BX137" i="6"/>
  <c r="BX185" i="16"/>
  <c r="D186" i="16"/>
  <c r="D175" i="7"/>
  <c r="BX174" i="7"/>
  <c r="BX185" i="26"/>
  <c r="D186" i="26"/>
  <c r="D138" i="26"/>
  <c r="BX137" i="26"/>
  <c r="BX181" i="14"/>
  <c r="D187" i="14"/>
  <c r="D171" i="14"/>
  <c r="BX165" i="14"/>
  <c r="D138" i="16"/>
  <c r="BX137" i="16"/>
  <c r="D155" i="14"/>
  <c r="BX149" i="14"/>
  <c r="BX150" i="14" s="1"/>
  <c r="BX184" i="20"/>
  <c r="D185" i="20"/>
  <c r="BX213" i="19"/>
  <c r="D214" i="19"/>
  <c r="D143" i="7"/>
  <c r="BX142" i="7"/>
  <c r="T132" i="12"/>
  <c r="U132" i="12" s="1"/>
  <c r="V132" i="12" s="1"/>
  <c r="W132" i="12" s="1"/>
  <c r="X132" i="12" s="1"/>
  <c r="Y132" i="12" s="1"/>
  <c r="Z132" i="12" s="1"/>
  <c r="AA132" i="12" s="1"/>
  <c r="AB132" i="12" s="1"/>
  <c r="AC132" i="12" s="1"/>
  <c r="AD132" i="12" s="1"/>
  <c r="AE132" i="12" s="1"/>
  <c r="AF132" i="12" s="1"/>
  <c r="AG132" i="12" s="1"/>
  <c r="AH132" i="12" s="1"/>
  <c r="AI132" i="12" s="1"/>
  <c r="AJ132" i="12" s="1"/>
  <c r="AK132" i="12" s="1"/>
  <c r="AL132" i="12" s="1"/>
  <c r="AM132" i="12" s="1"/>
  <c r="AN132" i="12" s="1"/>
  <c r="AO132" i="12" s="1"/>
  <c r="AP132" i="12" s="1"/>
  <c r="AQ132" i="12" s="1"/>
  <c r="AR132" i="12" s="1"/>
  <c r="AS132" i="12" s="1"/>
  <c r="AT132" i="12" s="1"/>
  <c r="AU132" i="12" s="1"/>
  <c r="AV132" i="12" s="1"/>
  <c r="AW132" i="12" s="1"/>
  <c r="AX132" i="12" s="1"/>
  <c r="AY132" i="12" s="1"/>
  <c r="AZ132" i="12" s="1"/>
  <c r="BA132" i="12" s="1"/>
  <c r="BB132" i="12" s="1"/>
  <c r="BC132" i="12" s="1"/>
  <c r="BD132" i="12" s="1"/>
  <c r="BE132" i="12" s="1"/>
  <c r="BF132" i="12" s="1"/>
  <c r="BG132" i="12" s="1"/>
  <c r="BH132" i="12" s="1"/>
  <c r="BI132" i="12" s="1"/>
  <c r="BJ132" i="12" s="1"/>
  <c r="BK132" i="12" s="1"/>
  <c r="BL132" i="12" s="1"/>
  <c r="BM132" i="12" s="1"/>
  <c r="BN132" i="12" s="1"/>
  <c r="BO132" i="12" s="1"/>
  <c r="BP132" i="12" s="1"/>
  <c r="BQ132" i="12" s="1"/>
  <c r="BR132" i="12" s="1"/>
  <c r="BS132" i="12" s="1"/>
  <c r="BT132" i="12" s="1"/>
  <c r="BU132" i="12" s="1"/>
  <c r="BV132" i="12" s="1"/>
  <c r="BW132" i="12" s="1"/>
  <c r="BX113" i="12"/>
  <c r="BX114" i="12"/>
  <c r="BX129" i="12"/>
  <c r="BX131" i="12" s="1"/>
  <c r="D133" i="12" s="1"/>
  <c r="M8" i="8" a="1"/>
  <c r="M8" i="21" a="1"/>
  <c r="M8" i="18" a="1"/>
  <c r="M8" i="13" a="1"/>
  <c r="BX166" i="14" l="1"/>
  <c r="D167" i="14"/>
  <c r="BX182" i="14"/>
  <c r="D183" i="14"/>
  <c r="M73" i="18"/>
  <c r="M65" i="18"/>
  <c r="M57" i="18"/>
  <c r="M49" i="18"/>
  <c r="M41" i="18"/>
  <c r="M33" i="18"/>
  <c r="M25" i="18"/>
  <c r="M17" i="18"/>
  <c r="M9" i="18"/>
  <c r="M62" i="18"/>
  <c r="M77" i="18"/>
  <c r="M72" i="18"/>
  <c r="M64" i="18"/>
  <c r="M56" i="18"/>
  <c r="M48" i="18"/>
  <c r="M40" i="18"/>
  <c r="M32" i="18"/>
  <c r="M24" i="18"/>
  <c r="M16" i="18"/>
  <c r="M78" i="18"/>
  <c r="M46" i="18"/>
  <c r="M38" i="18"/>
  <c r="M30" i="18"/>
  <c r="M22" i="18"/>
  <c r="M14" i="18"/>
  <c r="M59" i="18"/>
  <c r="M71" i="18"/>
  <c r="M63" i="18"/>
  <c r="M55" i="18"/>
  <c r="M47" i="18"/>
  <c r="M39" i="18"/>
  <c r="M31" i="18"/>
  <c r="M23" i="18"/>
  <c r="M15" i="18"/>
  <c r="M54" i="18"/>
  <c r="M67" i="18"/>
  <c r="M8" i="18"/>
  <c r="N8" i="18" s="1"/>
  <c r="M74" i="18"/>
  <c r="M66" i="18"/>
  <c r="M58" i="18"/>
  <c r="M50" i="18"/>
  <c r="M42" i="18"/>
  <c r="M34" i="18"/>
  <c r="M26" i="18"/>
  <c r="M18" i="18"/>
  <c r="M10" i="18"/>
  <c r="M70" i="18"/>
  <c r="M69" i="18"/>
  <c r="M61" i="18"/>
  <c r="M53" i="18"/>
  <c r="M45" i="18"/>
  <c r="M37" i="18"/>
  <c r="M29" i="18"/>
  <c r="M21" i="18"/>
  <c r="M13" i="18"/>
  <c r="M76" i="18"/>
  <c r="M68" i="18"/>
  <c r="M60" i="18"/>
  <c r="M52" i="18"/>
  <c r="M44" i="18"/>
  <c r="M36" i="18"/>
  <c r="M28" i="18"/>
  <c r="M20" i="18"/>
  <c r="M12" i="18"/>
  <c r="M75" i="18"/>
  <c r="M51" i="18"/>
  <c r="M43" i="18"/>
  <c r="M35" i="18"/>
  <c r="M27" i="18"/>
  <c r="M19" i="18"/>
  <c r="M11" i="18"/>
  <c r="M79" i="18"/>
  <c r="M72" i="21"/>
  <c r="M64" i="21"/>
  <c r="M56" i="21"/>
  <c r="M48" i="21"/>
  <c r="M40" i="21"/>
  <c r="M32" i="21"/>
  <c r="M24" i="21"/>
  <c r="M16" i="21"/>
  <c r="M78" i="21"/>
  <c r="M46" i="21"/>
  <c r="M22" i="21"/>
  <c r="M68" i="21"/>
  <c r="M44" i="21"/>
  <c r="M28" i="21"/>
  <c r="M12" i="21"/>
  <c r="M71" i="21"/>
  <c r="M63" i="21"/>
  <c r="M55" i="21"/>
  <c r="M47" i="21"/>
  <c r="M39" i="21"/>
  <c r="M31" i="21"/>
  <c r="M23" i="21"/>
  <c r="M15" i="21"/>
  <c r="M62" i="21"/>
  <c r="M38" i="21"/>
  <c r="M14" i="21"/>
  <c r="M77" i="21"/>
  <c r="M69" i="21"/>
  <c r="M61" i="21"/>
  <c r="M53" i="21"/>
  <c r="M45" i="21"/>
  <c r="M29" i="21"/>
  <c r="M21" i="21"/>
  <c r="M13" i="21"/>
  <c r="M52" i="21"/>
  <c r="M70" i="21"/>
  <c r="M54" i="21"/>
  <c r="M30" i="21"/>
  <c r="M8" i="21"/>
  <c r="N8" i="21" s="1"/>
  <c r="M37" i="21"/>
  <c r="M76" i="21"/>
  <c r="M36" i="21"/>
  <c r="M20" i="21"/>
  <c r="M73" i="21"/>
  <c r="M65" i="21"/>
  <c r="M57" i="21"/>
  <c r="M49" i="21"/>
  <c r="M41" i="21"/>
  <c r="M33" i="21"/>
  <c r="M25" i="21"/>
  <c r="M17" i="21"/>
  <c r="M9" i="21"/>
  <c r="M60" i="21"/>
  <c r="M75" i="21"/>
  <c r="M67" i="21"/>
  <c r="M59" i="21"/>
  <c r="M51" i="21"/>
  <c r="M43" i="21"/>
  <c r="M35" i="21"/>
  <c r="M27" i="21"/>
  <c r="M19" i="21"/>
  <c r="M11" i="21"/>
  <c r="M18" i="21"/>
  <c r="M74" i="21"/>
  <c r="M10" i="21"/>
  <c r="M66" i="21"/>
  <c r="M58" i="21"/>
  <c r="M50" i="21"/>
  <c r="M42" i="21"/>
  <c r="M26" i="21"/>
  <c r="M34" i="21"/>
  <c r="M79" i="21"/>
  <c r="BX116" i="12"/>
  <c r="D117" i="12" s="1"/>
  <c r="BX145" i="12" s="1"/>
  <c r="BX147" i="12" s="1"/>
  <c r="BX148" i="12" s="1"/>
  <c r="M8" i="8"/>
  <c r="N8" i="8" s="1"/>
  <c r="O8" i="8" s="1"/>
  <c r="M71" i="8"/>
  <c r="M63" i="8"/>
  <c r="M55" i="8"/>
  <c r="M47" i="8"/>
  <c r="M39" i="8"/>
  <c r="M31" i="8"/>
  <c r="M22" i="8"/>
  <c r="M14" i="8"/>
  <c r="M60" i="8"/>
  <c r="M33" i="8"/>
  <c r="M78" i="8"/>
  <c r="M70" i="8"/>
  <c r="M62" i="8"/>
  <c r="M54" i="8"/>
  <c r="M46" i="8"/>
  <c r="M38" i="8"/>
  <c r="M30" i="8"/>
  <c r="M21" i="8"/>
  <c r="M13" i="8"/>
  <c r="M68" i="8"/>
  <c r="M67" i="8"/>
  <c r="M59" i="8"/>
  <c r="M51" i="8"/>
  <c r="M43" i="8"/>
  <c r="M35" i="8"/>
  <c r="M27" i="8"/>
  <c r="M18" i="8"/>
  <c r="M10" i="8"/>
  <c r="M65" i="8"/>
  <c r="M77" i="8"/>
  <c r="M69" i="8"/>
  <c r="M61" i="8"/>
  <c r="M53" i="8"/>
  <c r="M45" i="8"/>
  <c r="M37" i="8"/>
  <c r="M29" i="8"/>
  <c r="M20" i="8"/>
  <c r="M12" i="8"/>
  <c r="M76" i="8"/>
  <c r="M52" i="8"/>
  <c r="M44" i="8"/>
  <c r="M36" i="8"/>
  <c r="M28" i="8"/>
  <c r="M11" i="8"/>
  <c r="M16" i="8"/>
  <c r="M75" i="8"/>
  <c r="M74" i="8"/>
  <c r="M66" i="8"/>
  <c r="M58" i="8"/>
  <c r="M50" i="8"/>
  <c r="M42" i="8"/>
  <c r="M34" i="8"/>
  <c r="M26" i="8"/>
  <c r="M17" i="8"/>
  <c r="M9" i="8"/>
  <c r="M41" i="8"/>
  <c r="M73" i="8"/>
  <c r="M57" i="8"/>
  <c r="M49" i="8"/>
  <c r="M72" i="8"/>
  <c r="M64" i="8"/>
  <c r="M56" i="8"/>
  <c r="M48" i="8"/>
  <c r="M40" i="8"/>
  <c r="M32" i="8"/>
  <c r="M24" i="8"/>
  <c r="M15" i="8"/>
  <c r="M19" i="8"/>
  <c r="M25" i="8"/>
  <c r="M23" i="8"/>
  <c r="M79" i="8"/>
  <c r="M75" i="13"/>
  <c r="M67" i="13"/>
  <c r="M59" i="13"/>
  <c r="M51" i="13"/>
  <c r="M43" i="13"/>
  <c r="M35" i="13"/>
  <c r="M27" i="13"/>
  <c r="M19" i="13"/>
  <c r="M11" i="13"/>
  <c r="M70" i="13"/>
  <c r="M74" i="13"/>
  <c r="M66" i="13"/>
  <c r="M58" i="13"/>
  <c r="M50" i="13"/>
  <c r="M42" i="13"/>
  <c r="M34" i="13"/>
  <c r="M26" i="13"/>
  <c r="M18" i="13"/>
  <c r="M10" i="13"/>
  <c r="M72" i="13"/>
  <c r="M56" i="13"/>
  <c r="M48" i="13"/>
  <c r="M40" i="13"/>
  <c r="M32" i="13"/>
  <c r="M24" i="13"/>
  <c r="M16" i="13"/>
  <c r="M54" i="13"/>
  <c r="M77" i="13"/>
  <c r="M53" i="13"/>
  <c r="M45" i="13"/>
  <c r="M37" i="13"/>
  <c r="M29" i="13"/>
  <c r="M21" i="13"/>
  <c r="M13" i="13"/>
  <c r="M73" i="13"/>
  <c r="M65" i="13"/>
  <c r="M57" i="13"/>
  <c r="M49" i="13"/>
  <c r="M41" i="13"/>
  <c r="M33" i="13"/>
  <c r="M25" i="13"/>
  <c r="M17" i="13"/>
  <c r="M9" i="13"/>
  <c r="M8" i="13"/>
  <c r="N8" i="13" s="1"/>
  <c r="M69" i="13"/>
  <c r="M64" i="13"/>
  <c r="M63" i="13"/>
  <c r="M55" i="13"/>
  <c r="M47" i="13"/>
  <c r="M39" i="13"/>
  <c r="M31" i="13"/>
  <c r="M23" i="13"/>
  <c r="M15" i="13"/>
  <c r="M62" i="13"/>
  <c r="M46" i="13"/>
  <c r="M38" i="13"/>
  <c r="M30" i="13"/>
  <c r="M22" i="13"/>
  <c r="M14" i="13"/>
  <c r="M76" i="13"/>
  <c r="M68" i="13"/>
  <c r="M60" i="13"/>
  <c r="M52" i="13"/>
  <c r="M44" i="13"/>
  <c r="M36" i="13"/>
  <c r="M28" i="13"/>
  <c r="M20" i="13"/>
  <c r="M12" i="13"/>
  <c r="M71" i="13"/>
  <c r="M78" i="13"/>
  <c r="M61" i="13"/>
  <c r="M79" i="13"/>
  <c r="BX132" i="12"/>
  <c r="N9" i="8" l="1"/>
  <c r="N10" i="8"/>
  <c r="O9" i="8"/>
  <c r="N9" i="21"/>
  <c r="O8" i="21"/>
  <c r="O8" i="13"/>
  <c r="N9" i="13"/>
  <c r="N9" i="18"/>
  <c r="O8" i="18"/>
  <c r="N10" i="18" l="1"/>
  <c r="O9" i="18"/>
  <c r="N10" i="13"/>
  <c r="O9" i="13"/>
  <c r="O9" i="21"/>
  <c r="N10" i="21"/>
  <c r="N11" i="8"/>
  <c r="O10" i="8"/>
  <c r="N12" i="8" l="1"/>
  <c r="O11" i="8"/>
  <c r="N11" i="21"/>
  <c r="O10" i="21"/>
  <c r="N11" i="13"/>
  <c r="O10" i="13"/>
  <c r="N11" i="18"/>
  <c r="O10" i="18"/>
  <c r="N12" i="13" l="1"/>
  <c r="O11" i="13"/>
  <c r="O11" i="21"/>
  <c r="N12" i="21"/>
  <c r="O11" i="18"/>
  <c r="N12" i="18"/>
  <c r="O12" i="8"/>
  <c r="N13" i="8"/>
  <c r="O12" i="18" l="1"/>
  <c r="N13" i="18"/>
  <c r="O13" i="8"/>
  <c r="N14" i="8"/>
  <c r="N13" i="21"/>
  <c r="O12" i="21"/>
  <c r="N13" i="13"/>
  <c r="O12" i="13"/>
  <c r="O13" i="13" l="1"/>
  <c r="N14" i="13"/>
  <c r="N14" i="21"/>
  <c r="O13" i="21"/>
  <c r="O14" i="8"/>
  <c r="N15" i="8"/>
  <c r="N14" i="18"/>
  <c r="O13" i="18"/>
  <c r="N16" i="8" l="1"/>
  <c r="O15" i="8"/>
  <c r="N15" i="13"/>
  <c r="O14" i="13"/>
  <c r="N15" i="18"/>
  <c r="O14" i="18"/>
  <c r="N15" i="21"/>
  <c r="O14" i="21"/>
  <c r="N16" i="21" l="1"/>
  <c r="O15" i="21"/>
  <c r="N16" i="13"/>
  <c r="O15" i="13"/>
  <c r="O15" i="18"/>
  <c r="N16" i="18"/>
  <c r="N17" i="8"/>
  <c r="O16" i="8"/>
  <c r="O17" i="8" l="1"/>
  <c r="N18" i="8"/>
  <c r="N17" i="18"/>
  <c r="O16" i="18"/>
  <c r="N17" i="13"/>
  <c r="O16" i="13"/>
  <c r="N17" i="21"/>
  <c r="O16" i="21"/>
  <c r="N18" i="21" l="1"/>
  <c r="O17" i="21"/>
  <c r="O17" i="13"/>
  <c r="N18" i="13"/>
  <c r="N18" i="18"/>
  <c r="O17" i="18"/>
  <c r="O18" i="8"/>
  <c r="N19" i="8"/>
  <c r="N20" i="8" l="1"/>
  <c r="O19" i="8"/>
  <c r="N19" i="18"/>
  <c r="O18" i="18"/>
  <c r="N19" i="13"/>
  <c r="O18" i="13"/>
  <c r="N19" i="21"/>
  <c r="O18" i="21"/>
  <c r="O19" i="21" l="1"/>
  <c r="N20" i="21"/>
  <c r="O19" i="13"/>
  <c r="N20" i="13"/>
  <c r="N20" i="18"/>
  <c r="O19" i="18"/>
  <c r="N21" i="8"/>
  <c r="O20" i="8"/>
  <c r="O21" i="8" l="1"/>
  <c r="N22" i="8"/>
  <c r="N21" i="21"/>
  <c r="O20" i="21"/>
  <c r="N21" i="18"/>
  <c r="O20" i="18"/>
  <c r="N21" i="13"/>
  <c r="O20" i="13"/>
  <c r="O22" i="8" l="1"/>
  <c r="N23" i="8"/>
  <c r="N22" i="13"/>
  <c r="O21" i="13"/>
  <c r="N22" i="18"/>
  <c r="O21" i="18"/>
  <c r="N22" i="21"/>
  <c r="O21" i="21"/>
  <c r="N23" i="21" l="1"/>
  <c r="O22" i="21"/>
  <c r="N23" i="18"/>
  <c r="O22" i="18"/>
  <c r="N23" i="13"/>
  <c r="O22" i="13"/>
  <c r="N24" i="8"/>
  <c r="O23" i="8"/>
  <c r="O24" i="8" l="1"/>
  <c r="N25" i="8"/>
  <c r="N24" i="13"/>
  <c r="O23" i="13"/>
  <c r="N24" i="18"/>
  <c r="O23" i="18"/>
  <c r="O23" i="21"/>
  <c r="N24" i="21"/>
  <c r="N25" i="21" l="1"/>
  <c r="O24" i="21"/>
  <c r="N25" i="18"/>
  <c r="O24" i="18"/>
  <c r="N26" i="8"/>
  <c r="O25" i="8"/>
  <c r="O24" i="13"/>
  <c r="N25" i="13"/>
  <c r="O25" i="13" l="1"/>
  <c r="N26" i="13"/>
  <c r="N27" i="8"/>
  <c r="O26" i="8"/>
  <c r="N26" i="18"/>
  <c r="O25" i="18"/>
  <c r="O25" i="21"/>
  <c r="N26" i="21"/>
  <c r="N27" i="21" l="1"/>
  <c r="O26" i="21"/>
  <c r="O26" i="18"/>
  <c r="N27" i="18"/>
  <c r="N28" i="8"/>
  <c r="O27" i="8"/>
  <c r="N27" i="13"/>
  <c r="O26" i="13"/>
  <c r="N28" i="13" l="1"/>
  <c r="O27" i="13"/>
  <c r="N29" i="8"/>
  <c r="O28" i="8"/>
  <c r="N28" i="18"/>
  <c r="O27" i="18"/>
  <c r="O27" i="21"/>
  <c r="N28" i="21"/>
  <c r="N29" i="18" l="1"/>
  <c r="O28" i="18"/>
  <c r="N29" i="21"/>
  <c r="O28" i="21"/>
  <c r="O29" i="8"/>
  <c r="N30" i="8"/>
  <c r="N29" i="13"/>
  <c r="O28" i="13"/>
  <c r="N30" i="13" l="1"/>
  <c r="O29" i="13"/>
  <c r="O30" i="8"/>
  <c r="N31" i="8"/>
  <c r="N30" i="21"/>
  <c r="O29" i="21"/>
  <c r="N30" i="18"/>
  <c r="O29" i="18"/>
  <c r="N31" i="21" l="1"/>
  <c r="O30" i="21"/>
  <c r="N31" i="18"/>
  <c r="O30" i="18"/>
  <c r="N32" i="8"/>
  <c r="O31" i="8"/>
  <c r="O30" i="13"/>
  <c r="N31" i="13"/>
  <c r="N32" i="13" l="1"/>
  <c r="O31" i="13"/>
  <c r="O32" i="8"/>
  <c r="N33" i="8"/>
  <c r="N32" i="18"/>
  <c r="O31" i="18"/>
  <c r="N32" i="21"/>
  <c r="O31" i="21"/>
  <c r="N33" i="21" l="1"/>
  <c r="O32" i="21"/>
  <c r="N33" i="18"/>
  <c r="O32" i="18"/>
  <c r="O33" i="8"/>
  <c r="N34" i="8"/>
  <c r="O32" i="13"/>
  <c r="N33" i="13"/>
  <c r="N34" i="13" l="1"/>
  <c r="O33" i="13"/>
  <c r="O34" i="8"/>
  <c r="N35" i="8"/>
  <c r="N34" i="18"/>
  <c r="O33" i="18"/>
  <c r="N34" i="21"/>
  <c r="O33" i="21"/>
  <c r="N35" i="18" l="1"/>
  <c r="O34" i="18"/>
  <c r="N35" i="21"/>
  <c r="O34" i="21"/>
  <c r="N36" i="8"/>
  <c r="O35" i="8"/>
  <c r="N35" i="13"/>
  <c r="O34" i="13"/>
  <c r="N36" i="13" l="1"/>
  <c r="O35" i="13"/>
  <c r="O36" i="8"/>
  <c r="N37" i="8"/>
  <c r="N36" i="21"/>
  <c r="O35" i="21"/>
  <c r="N36" i="18"/>
  <c r="O35" i="18"/>
  <c r="O37" i="8" l="1"/>
  <c r="N38" i="8"/>
  <c r="N37" i="18"/>
  <c r="O36" i="18"/>
  <c r="N37" i="21"/>
  <c r="O36" i="21"/>
  <c r="N37" i="13"/>
  <c r="O36" i="13"/>
  <c r="O37" i="13" l="1"/>
  <c r="N38" i="13"/>
  <c r="O37" i="21"/>
  <c r="N38" i="21"/>
  <c r="N38" i="18"/>
  <c r="O37" i="18"/>
  <c r="N39" i="8"/>
  <c r="O38" i="8"/>
  <c r="N39" i="18" l="1"/>
  <c r="O38" i="18"/>
  <c r="O38" i="13"/>
  <c r="N39" i="13"/>
  <c r="N40" i="8"/>
  <c r="O39" i="8"/>
  <c r="N39" i="21"/>
  <c r="O38" i="21"/>
  <c r="O39" i="21" l="1"/>
  <c r="N40" i="21"/>
  <c r="N41" i="8"/>
  <c r="O40" i="8"/>
  <c r="O39" i="13"/>
  <c r="N40" i="13"/>
  <c r="N40" i="18"/>
  <c r="O39" i="18"/>
  <c r="N41" i="18" l="1"/>
  <c r="O40" i="18"/>
  <c r="N41" i="13"/>
  <c r="O40" i="13"/>
  <c r="N42" i="8"/>
  <c r="O41" i="8"/>
  <c r="N41" i="21"/>
  <c r="O40" i="21"/>
  <c r="N42" i="21" l="1"/>
  <c r="O41" i="21"/>
  <c r="N43" i="8"/>
  <c r="O42" i="8"/>
  <c r="O41" i="13"/>
  <c r="N42" i="13"/>
  <c r="N42" i="18"/>
  <c r="O41" i="18"/>
  <c r="O42" i="18" l="1"/>
  <c r="N43" i="18"/>
  <c r="N43" i="13"/>
  <c r="O42" i="13"/>
  <c r="N44" i="8"/>
  <c r="O43" i="8"/>
  <c r="N43" i="21"/>
  <c r="O42" i="21"/>
  <c r="N44" i="21" l="1"/>
  <c r="O43" i="21"/>
  <c r="N45" i="8"/>
  <c r="O44" i="8"/>
  <c r="N44" i="13"/>
  <c r="O43" i="13"/>
  <c r="N44" i="18"/>
  <c r="O43" i="18"/>
  <c r="N45" i="18" l="1"/>
  <c r="O44" i="18"/>
  <c r="N45" i="13"/>
  <c r="O44" i="13"/>
  <c r="N46" i="8"/>
  <c r="O45" i="8"/>
  <c r="N45" i="21"/>
  <c r="O44" i="21"/>
  <c r="O45" i="21" l="1"/>
  <c r="N46" i="21"/>
  <c r="N47" i="8"/>
  <c r="O46" i="8"/>
  <c r="O45" i="13"/>
  <c r="N46" i="13"/>
  <c r="N46" i="18"/>
  <c r="O45" i="18"/>
  <c r="N47" i="18" l="1"/>
  <c r="O46" i="18"/>
  <c r="N47" i="13"/>
  <c r="O46" i="13"/>
  <c r="N48" i="8"/>
  <c r="O47" i="8"/>
  <c r="N47" i="21"/>
  <c r="O46" i="21"/>
  <c r="N48" i="21" l="1"/>
  <c r="O47" i="21"/>
  <c r="N49" i="8"/>
  <c r="O48" i="8"/>
  <c r="O47" i="13"/>
  <c r="N48" i="13"/>
  <c r="N48" i="18"/>
  <c r="O47" i="18"/>
  <c r="N49" i="18" l="1"/>
  <c r="O48" i="18"/>
  <c r="N49" i="13"/>
  <c r="O48" i="13"/>
  <c r="N50" i="8"/>
  <c r="O49" i="8"/>
  <c r="N49" i="21"/>
  <c r="O48" i="21"/>
  <c r="N51" i="8" l="1"/>
  <c r="O50" i="8"/>
  <c r="N50" i="21"/>
  <c r="O49" i="21"/>
  <c r="N50" i="13"/>
  <c r="O49" i="13"/>
  <c r="N50" i="18"/>
  <c r="O49" i="18"/>
  <c r="N51" i="13" l="1"/>
  <c r="O50" i="13"/>
  <c r="N51" i="18"/>
  <c r="O50" i="18"/>
  <c r="N51" i="21"/>
  <c r="O50" i="21"/>
  <c r="O51" i="8"/>
  <c r="N52" i="8"/>
  <c r="O52" i="8" l="1"/>
  <c r="N53" i="8"/>
  <c r="N52" i="21"/>
  <c r="O51" i="21"/>
  <c r="N52" i="18"/>
  <c r="O51" i="18"/>
  <c r="N52" i="13"/>
  <c r="O51" i="13"/>
  <c r="N53" i="13" l="1"/>
  <c r="O52" i="13"/>
  <c r="O52" i="18"/>
  <c r="N53" i="18"/>
  <c r="N53" i="21"/>
  <c r="O52" i="21"/>
  <c r="N54" i="8"/>
  <c r="O53" i="8"/>
  <c r="N55" i="8" l="1"/>
  <c r="O54" i="8"/>
  <c r="N54" i="21"/>
  <c r="O53" i="21"/>
  <c r="N54" i="18"/>
  <c r="O53" i="18"/>
  <c r="N54" i="13"/>
  <c r="O53" i="13"/>
  <c r="O54" i="13" l="1"/>
  <c r="N55" i="13"/>
  <c r="N55" i="21"/>
  <c r="O54" i="21"/>
  <c r="N55" i="18"/>
  <c r="O54" i="18"/>
  <c r="N56" i="8"/>
  <c r="O55" i="8"/>
  <c r="N57" i="8" l="1"/>
  <c r="O56" i="8"/>
  <c r="N56" i="18"/>
  <c r="O55" i="18"/>
  <c r="O55" i="13"/>
  <c r="N56" i="13"/>
  <c r="N56" i="21"/>
  <c r="O55" i="21"/>
  <c r="N57" i="21" l="1"/>
  <c r="O56" i="21"/>
  <c r="N57" i="13"/>
  <c r="O56" i="13"/>
  <c r="N57" i="18"/>
  <c r="O56" i="18"/>
  <c r="N58" i="8"/>
  <c r="O57" i="8"/>
  <c r="O58" i="8" l="1"/>
  <c r="N59" i="8"/>
  <c r="N58" i="18"/>
  <c r="O57" i="18"/>
  <c r="N58" i="13"/>
  <c r="O57" i="13"/>
  <c r="N58" i="21"/>
  <c r="O57" i="21"/>
  <c r="N59" i="21" l="1"/>
  <c r="O58" i="21"/>
  <c r="N59" i="13"/>
  <c r="O58" i="13"/>
  <c r="N59" i="18"/>
  <c r="O58" i="18"/>
  <c r="O59" i="8"/>
  <c r="N60" i="8"/>
  <c r="N60" i="18" l="1"/>
  <c r="O59" i="18"/>
  <c r="N61" i="8"/>
  <c r="O60" i="8"/>
  <c r="O59" i="13"/>
  <c r="N60" i="13"/>
  <c r="N60" i="21"/>
  <c r="O59" i="21"/>
  <c r="N61" i="13" l="1"/>
  <c r="O60" i="13"/>
  <c r="N61" i="21"/>
  <c r="O60" i="21"/>
  <c r="N62" i="8"/>
  <c r="O61" i="8"/>
  <c r="O60" i="18"/>
  <c r="N61" i="18"/>
  <c r="N62" i="18" l="1"/>
  <c r="O61" i="18"/>
  <c r="N63" i="8"/>
  <c r="O62" i="8"/>
  <c r="N62" i="21"/>
  <c r="O61" i="21"/>
  <c r="O61" i="13"/>
  <c r="N62" i="13"/>
  <c r="N63" i="13" l="1"/>
  <c r="O62" i="13"/>
  <c r="N63" i="21"/>
  <c r="O62" i="21"/>
  <c r="N64" i="8"/>
  <c r="O63" i="8"/>
  <c r="N63" i="18"/>
  <c r="O62" i="18"/>
  <c r="N64" i="18" l="1"/>
  <c r="O63" i="18"/>
  <c r="O64" i="8"/>
  <c r="N65" i="8"/>
  <c r="O63" i="21"/>
  <c r="N64" i="21"/>
  <c r="N64" i="13"/>
  <c r="O63" i="13"/>
  <c r="N65" i="21" l="1"/>
  <c r="O64" i="21"/>
  <c r="N65" i="13"/>
  <c r="O64" i="13"/>
  <c r="N66" i="8"/>
  <c r="O65" i="8"/>
  <c r="N65" i="18"/>
  <c r="O64" i="18"/>
  <c r="N67" i="8" l="1"/>
  <c r="O66" i="8"/>
  <c r="N66" i="18"/>
  <c r="O65" i="18"/>
  <c r="O65" i="13"/>
  <c r="N66" i="13"/>
  <c r="N66" i="21"/>
  <c r="O65" i="21"/>
  <c r="N67" i="21" l="1"/>
  <c r="O66" i="21"/>
  <c r="N67" i="13"/>
  <c r="O66" i="13"/>
  <c r="N67" i="18"/>
  <c r="O66" i="18"/>
  <c r="N68" i="8"/>
  <c r="O67" i="8"/>
  <c r="N69" i="8" l="1"/>
  <c r="O68" i="8"/>
  <c r="N68" i="18"/>
  <c r="O67" i="18"/>
  <c r="O67" i="13"/>
  <c r="N68" i="13"/>
  <c r="N68" i="21"/>
  <c r="O67" i="21"/>
  <c r="N69" i="21" l="1"/>
  <c r="O68" i="21"/>
  <c r="N69" i="13"/>
  <c r="O68" i="13"/>
  <c r="N69" i="18"/>
  <c r="O68" i="18"/>
  <c r="O69" i="8"/>
  <c r="N70" i="8"/>
  <c r="N71" i="8" l="1"/>
  <c r="O70" i="8"/>
  <c r="N70" i="18"/>
  <c r="O69" i="18"/>
  <c r="N70" i="13"/>
  <c r="O69" i="13"/>
  <c r="N70" i="21"/>
  <c r="O69" i="21"/>
  <c r="N71" i="21" l="1"/>
  <c r="O70" i="21"/>
  <c r="N71" i="13"/>
  <c r="O70" i="13"/>
  <c r="N71" i="18"/>
  <c r="O70" i="18"/>
  <c r="N72" i="8"/>
  <c r="O71" i="8"/>
  <c r="O72" i="8" l="1"/>
  <c r="N73" i="8"/>
  <c r="N72" i="18"/>
  <c r="O71" i="18"/>
  <c r="O71" i="13"/>
  <c r="N72" i="13"/>
  <c r="O71" i="21"/>
  <c r="N72" i="21"/>
  <c r="N73" i="21" l="1"/>
  <c r="O72" i="21"/>
  <c r="N73" i="13"/>
  <c r="O72" i="13"/>
  <c r="O72" i="18"/>
  <c r="N73" i="18"/>
  <c r="O73" i="8"/>
  <c r="N74" i="8"/>
  <c r="N75" i="8" l="1"/>
  <c r="O74" i="8"/>
  <c r="O73" i="13"/>
  <c r="N74" i="13"/>
  <c r="N74" i="18"/>
  <c r="O73" i="18"/>
  <c r="N74" i="21"/>
  <c r="O73" i="21"/>
  <c r="N75" i="18" l="1"/>
  <c r="O74" i="18"/>
  <c r="N75" i="21"/>
  <c r="O74" i="21"/>
  <c r="N75" i="13"/>
  <c r="O74" i="13"/>
  <c r="N76" i="8"/>
  <c r="O75" i="8"/>
  <c r="O75" i="13" l="1"/>
  <c r="N76" i="13"/>
  <c r="N77" i="8"/>
  <c r="O76" i="8"/>
  <c r="O75" i="21"/>
  <c r="N76" i="21"/>
  <c r="N76" i="18"/>
  <c r="O75" i="18"/>
  <c r="O76" i="18" l="1"/>
  <c r="N77" i="18"/>
  <c r="N77" i="21"/>
  <c r="O76" i="21"/>
  <c r="N77" i="13"/>
  <c r="O76" i="13"/>
  <c r="N78" i="8"/>
  <c r="O77" i="8"/>
  <c r="N78" i="21" l="1"/>
  <c r="O77" i="21"/>
  <c r="N78" i="18"/>
  <c r="O77" i="18"/>
  <c r="O78" i="8"/>
  <c r="N79" i="8"/>
  <c r="O79" i="8" s="1"/>
  <c r="N78" i="13"/>
  <c r="O77" i="13"/>
  <c r="N79" i="13" l="1"/>
  <c r="O79" i="13" s="1"/>
  <c r="O78" i="13"/>
  <c r="N79" i="18"/>
  <c r="O79" i="18" s="1"/>
  <c r="O78" i="18"/>
  <c r="N79" i="21"/>
  <c r="O79" i="21" s="1"/>
  <c r="O78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00000000-0006-0000-0000-000003000000}">
      <text>
        <r>
          <rPr>
            <sz val="11"/>
            <color theme="1"/>
            <rFont val="Arial"/>
            <family val="2"/>
            <scheme val="minor"/>
          </rPr>
          <t>50000 Kc kompenzace nakladu
	-Dmitry Egorov</t>
        </r>
      </text>
    </comment>
    <comment ref="A8" authorId="0" shapeId="0" xr:uid="{00000000-0006-0000-0000-000001000000}">
      <text>
        <r>
          <rPr>
            <sz val="11"/>
            <color theme="1"/>
            <rFont val="Arial"/>
            <family val="2"/>
            <scheme val="minor"/>
          </rPr>
          <t>změna za Fajn zoo
	-Vilma Taborová</t>
        </r>
      </text>
    </comment>
    <comment ref="G8" authorId="0" shapeId="0" xr:uid="{00000000-0006-0000-0000-000002000000}">
      <text>
        <r>
          <rPr>
            <sz val="11"/>
            <color theme="1"/>
            <rFont val="Arial"/>
            <family val="2"/>
            <scheme val="minor"/>
          </rPr>
          <t>poskytneme 1 x měsíční rent free
	-Vilma Taborová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36" authorId="0" shapeId="0" xr:uid="{00000000-0006-0000-0400-000001000000}">
      <text>
        <r>
          <rPr>
            <sz val="11"/>
            <color theme="1"/>
            <rFont val="Arial"/>
            <family val="2"/>
            <scheme val="minor"/>
          </rPr>
          <t xml:space="preserve">Kompenzace Alza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V6" authorId="0" shapeId="0" xr:uid="{00000000-0006-0000-0600-000001000000}">
      <text>
        <r>
          <rPr>
            <sz val="11"/>
            <color theme="1"/>
            <rFont val="Arial"/>
            <family val="2"/>
            <scheme val="minor"/>
          </rPr>
          <t>390000 LHM
	-Dmitry Egorov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36" authorId="0" shapeId="0" xr:uid="{00000000-0006-0000-0A00-000001000000}">
      <text>
        <r>
          <rPr>
            <sz val="11"/>
            <color theme="1"/>
            <rFont val="Arial"/>
            <family val="2"/>
            <scheme val="minor"/>
          </rPr>
          <t xml:space="preserve">Kompenzace Alza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<sst xmlns="http://schemas.openxmlformats.org/spreadsheetml/2006/main" count="3481" uniqueCount="404">
  <si>
    <t>NÁJEMCE</t>
  </si>
  <si>
    <t>STAVEBNÍ PŘIPRAVENOST</t>
  </si>
  <si>
    <t>UŽITNÁ PLOCHA</t>
  </si>
  <si>
    <t>PLATEBNÍ OBDOBI</t>
  </si>
  <si>
    <t>NÁJEM EUR M2 BEZ DPH</t>
  </si>
  <si>
    <t>NÁJEM CZK M2 BEZ DPH</t>
  </si>
  <si>
    <t>NÁJEM MĚSÍC CZK BEZ DPH</t>
  </si>
  <si>
    <t>DPH</t>
  </si>
  <si>
    <t>SERVICE FIX m2</t>
  </si>
  <si>
    <t>SERVICE FIX</t>
  </si>
  <si>
    <t>DPH SERVICE FIX</t>
  </si>
  <si>
    <t>CELKEM BEZ DPH</t>
  </si>
  <si>
    <t>CELKEM VČETNĚ DPH</t>
  </si>
  <si>
    <t>JISTOTA / ZÁRUKA</t>
  </si>
  <si>
    <t>SMLOUVA OD</t>
  </si>
  <si>
    <t>SMLOUVA DO </t>
  </si>
  <si>
    <t>OPCE</t>
  </si>
  <si>
    <t>INDEXACE Nájem</t>
  </si>
  <si>
    <t>INDEXACE servisy</t>
  </si>
  <si>
    <t>shell and core</t>
  </si>
  <si>
    <t>Penny</t>
  </si>
  <si>
    <t>full fit-out</t>
  </si>
  <si>
    <t>měsíčně</t>
  </si>
  <si>
    <t>Dodatkem 3 x N vč. servisu</t>
  </si>
  <si>
    <t>15 let</t>
  </si>
  <si>
    <t>Alza</t>
  </si>
  <si>
    <t>pozemek</t>
  </si>
  <si>
    <t>od 2.roku 100%</t>
  </si>
  <si>
    <t>Myčka</t>
  </si>
  <si>
    <t>Pepco</t>
  </si>
  <si>
    <t>3 x N vc. servisu</t>
  </si>
  <si>
    <t>2 x 5 let</t>
  </si>
  <si>
    <t>Teta</t>
  </si>
  <si>
    <t>3 x N</t>
  </si>
  <si>
    <t>Traficon</t>
  </si>
  <si>
    <t>Salon Beauty</t>
  </si>
  <si>
    <t>Z-Box</t>
  </si>
  <si>
    <t>0 Kč</t>
  </si>
  <si>
    <t>CELKEM, rok</t>
  </si>
  <si>
    <t>CHECK</t>
  </si>
  <si>
    <t>Celkova plocha</t>
  </si>
  <si>
    <t>Celkovy najem rok</t>
  </si>
  <si>
    <t>Zastavitelnost pozemku</t>
  </si>
  <si>
    <t>Pozdovana zastavitelnost</t>
  </si>
  <si>
    <t>Kurz EUR/CZK</t>
  </si>
  <si>
    <t>Etapy</t>
  </si>
  <si>
    <t>Reformat</t>
  </si>
  <si>
    <t>Milník</t>
  </si>
  <si>
    <t>Podil milníku na projektu</t>
  </si>
  <si>
    <t>Úkol</t>
  </si>
  <si>
    <t>Začátek</t>
  </si>
  <si>
    <t>Konec</t>
  </si>
  <si>
    <t>Očekavány výsledek</t>
  </si>
  <si>
    <t>Výsledek</t>
  </si>
  <si>
    <t>Komentář</t>
  </si>
  <si>
    <t>Aktuální stav</t>
  </si>
  <si>
    <t>Odkaz</t>
  </si>
  <si>
    <t>Odpovědná osoba</t>
  </si>
  <si>
    <t>Podpůrné zdroje</t>
  </si>
  <si>
    <t>Přípravná fáze výstavby</t>
  </si>
  <si>
    <t>zapis KS</t>
  </si>
  <si>
    <t>Úkol (test)</t>
  </si>
  <si>
    <t>Projektování</t>
  </si>
  <si>
    <t>Nabýti SP</t>
  </si>
  <si>
    <t>Výstavba</t>
  </si>
  <si>
    <t>Nájem</t>
  </si>
  <si>
    <t>Najem</t>
  </si>
  <si>
    <t>Finacování</t>
  </si>
  <si>
    <t>Equity</t>
  </si>
  <si>
    <t>Akvizice</t>
  </si>
  <si>
    <t>Interní</t>
  </si>
  <si>
    <t>Začátek projektu</t>
  </si>
  <si>
    <t>TOTAL</t>
  </si>
  <si>
    <t>Dneska</t>
  </si>
  <si>
    <t>Podil milníku na projektu %</t>
  </si>
  <si>
    <t>Podil milníku na projektu Kč</t>
  </si>
  <si>
    <t>Vypočet den</t>
  </si>
  <si>
    <t xml:space="preserve">PROJEKT: </t>
  </si>
  <si>
    <t xml:space="preserve">Náklady </t>
  </si>
  <si>
    <t>Výnosy</t>
  </si>
  <si>
    <t>Fáze</t>
  </si>
  <si>
    <t xml:space="preserve">A. </t>
  </si>
  <si>
    <t xml:space="preserve">Akviziční náklady </t>
  </si>
  <si>
    <t>Časový odhad jednotlivých bodů ( počet měsiců)</t>
  </si>
  <si>
    <t>Mn.</t>
  </si>
  <si>
    <t>m2</t>
  </si>
  <si>
    <t>kč/m2</t>
  </si>
  <si>
    <t>Užitná plocha</t>
  </si>
  <si>
    <t>Dokončení</t>
  </si>
  <si>
    <t>cena m2</t>
  </si>
  <si>
    <t>servis fix</t>
  </si>
  <si>
    <t>Kč celkem</t>
  </si>
  <si>
    <t>Analýza pozemků</t>
  </si>
  <si>
    <t>kpl</t>
  </si>
  <si>
    <t>fakt</t>
  </si>
  <si>
    <t>Připrava projektu</t>
  </si>
  <si>
    <t>Nákup podílů</t>
  </si>
  <si>
    <t xml:space="preserve">Územní rozhodnutí </t>
  </si>
  <si>
    <t>vyjadřovaní DOSS</t>
  </si>
  <si>
    <t xml:space="preserve">Stavební povolení </t>
  </si>
  <si>
    <t>pct</t>
  </si>
  <si>
    <t>Vystavba projektu</t>
  </si>
  <si>
    <t xml:space="preserve">Kolaudace </t>
  </si>
  <si>
    <t>Celkem</t>
  </si>
  <si>
    <t>Celkem měsiců</t>
  </si>
  <si>
    <t>Cena na m2 prodejní plochy</t>
  </si>
  <si>
    <t>B.</t>
  </si>
  <si>
    <t>Celkem plocha m2</t>
  </si>
  <si>
    <t>Průměr</t>
  </si>
  <si>
    <t>Reziduální hodnota pozemku (Yield Development)</t>
  </si>
  <si>
    <t>Jednotka</t>
  </si>
  <si>
    <t>JC</t>
  </si>
  <si>
    <t>Celkem výnosy GRI (rok)</t>
  </si>
  <si>
    <t>Yield Development</t>
  </si>
  <si>
    <t>OPEX</t>
  </si>
  <si>
    <t>Roční nájem v Kč</t>
  </si>
  <si>
    <t>ZSPD</t>
  </si>
  <si>
    <t>YIELD Market</t>
  </si>
  <si>
    <t>Náklady projektu bez pozemku</t>
  </si>
  <si>
    <t>DPS 2.etapa</t>
  </si>
  <si>
    <t>Prodejce</t>
  </si>
  <si>
    <t>Pořizovací cena z YIELDu</t>
  </si>
  <si>
    <t>plan</t>
  </si>
  <si>
    <t>Prodej pozemku (% plochy)</t>
  </si>
  <si>
    <t>Hrubá reziduální hodnota pozemku</t>
  </si>
  <si>
    <t xml:space="preserve">Prodejní cena pozemek </t>
  </si>
  <si>
    <t>ČISTÁ REZIDUÁLNÍ HODNOTA POZEMKU</t>
  </si>
  <si>
    <t xml:space="preserve">Prodejní cena retail </t>
  </si>
  <si>
    <t>Prodejní cena celkem</t>
  </si>
  <si>
    <t>C.</t>
  </si>
  <si>
    <t>Reziduální hodnota pozemku (YIELD Market)</t>
  </si>
  <si>
    <t>Marže v %</t>
  </si>
  <si>
    <t>Marže v Kč</t>
  </si>
  <si>
    <t>Viceprace 1. etapa</t>
  </si>
  <si>
    <t>Investice do Lekvi Investment M s.r.o.</t>
  </si>
  <si>
    <t>Náklady na realizace stavby 2. etapa</t>
  </si>
  <si>
    <t>Úroky na častku podílů</t>
  </si>
  <si>
    <t xml:space="preserve">Prodejní cena </t>
  </si>
  <si>
    <t>Komunikace</t>
  </si>
  <si>
    <t>Úroky Lekvi Development 3 s.r.o.</t>
  </si>
  <si>
    <t>HTU</t>
  </si>
  <si>
    <t>Celkové úroky</t>
  </si>
  <si>
    <t>Vynucené investice</t>
  </si>
  <si>
    <t>Net profit LIM</t>
  </si>
  <si>
    <t>Total (Profit Lekvi Investment M s.r.o. a úroky)</t>
  </si>
  <si>
    <t>Hodnota pozemku po SP</t>
  </si>
  <si>
    <t>Kompenzace nakladu Alza</t>
  </si>
  <si>
    <t>ROI</t>
  </si>
  <si>
    <t>Marže %</t>
  </si>
  <si>
    <t>Marže Kč</t>
  </si>
  <si>
    <t>Distrbucni site 1. etapa</t>
  </si>
  <si>
    <t>Distrbucni site 2. etapa</t>
  </si>
  <si>
    <t>Stavební příspěvek PENNY</t>
  </si>
  <si>
    <t>D.</t>
  </si>
  <si>
    <t>Citlivostní analýza poklesu YIELD</t>
  </si>
  <si>
    <t>NET PROFIT</t>
  </si>
  <si>
    <t>Yield</t>
  </si>
  <si>
    <t>E.</t>
  </si>
  <si>
    <t>Citlivostní analýza změny ceny stavby (YIELD 7,2%)</t>
  </si>
  <si>
    <t>Δ stavby</t>
  </si>
  <si>
    <t>DD včetně odhadu nákladů</t>
  </si>
  <si>
    <t>příprava/měsíční rejt z kterého lze počítat měsíční skutečnost</t>
  </si>
  <si>
    <t>realizace/PM/TDI/měsíc</t>
  </si>
  <si>
    <t>Pripravna faze 1. etapa</t>
  </si>
  <si>
    <t>F.</t>
  </si>
  <si>
    <t>Citlivostní analýza pří prodloužení projektu</t>
  </si>
  <si>
    <t>Δ (mes)</t>
  </si>
  <si>
    <t>ptc</t>
  </si>
  <si>
    <t>month</t>
  </si>
  <si>
    <t>Soft costs 2.etapa</t>
  </si>
  <si>
    <t>Project management (Interní)</t>
  </si>
  <si>
    <t>Project management (Externí)</t>
  </si>
  <si>
    <t>Cost manager</t>
  </si>
  <si>
    <t>cost management VŘ GP</t>
  </si>
  <si>
    <t>cost management VŘ GD</t>
  </si>
  <si>
    <t>realizace cost management controling/měsíc</t>
  </si>
  <si>
    <t>Koordinátor BOZP</t>
  </si>
  <si>
    <t>Administrativní náklady</t>
  </si>
  <si>
    <t>Ostatní náklady</t>
  </si>
  <si>
    <t>Právní služby</t>
  </si>
  <si>
    <t>Marketing</t>
  </si>
  <si>
    <t>Letting fee</t>
  </si>
  <si>
    <t>F. Financial costs 1. etapa</t>
  </si>
  <si>
    <t>Poplatky za zpracování úvěru</t>
  </si>
  <si>
    <t>Úrokové náklady CZK uver</t>
  </si>
  <si>
    <t>p.a</t>
  </si>
  <si>
    <t>Úrokové náklady EUR uver po prevedeni</t>
  </si>
  <si>
    <t>F. Financial costs 2. etapa</t>
  </si>
  <si>
    <t>Zavazkova provize</t>
  </si>
  <si>
    <t>Bankovní poplatky</t>
  </si>
  <si>
    <t>Daně</t>
  </si>
  <si>
    <t>Sources</t>
  </si>
  <si>
    <t>Const. Loan</t>
  </si>
  <si>
    <t>Interest + Fees</t>
  </si>
  <si>
    <t>Construction Loan</t>
  </si>
  <si>
    <t>Equity Investment</t>
  </si>
  <si>
    <t>Total Sources</t>
  </si>
  <si>
    <t>Investice do projektu celkem:</t>
  </si>
  <si>
    <t>Cena na m2 prodejní plochy:</t>
  </si>
  <si>
    <t>fákt ke dni</t>
  </si>
  <si>
    <t>Cash -flow</t>
  </si>
  <si>
    <t>Součet</t>
  </si>
  <si>
    <t>param</t>
  </si>
  <si>
    <t>kol</t>
  </si>
  <si>
    <t>Vlastní zdroje</t>
  </si>
  <si>
    <t>Lekvi Investment M s.r.o. (1)</t>
  </si>
  <si>
    <t>(+)</t>
  </si>
  <si>
    <t>Lekvi Investment M s.r.o. (2)</t>
  </si>
  <si>
    <t>Equity 1</t>
  </si>
  <si>
    <t>Equity 2</t>
  </si>
  <si>
    <t>Cizí zdroje</t>
  </si>
  <si>
    <t>Úvěr Mezanin</t>
  </si>
  <si>
    <t>Úvěr Banka 2 etapa</t>
  </si>
  <si>
    <t>Úvěr Banka</t>
  </si>
  <si>
    <t>Příjmy z prodeje/Pronájmu</t>
  </si>
  <si>
    <t>Platby z pronájmu</t>
  </si>
  <si>
    <t>Platby z prodeje</t>
  </si>
  <si>
    <t>(+)/(-)</t>
  </si>
  <si>
    <t>Ostatní výnosy/Kauce</t>
  </si>
  <si>
    <t>Celkové zdroje</t>
  </si>
  <si>
    <t>Výdaje</t>
  </si>
  <si>
    <t>A. Land costs</t>
  </si>
  <si>
    <t>Výkup pohledávky</t>
  </si>
  <si>
    <t>(-)</t>
  </si>
  <si>
    <t>ZPF</t>
  </si>
  <si>
    <t>Předakviziční analýza</t>
  </si>
  <si>
    <t>Provize za nákup (INT)</t>
  </si>
  <si>
    <t>Provize za nákup (EXT)</t>
  </si>
  <si>
    <t>B. Architecture &amp; Engineering</t>
  </si>
  <si>
    <t>Projekt , architekt</t>
  </si>
  <si>
    <t>Engineering</t>
  </si>
  <si>
    <t>C. Constructions costs</t>
  </si>
  <si>
    <t>Náklady na realizace stavby</t>
  </si>
  <si>
    <t>Bourací práce</t>
  </si>
  <si>
    <t>Rekonstrukční náklady</t>
  </si>
  <si>
    <t>Náklady na inženýrské sítě</t>
  </si>
  <si>
    <t>Operativní náklady spojené s realizaci stavby</t>
  </si>
  <si>
    <t>Distrbucni site</t>
  </si>
  <si>
    <t>Rezerva</t>
  </si>
  <si>
    <t>D. Tenant improvements</t>
  </si>
  <si>
    <t>Tenant improvement</t>
  </si>
  <si>
    <t>Tenant contribution</t>
  </si>
  <si>
    <t>E. Soft costs</t>
  </si>
  <si>
    <t xml:space="preserve">Účetnictví </t>
  </si>
  <si>
    <t>Znalecké posudky</t>
  </si>
  <si>
    <t>F. Financial costs</t>
  </si>
  <si>
    <t>Poplatek za přístav</t>
  </si>
  <si>
    <t>Úrokové náklady</t>
  </si>
  <si>
    <t>F1.Interest</t>
  </si>
  <si>
    <t>Splátka úroku Lekvi Investment M s.r.o. (1)</t>
  </si>
  <si>
    <t>Splátka úroku Lekvi Investment M s.r.o. (2)</t>
  </si>
  <si>
    <t>Splátka úroku Equity 1</t>
  </si>
  <si>
    <t>Splátka úroku Equity 2</t>
  </si>
  <si>
    <t>Splátka úroku Mezanin</t>
  </si>
  <si>
    <t>Splátka úroku Banka 2 etapa</t>
  </si>
  <si>
    <t>Splátka úroku Banka</t>
  </si>
  <si>
    <t>Operational expenditures</t>
  </si>
  <si>
    <t>ostraha objektu + napojení na PCO</t>
  </si>
  <si>
    <t>pravidelný servis VZT - IVENT pro</t>
  </si>
  <si>
    <t>servisní práce (EPS)</t>
  </si>
  <si>
    <t>kontrola provozuschopnosti EPS</t>
  </si>
  <si>
    <t>Revize zařízení NN RETAIL</t>
  </si>
  <si>
    <t>služby zimní údržba</t>
  </si>
  <si>
    <t>letní údržba, sekání trávy, venkovní úklid</t>
  </si>
  <si>
    <t>požární ochrana</t>
  </si>
  <si>
    <t>pojištění podnikatelských rizik</t>
  </si>
  <si>
    <t>prohlídky aut. dveří</t>
  </si>
  <si>
    <t>kontrola požárních uzávěrů</t>
  </si>
  <si>
    <t>ORL - čištění, rozbory</t>
  </si>
  <si>
    <t>údržba retenční nádrže</t>
  </si>
  <si>
    <t>Tvorba finančních rezerv pro ostatní opravy a údržbu</t>
  </si>
  <si>
    <t>údržba společné příjezdové komunikace-je v rámci zimní i letní</t>
  </si>
  <si>
    <t>Hrubý odhad en bloc</t>
  </si>
  <si>
    <t>Property a facility management</t>
  </si>
  <si>
    <t>Účetnictví</t>
  </si>
  <si>
    <t>Provize za prodej  nemovitosti</t>
  </si>
  <si>
    <t>Capital expenditures</t>
  </si>
  <si>
    <t>Tenant improvements</t>
  </si>
  <si>
    <t>Lease hold estate</t>
  </si>
  <si>
    <t>Loan</t>
  </si>
  <si>
    <t>Splátka jistiny Lekvi Investment M s.r.o. (1)</t>
  </si>
  <si>
    <t>Splátka jistiny Equity 1</t>
  </si>
  <si>
    <t>Splátka jistiny Lekvi Investment M s.r.o. (2)</t>
  </si>
  <si>
    <t>Splátka jistiny Equity 2</t>
  </si>
  <si>
    <t>Splátka jistiny Business Angel</t>
  </si>
  <si>
    <t>Splátka jistiny Banka 2 etapa</t>
  </si>
  <si>
    <t>Splátka jistiny Banka</t>
  </si>
  <si>
    <t>Celkové výdaje</t>
  </si>
  <si>
    <t xml:space="preserve">Vysledek cash -flow </t>
  </si>
  <si>
    <t>Stav na BÚ</t>
  </si>
  <si>
    <t>Rozdělení zisku:
IRR projektu &lt; 25 %: zisk se rozdělí mezi investory v poměru k vlastnímu kapitálu. Development fee = 0
IRR projektu &gt; 25 %: nejprve je vyplacen Development fee = 20 %, zbytek zisku je rozdělen mezi investory v poměru k vlastnímu kapitálu.</t>
  </si>
  <si>
    <t>CF of investors</t>
  </si>
  <si>
    <t>IRR</t>
  </si>
  <si>
    <t>CF Development Fee</t>
  </si>
  <si>
    <t>Penežní tok Lekvi Investment M s.r.o.</t>
  </si>
  <si>
    <t>Sale of receivables</t>
  </si>
  <si>
    <t>Interest</t>
  </si>
  <si>
    <t>Profit</t>
  </si>
  <si>
    <t>Motivace od výnosu</t>
  </si>
  <si>
    <t>Penežní tok TOTAL</t>
  </si>
  <si>
    <t>Investice - úvěr</t>
  </si>
  <si>
    <t>Investice - podíl</t>
  </si>
  <si>
    <t>Celkem Investice</t>
  </si>
  <si>
    <t>Celkem Výnos</t>
  </si>
  <si>
    <t>Penežní tok LD A LDPI</t>
  </si>
  <si>
    <t>Purchase of receivables</t>
  </si>
  <si>
    <t>Saldo</t>
  </si>
  <si>
    <t>Penežní tok NanoProjekt-10 s.r.o.</t>
  </si>
  <si>
    <t>Penežní tok Gora-N Retail s.r.o.</t>
  </si>
  <si>
    <t>Penežní tok PGS-INVEST R s.r.o.</t>
  </si>
  <si>
    <t>Loan &amp; Interest Lekvi Development s.r.o.</t>
  </si>
  <si>
    <t xml:space="preserve">Loan &amp; Interest Equity 1 </t>
  </si>
  <si>
    <t>Loan &amp; Interest Equity 2</t>
  </si>
  <si>
    <t>Loan &amp; Interest Equity 3</t>
  </si>
  <si>
    <t>Month</t>
  </si>
  <si>
    <t>△ of loan</t>
  </si>
  <si>
    <t>Interests</t>
  </si>
  <si>
    <t>2.etapa</t>
  </si>
  <si>
    <t>Net profit</t>
  </si>
  <si>
    <t>Marže</t>
  </si>
  <si>
    <t>Potřeba &gt;17,00%</t>
  </si>
  <si>
    <t>Marže na nákladech</t>
  </si>
  <si>
    <t>Potřeba &gt;20,00%</t>
  </si>
  <si>
    <t>Motivační složka developera</t>
  </si>
  <si>
    <t>informativně</t>
  </si>
  <si>
    <t>Čistá marže na equity</t>
  </si>
  <si>
    <t>Úvěr Business Angel</t>
  </si>
  <si>
    <t>Nákup nemovitosti/pozemků</t>
  </si>
  <si>
    <t>Splátka úroku Business Angel (p.m.)</t>
  </si>
  <si>
    <t>SVJ</t>
  </si>
  <si>
    <t>Splátka jistiny Mezanin</t>
  </si>
  <si>
    <t>Jistina a podily</t>
  </si>
  <si>
    <t>Jistina, podily a výkup podílu</t>
  </si>
  <si>
    <t>Rozdíl</t>
  </si>
  <si>
    <t>-</t>
  </si>
  <si>
    <t>Penežní tok Equity 1</t>
  </si>
  <si>
    <t>Výlup pohledávky</t>
  </si>
  <si>
    <t>Lekvi Development s.r.o.</t>
  </si>
  <si>
    <t>Úvěr Mezanin 1</t>
  </si>
  <si>
    <t>Úvěr Mezanin 2</t>
  </si>
  <si>
    <t>Úvěr Business Angel 1</t>
  </si>
  <si>
    <t>Úvěr Business Angel 2</t>
  </si>
  <si>
    <t>Splátka úroku Lekvi Development s.r.o.</t>
  </si>
  <si>
    <t>Splátka úroku Equity 3</t>
  </si>
  <si>
    <t>Splátka úroku Mezanin 1</t>
  </si>
  <si>
    <t>Splátka úroku Mezanin 2</t>
  </si>
  <si>
    <t>Splátka úroku Business Angel 1</t>
  </si>
  <si>
    <t>Splátka úroku Business Angel 2</t>
  </si>
  <si>
    <t>Splátka jistiny Lekvi Development s.r.o.</t>
  </si>
  <si>
    <t>Splátka jistiny Equity 3</t>
  </si>
  <si>
    <t>Splátka jistiny Mezanin 1</t>
  </si>
  <si>
    <t>Splátka jistiny Mezanin 2</t>
  </si>
  <si>
    <t>Splátka jistiny Business Angel 1</t>
  </si>
  <si>
    <t>Splátka jistiny Business Angel 2</t>
  </si>
  <si>
    <t xml:space="preserve">Vysledek  EQUITY cash -flow </t>
  </si>
  <si>
    <t>Vysledek CASHFLOW</t>
  </si>
  <si>
    <t>Investservis</t>
  </si>
  <si>
    <t>Max plocha</t>
  </si>
  <si>
    <t>kooBOZP/měsíc/realizace/ příprava</t>
  </si>
  <si>
    <t>projekt do 2000m2/zast.plocha</t>
  </si>
  <si>
    <t>projekt do 4000m2/zas. plocha</t>
  </si>
  <si>
    <t>projekt do 6000m2/zast.plocha</t>
  </si>
  <si>
    <t>projekt nad 6000m2/zast.plocha</t>
  </si>
  <si>
    <t>PROJEKT: OC : prodej SPV (vystavba)</t>
  </si>
  <si>
    <t>Právo stavby do SP</t>
  </si>
  <si>
    <t>sevis fix</t>
  </si>
  <si>
    <t>Kč celkem bez SF</t>
  </si>
  <si>
    <t>Pozemek</t>
  </si>
  <si>
    <t>Provize</t>
  </si>
  <si>
    <t xml:space="preserve">Stavebně - konstrukční náklady </t>
  </si>
  <si>
    <t>Shell &amp; Core</t>
  </si>
  <si>
    <t>Fit-out</t>
  </si>
  <si>
    <t xml:space="preserve">Vynucené investice  </t>
  </si>
  <si>
    <t>Právo stavby</t>
  </si>
  <si>
    <t>Ostatní (přípojky)</t>
  </si>
  <si>
    <t>YIELD Development</t>
  </si>
  <si>
    <t>Potřeba &gt;9%</t>
  </si>
  <si>
    <t>Demolice</t>
  </si>
  <si>
    <t>Prime YIELD</t>
  </si>
  <si>
    <t>Reziduální hodnota pozemku</t>
  </si>
  <si>
    <t xml:space="preserve">Rezerva </t>
  </si>
  <si>
    <t>Marže na nákladech stávby %</t>
  </si>
  <si>
    <t>NET YIELD Development</t>
  </si>
  <si>
    <t>Marže na nákladech stávby  Kč</t>
  </si>
  <si>
    <t>LCGT discount</t>
  </si>
  <si>
    <t xml:space="preserve">Honoráře spojené s projektem </t>
  </si>
  <si>
    <t xml:space="preserve">Prodejni cena retail </t>
  </si>
  <si>
    <t xml:space="preserve">JC </t>
  </si>
  <si>
    <t>Architekt, projektant</t>
  </si>
  <si>
    <r>
      <rPr>
        <sz val="11"/>
        <color theme="1"/>
        <rFont val="Calibri"/>
        <family val="2"/>
      </rPr>
      <t xml:space="preserve">Projektový management (příprava +  realizace) - </t>
    </r>
    <r>
      <rPr>
        <u/>
        <sz val="11"/>
        <color theme="1"/>
        <rFont val="Calibri"/>
        <family val="2"/>
      </rPr>
      <t>interní manag.</t>
    </r>
  </si>
  <si>
    <r>
      <rPr>
        <sz val="11"/>
        <color theme="1"/>
        <rFont val="Calibri"/>
        <family val="2"/>
      </rPr>
      <t xml:space="preserve">Stavební dozor, koordinátor BOZP  - </t>
    </r>
    <r>
      <rPr>
        <u/>
        <sz val="11"/>
        <color theme="1"/>
        <rFont val="Calibri"/>
        <family val="2"/>
      </rPr>
      <t xml:space="preserve">externí management </t>
    </r>
  </si>
  <si>
    <t xml:space="preserve">kpl </t>
  </si>
  <si>
    <t xml:space="preserve">Právní služby </t>
  </si>
  <si>
    <t xml:space="preserve">Vícenáklady - rezerva </t>
  </si>
  <si>
    <t>Daň z převodu</t>
  </si>
  <si>
    <t xml:space="preserve">Záruka </t>
  </si>
  <si>
    <t xml:space="preserve">Administrativa společnosti </t>
  </si>
  <si>
    <t>Inženýring - ÚR, SP, kolaudace</t>
  </si>
  <si>
    <t>Privátní equita pozemek</t>
  </si>
  <si>
    <t>p.a.</t>
  </si>
  <si>
    <r>
      <rPr>
        <sz val="11"/>
        <color theme="1"/>
        <rFont val="Calibri"/>
        <family val="2"/>
      </rPr>
      <t xml:space="preserve">Bankovni </t>
    </r>
    <r>
      <rPr>
        <strike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financování  - vlastní realizace projektu </t>
    </r>
  </si>
  <si>
    <t xml:space="preserve">Privátní equita  - vlastní realizace projektu </t>
  </si>
  <si>
    <r>
      <rPr>
        <sz val="11"/>
        <color theme="1"/>
        <rFont val="Calibri"/>
        <family val="2"/>
      </rPr>
      <t xml:space="preserve">Bankovni </t>
    </r>
    <r>
      <rPr>
        <strike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financování  - pozemek po SP</t>
    </r>
  </si>
  <si>
    <t>Privátní equita - pozemek po 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</si>
</sst>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#,##0.0[$€]"/>
    <numFmt numFmtId="165" formatCode="#,##0.00[$€]"/>
    <numFmt numFmtId="166" formatCode="#,##0[$ Kč]"/>
    <numFmt numFmtId="167" formatCode="#,##0[$€]"/>
    <numFmt numFmtId="168" formatCode="#,##0.00\ [$Kč-405]"/>
    <numFmt numFmtId="169" formatCode="m\.yyyy"/>
    <numFmt numFmtId="170" formatCode="dd\.mm\.yyyy"/>
    <numFmt numFmtId="171" formatCode="d\.m\.yyyy"/>
    <numFmt numFmtId="172" formatCode="_-* #,##0\ [$Kč-405]_-;\-* #,##0\ [$Kč-405]_-;_-* &quot;-&quot;??\ [$Kč-405]_-;_-@"/>
    <numFmt numFmtId="173" formatCode="_-* #,##0.0\ [$Kč-405]_-;\-* #,##0.0\ [$Kč-405]_-;_-* &quot;-&quot;??\ [$Kč-405]_-;_-@"/>
    <numFmt numFmtId="174" formatCode="_-* #,##0.00\ [$Kč-405]_-;\-* #,##0.00\ [$Kč-405]_-;_-* &quot;-&quot;??\ [$Kč-405]_-;_-@"/>
    <numFmt numFmtId="175" formatCode="[Black]\ #,##0;[Red]\ \-#,##0"/>
    <numFmt numFmtId="176" formatCode="0.0%"/>
    <numFmt numFmtId="177" formatCode="#,##0_ ;\-#,##0\ "/>
    <numFmt numFmtId="178" formatCode="#,##0.00\ &quot;CZK&quot;"/>
    <numFmt numFmtId="179" formatCode="#,##0\ [$Kč-405]"/>
    <numFmt numFmtId="180" formatCode="_-* #,##0.00\ &quot;CZK&quot;_-;\-* #,##0.00\ &quot;CZK&quot;_-;_-* &quot;-&quot;??\ &quot;CZK&quot;_-;_-@"/>
    <numFmt numFmtId="181" formatCode="0.000%"/>
    <numFmt numFmtId="182" formatCode="yyyy&quot; &quot;"/>
    <numFmt numFmtId="183" formatCode="mmm&quot; &quot;"/>
    <numFmt numFmtId="184" formatCode="&quot; &quot;m&quot;. &quot;yyyy"/>
    <numFmt numFmtId="185" formatCode="#,##0.00[$ Kč]"/>
    <numFmt numFmtId="186" formatCode="#,##0\ [$Kč-405];\-#,##0\ [$Kč-405]"/>
  </numFmts>
  <fonts count="71">
    <font>
      <sz val="11"/>
      <color theme="1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rgb="FF9C0006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&quot;Times New Roman&quot;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2"/>
      <color theme="1"/>
      <name val="Calibri"/>
      <family val="2"/>
    </font>
    <font>
      <b/>
      <sz val="12"/>
      <color theme="1"/>
      <name val="&quot;Times New Roman&quot;"/>
    </font>
    <font>
      <sz val="12"/>
      <color rgb="FFFFFFFF"/>
      <name val="Calibri"/>
      <family val="2"/>
    </font>
    <font>
      <sz val="14"/>
      <color theme="1"/>
      <name val="Calibri"/>
      <family val="2"/>
    </font>
    <font>
      <b/>
      <u/>
      <sz val="26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26"/>
      <color theme="1"/>
      <name val="Calibri"/>
      <family val="2"/>
    </font>
    <font>
      <sz val="11"/>
      <name val="Arial"/>
      <family val="2"/>
    </font>
    <font>
      <b/>
      <sz val="16"/>
      <color theme="1"/>
      <name val="Calibri"/>
      <family val="2"/>
    </font>
    <font>
      <sz val="8"/>
      <color theme="1"/>
      <name val="Calibri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</font>
    <font>
      <sz val="11"/>
      <color rgb="FFFF0000"/>
      <name val="Calibri"/>
      <family val="2"/>
    </font>
    <font>
      <b/>
      <sz val="12"/>
      <color rgb="FF000000"/>
      <name val="Arial"/>
      <family val="2"/>
    </font>
    <font>
      <i/>
      <sz val="11"/>
      <color theme="1"/>
      <name val="Arial"/>
      <family val="2"/>
    </font>
    <font>
      <b/>
      <sz val="11"/>
      <color rgb="FFFF0000"/>
      <name val="Calibri"/>
      <family val="2"/>
    </font>
    <font>
      <i/>
      <sz val="11"/>
      <color theme="1"/>
      <name val="Calibri"/>
      <family val="2"/>
    </font>
    <font>
      <sz val="9"/>
      <color rgb="FFEA9999"/>
      <name val="Calibri"/>
      <family val="2"/>
    </font>
    <font>
      <i/>
      <sz val="10"/>
      <color theme="1"/>
      <name val="Calibri"/>
      <family val="2"/>
    </font>
    <font>
      <b/>
      <sz val="12"/>
      <color rgb="FFFF0000"/>
      <name val="Calibri"/>
      <family val="2"/>
    </font>
    <font>
      <sz val="9"/>
      <color rgb="FFFF0000"/>
      <name val="Calibri"/>
      <family val="2"/>
    </font>
    <font>
      <sz val="9"/>
      <color rgb="FF4285F4"/>
      <name val="Arial"/>
      <family val="2"/>
    </font>
    <font>
      <b/>
      <sz val="13"/>
      <color theme="1"/>
      <name val="Calibri"/>
      <family val="2"/>
    </font>
    <font>
      <b/>
      <i/>
      <sz val="10"/>
      <color theme="1"/>
      <name val="Calibri"/>
      <family val="2"/>
    </font>
    <font>
      <i/>
      <sz val="13"/>
      <color theme="1"/>
      <name val="Calibri"/>
      <family val="2"/>
    </font>
    <font>
      <b/>
      <i/>
      <sz val="11"/>
      <color theme="1"/>
      <name val="Calibri"/>
      <family val="2"/>
    </font>
    <font>
      <sz val="9"/>
      <color rgb="FF000000"/>
      <name val="Arial"/>
      <family val="2"/>
    </font>
    <font>
      <i/>
      <sz val="9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i/>
      <sz val="14"/>
      <color theme="1"/>
      <name val="Calibri"/>
      <family val="2"/>
    </font>
    <font>
      <b/>
      <sz val="16"/>
      <color rgb="FFFFFFFF"/>
      <name val="Calibri"/>
      <family val="2"/>
    </font>
    <font>
      <b/>
      <sz val="20"/>
      <color rgb="FFFFFFFF"/>
      <name val="Calibri"/>
      <family val="2"/>
    </font>
    <font>
      <b/>
      <sz val="20"/>
      <color theme="1"/>
      <name val="Calibri"/>
      <family val="2"/>
    </font>
    <font>
      <sz val="20"/>
      <color theme="1"/>
      <name val="Calibri"/>
      <family val="2"/>
    </font>
    <font>
      <sz val="11"/>
      <color rgb="FF244061"/>
      <name val="Arial"/>
      <family val="2"/>
    </font>
    <font>
      <b/>
      <sz val="12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sz val="11"/>
      <color rgb="FFFFFFFF"/>
      <name val="Arial"/>
      <family val="2"/>
      <scheme val="minor"/>
    </font>
    <font>
      <b/>
      <sz val="28"/>
      <color theme="1"/>
      <name val="Calibri"/>
      <family val="2"/>
    </font>
    <font>
      <b/>
      <sz val="18"/>
      <color rgb="FF00B050"/>
      <name val="Calibri"/>
      <family val="2"/>
    </font>
    <font>
      <b/>
      <sz val="28"/>
      <color rgb="FF00B050"/>
      <name val="Calibri"/>
      <family val="2"/>
    </font>
    <font>
      <b/>
      <sz val="22"/>
      <color theme="1"/>
      <name val="Calibri"/>
      <family val="2"/>
    </font>
    <font>
      <b/>
      <i/>
      <sz val="14"/>
      <color rgb="FF00B050"/>
      <name val="Calibri"/>
      <family val="2"/>
    </font>
    <font>
      <b/>
      <sz val="14"/>
      <color rgb="FF00B050"/>
      <name val="Calibri"/>
      <family val="2"/>
    </font>
    <font>
      <sz val="16"/>
      <color theme="1"/>
      <name val="Calibri"/>
      <family val="2"/>
    </font>
    <font>
      <sz val="11"/>
      <color rgb="FFFFFFFF"/>
      <name val="Calibri"/>
      <family val="2"/>
    </font>
    <font>
      <b/>
      <sz val="13"/>
      <color rgb="FFFF0000"/>
      <name val="Calibri"/>
      <family val="2"/>
    </font>
    <font>
      <sz val="10"/>
      <color rgb="FFFFFFFF"/>
      <name val="Arial"/>
      <family val="2"/>
      <scheme val="minor"/>
    </font>
    <font>
      <sz val="11"/>
      <color rgb="FF999999"/>
      <name val="Arial"/>
      <family val="2"/>
      <scheme val="minor"/>
    </font>
    <font>
      <i/>
      <sz val="12"/>
      <color theme="1"/>
      <name val="Calibri"/>
      <family val="2"/>
    </font>
    <font>
      <b/>
      <u/>
      <sz val="11"/>
      <color theme="1"/>
      <name val="Calibri"/>
      <family val="2"/>
    </font>
    <font>
      <b/>
      <u/>
      <sz val="17"/>
      <color theme="1"/>
      <name val="Calibri"/>
      <family val="2"/>
    </font>
    <font>
      <u/>
      <sz val="11"/>
      <color theme="1"/>
      <name val="Calibri"/>
      <family val="2"/>
    </font>
    <font>
      <strike/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FFC7CE"/>
        <bgColor rgb="FFFFC7CE"/>
      </patternFill>
    </fill>
    <fill>
      <patternFill patternType="solid">
        <fgColor rgb="FFCCCCCC"/>
        <bgColor rgb="FFCCCCCC"/>
      </patternFill>
    </fill>
    <fill>
      <patternFill patternType="solid">
        <fgColor rgb="FFFFE599"/>
        <bgColor rgb="FFFFE599"/>
      </patternFill>
    </fill>
    <fill>
      <patternFill patternType="solid">
        <fgColor rgb="FFEFEFEF"/>
        <bgColor rgb="FFEFEFEF"/>
      </patternFill>
    </fill>
    <fill>
      <patternFill patternType="solid">
        <fgColor rgb="FFE5B8B7"/>
        <bgColor rgb="FFE5B8B7"/>
      </patternFill>
    </fill>
    <fill>
      <patternFill patternType="solid">
        <fgColor rgb="FFC2D69B"/>
        <bgColor rgb="FFC2D69B"/>
      </patternFill>
    </fill>
    <fill>
      <patternFill patternType="solid">
        <fgColor theme="0"/>
        <bgColor theme="0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93C47D"/>
        <bgColor rgb="FF93C47D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E36C09"/>
        <bgColor rgb="FFE36C09"/>
      </patternFill>
    </fill>
    <fill>
      <patternFill patternType="solid">
        <fgColor rgb="FFED7D31"/>
        <bgColor rgb="FFED7D31"/>
      </patternFill>
    </fill>
    <fill>
      <patternFill patternType="solid">
        <fgColor rgb="FFFBE4D5"/>
        <bgColor rgb="FFFBE4D5"/>
      </patternFill>
    </fill>
    <fill>
      <patternFill patternType="solid">
        <fgColor rgb="FFF7CAAC"/>
        <bgColor rgb="FFF7CAAC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  <fill>
      <patternFill patternType="solid">
        <fgColor rgb="FF4A86E8"/>
        <bgColor rgb="FF4A86E8"/>
      </patternFill>
    </fill>
    <fill>
      <patternFill patternType="solid">
        <fgColor rgb="FF6FA8DC"/>
        <bgColor rgb="FF6FA8DC"/>
      </patternFill>
    </fill>
    <fill>
      <patternFill patternType="solid">
        <fgColor rgb="FFFEF2CB"/>
        <bgColor rgb="FFFEF2CB"/>
      </patternFill>
    </fill>
    <fill>
      <patternFill patternType="solid">
        <fgColor rgb="FFA8D08D"/>
        <bgColor rgb="FFA8D08D"/>
      </patternFill>
    </fill>
    <fill>
      <patternFill patternType="solid">
        <fgColor rgb="FFFFF2CC"/>
        <bgColor rgb="FFFFF2CC"/>
      </patternFill>
    </fill>
    <fill>
      <patternFill patternType="solid">
        <fgColor rgb="FF9FC5E8"/>
        <bgColor rgb="FF9FC5E8"/>
      </patternFill>
    </fill>
    <fill>
      <patternFill patternType="solid">
        <fgColor rgb="FF00FF00"/>
        <bgColor rgb="FF00FF00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rgb="FFA4C2F4"/>
        <bgColor rgb="FFA4C2F4"/>
      </patternFill>
    </fill>
    <fill>
      <patternFill patternType="solid">
        <fgColor rgb="FF92D050"/>
        <bgColor rgb="FF92D050"/>
      </patternFill>
    </fill>
    <fill>
      <patternFill patternType="solid">
        <fgColor rgb="FF00B050"/>
        <bgColor rgb="FF00B050"/>
      </patternFill>
    </fill>
  </fills>
  <borders count="10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double">
        <color rgb="FF000000"/>
      </right>
      <top/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hair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 style="thick">
        <color rgb="FF000000"/>
      </left>
      <right style="hair">
        <color rgb="FF000000"/>
      </right>
      <top style="thick">
        <color rgb="FF000000"/>
      </top>
      <bottom style="thick">
        <color rgb="FF000000"/>
      </bottom>
      <diagonal/>
    </border>
    <border>
      <left style="hair">
        <color rgb="FF000000"/>
      </left>
      <right style="hair">
        <color rgb="FF000000"/>
      </right>
      <top style="thick">
        <color rgb="FF000000"/>
      </top>
      <bottom style="thick">
        <color rgb="FF000000"/>
      </bottom>
      <diagonal/>
    </border>
    <border>
      <left style="hair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/>
      <diagonal/>
    </border>
    <border>
      <left/>
      <right style="thin">
        <color rgb="FF000000"/>
      </right>
      <top style="thick">
        <color rgb="FF000000"/>
      </top>
      <bottom style="hair">
        <color rgb="FF000000"/>
      </bottom>
      <diagonal/>
    </border>
    <border>
      <left/>
      <right/>
      <top style="thick">
        <color rgb="FF000000"/>
      </top>
      <bottom style="hair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hair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hair">
        <color rgb="FF000000"/>
      </right>
      <top style="thick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1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3" fillId="0" borderId="1" xfId="0" applyFont="1" applyBorder="1"/>
    <xf numFmtId="0" fontId="3" fillId="0" borderId="2" xfId="0" applyFont="1" applyBorder="1"/>
    <xf numFmtId="0" fontId="3" fillId="0" borderId="2" xfId="0" applyFont="1" applyBorder="1" applyAlignment="1">
      <alignment horizontal="right"/>
    </xf>
    <xf numFmtId="164" fontId="3" fillId="0" borderId="2" xfId="0" applyNumberFormat="1" applyFont="1" applyBorder="1"/>
    <xf numFmtId="165" fontId="3" fillId="0" borderId="2" xfId="0" applyNumberFormat="1" applyFont="1" applyBorder="1" applyAlignment="1">
      <alignment horizontal="right"/>
    </xf>
    <xf numFmtId="166" fontId="3" fillId="0" borderId="2" xfId="0" applyNumberFormat="1" applyFont="1" applyBorder="1" applyAlignment="1">
      <alignment horizontal="right"/>
    </xf>
    <xf numFmtId="0" fontId="3" fillId="2" borderId="3" xfId="0" applyFont="1" applyFill="1" applyBorder="1"/>
    <xf numFmtId="0" fontId="3" fillId="0" borderId="4" xfId="0" applyFont="1" applyBorder="1"/>
    <xf numFmtId="0" fontId="3" fillId="0" borderId="4" xfId="0" applyFont="1" applyBorder="1" applyAlignment="1">
      <alignment horizontal="right"/>
    </xf>
    <xf numFmtId="164" fontId="3" fillId="0" borderId="4" xfId="0" applyNumberFormat="1" applyFont="1" applyBorder="1"/>
    <xf numFmtId="166" fontId="3" fillId="0" borderId="4" xfId="0" applyNumberFormat="1" applyFont="1" applyBorder="1" applyAlignment="1">
      <alignment horizontal="right"/>
    </xf>
    <xf numFmtId="0" fontId="3" fillId="3" borderId="3" xfId="0" applyFont="1" applyFill="1" applyBorder="1"/>
    <xf numFmtId="0" fontId="3" fillId="0" borderId="3" xfId="0" applyFont="1" applyBorder="1"/>
    <xf numFmtId="166" fontId="4" fillId="4" borderId="4" xfId="0" applyNumberFormat="1" applyFont="1" applyFill="1" applyBorder="1" applyAlignment="1">
      <alignment horizontal="right"/>
    </xf>
    <xf numFmtId="0" fontId="3" fillId="2" borderId="4" xfId="0" applyFont="1" applyFill="1" applyBorder="1"/>
    <xf numFmtId="167" fontId="3" fillId="0" borderId="4" xfId="0" applyNumberFormat="1" applyFont="1" applyBorder="1"/>
    <xf numFmtId="165" fontId="3" fillId="2" borderId="2" xfId="0" applyNumberFormat="1" applyFont="1" applyFill="1" applyBorder="1" applyAlignment="1">
      <alignment horizontal="right"/>
    </xf>
    <xf numFmtId="164" fontId="3" fillId="0" borderId="2" xfId="0" applyNumberFormat="1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66" fontId="1" fillId="5" borderId="1" xfId="0" applyNumberFormat="1" applyFont="1" applyFill="1" applyBorder="1"/>
    <xf numFmtId="0" fontId="5" fillId="0" borderId="0" xfId="0" applyFont="1"/>
    <xf numFmtId="4" fontId="5" fillId="0" borderId="0" xfId="0" applyNumberFormat="1" applyFont="1"/>
    <xf numFmtId="0" fontId="3" fillId="0" borderId="0" xfId="0" applyFont="1"/>
    <xf numFmtId="168" fontId="5" fillId="0" borderId="0" xfId="0" applyNumberFormat="1" applyFont="1"/>
    <xf numFmtId="0" fontId="7" fillId="7" borderId="1" xfId="0" applyFont="1" applyFill="1" applyBorder="1" applyAlignment="1">
      <alignment horizontal="center"/>
    </xf>
    <xf numFmtId="17" fontId="5" fillId="0" borderId="0" xfId="0" applyNumberFormat="1" applyFont="1"/>
    <xf numFmtId="0" fontId="8" fillId="7" borderId="3" xfId="0" applyFont="1" applyFill="1" applyBorder="1" applyAlignment="1">
      <alignment horizontal="center" wrapText="1"/>
    </xf>
    <xf numFmtId="0" fontId="9" fillId="7" borderId="6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9" fontId="10" fillId="7" borderId="3" xfId="0" applyNumberFormat="1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170" fontId="9" fillId="7" borderId="1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/>
    </xf>
    <xf numFmtId="171" fontId="9" fillId="7" borderId="1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 wrapText="1"/>
    </xf>
    <xf numFmtId="0" fontId="11" fillId="0" borderId="0" xfId="0" applyFont="1"/>
    <xf numFmtId="0" fontId="12" fillId="7" borderId="1" xfId="0" applyFont="1" applyFill="1" applyBorder="1" applyAlignment="1">
      <alignment horizontal="center"/>
    </xf>
    <xf numFmtId="170" fontId="12" fillId="7" borderId="5" xfId="0" applyNumberFormat="1" applyFont="1" applyFill="1" applyBorder="1" applyAlignment="1">
      <alignment horizontal="center"/>
    </xf>
    <xf numFmtId="0" fontId="12" fillId="7" borderId="5" xfId="0" applyFont="1" applyFill="1" applyBorder="1" applyAlignment="1">
      <alignment horizontal="center"/>
    </xf>
    <xf numFmtId="168" fontId="12" fillId="7" borderId="5" xfId="0" applyNumberFormat="1" applyFont="1" applyFill="1" applyBorder="1" applyAlignment="1">
      <alignment horizontal="center"/>
    </xf>
    <xf numFmtId="0" fontId="11" fillId="7" borderId="5" xfId="0" applyFont="1" applyFill="1" applyBorder="1"/>
    <xf numFmtId="14" fontId="12" fillId="7" borderId="5" xfId="0" applyNumberFormat="1" applyFont="1" applyFill="1" applyBorder="1" applyAlignment="1">
      <alignment horizontal="center"/>
    </xf>
    <xf numFmtId="172" fontId="13" fillId="0" borderId="0" xfId="0" applyNumberFormat="1" applyFont="1" applyAlignment="1">
      <alignment horizontal="right"/>
    </xf>
    <xf numFmtId="0" fontId="12" fillId="7" borderId="3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9" fontId="8" fillId="7" borderId="4" xfId="0" applyNumberFormat="1" applyFont="1" applyFill="1" applyBorder="1" applyAlignment="1">
      <alignment horizontal="center"/>
    </xf>
    <xf numFmtId="168" fontId="8" fillId="7" borderId="4" xfId="0" applyNumberFormat="1" applyFont="1" applyFill="1" applyBorder="1" applyAlignment="1">
      <alignment horizontal="center"/>
    </xf>
    <xf numFmtId="170" fontId="8" fillId="7" borderId="4" xfId="0" applyNumberFormat="1" applyFont="1" applyFill="1" applyBorder="1" applyAlignment="1">
      <alignment horizontal="center"/>
    </xf>
    <xf numFmtId="168" fontId="11" fillId="0" borderId="0" xfId="0" applyNumberFormat="1" applyFont="1"/>
    <xf numFmtId="171" fontId="8" fillId="7" borderId="3" xfId="0" applyNumberFormat="1" applyFont="1" applyFill="1" applyBorder="1" applyAlignment="1">
      <alignment horizontal="center"/>
    </xf>
    <xf numFmtId="168" fontId="9" fillId="7" borderId="3" xfId="0" applyNumberFormat="1" applyFont="1" applyFill="1" applyBorder="1" applyAlignment="1">
      <alignment horizontal="center" vertical="center"/>
    </xf>
    <xf numFmtId="171" fontId="10" fillId="7" borderId="3" xfId="0" applyNumberFormat="1" applyFont="1" applyFill="1" applyBorder="1" applyAlignment="1">
      <alignment horizontal="center" vertical="center"/>
    </xf>
    <xf numFmtId="168" fontId="9" fillId="7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73" fontId="18" fillId="0" borderId="0" xfId="0" applyNumberFormat="1" applyFont="1" applyAlignment="1">
      <alignment vertical="center"/>
    </xf>
    <xf numFmtId="17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vertical="center"/>
    </xf>
    <xf numFmtId="174" fontId="19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7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vertical="center"/>
    </xf>
    <xf numFmtId="0" fontId="22" fillId="0" borderId="8" xfId="0" applyFont="1" applyBorder="1" applyAlignment="1">
      <alignment horizontal="center" vertical="center"/>
    </xf>
    <xf numFmtId="174" fontId="16" fillId="0" borderId="8" xfId="0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vertical="center"/>
    </xf>
    <xf numFmtId="3" fontId="23" fillId="0" borderId="10" xfId="0" applyNumberFormat="1" applyFont="1" applyBorder="1" applyAlignment="1">
      <alignment horizontal="center" vertical="center"/>
    </xf>
    <xf numFmtId="173" fontId="23" fillId="0" borderId="10" xfId="0" applyNumberFormat="1" applyFont="1" applyBorder="1" applyAlignment="1">
      <alignment horizontal="center" vertical="center"/>
    </xf>
    <xf numFmtId="174" fontId="16" fillId="0" borderId="11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173" fontId="23" fillId="0" borderId="11" xfId="0" applyNumberFormat="1" applyFont="1" applyBorder="1" applyAlignment="1">
      <alignment horizontal="center" vertical="center"/>
    </xf>
    <xf numFmtId="0" fontId="24" fillId="0" borderId="13" xfId="0" applyFont="1" applyBorder="1"/>
    <xf numFmtId="0" fontId="24" fillId="0" borderId="14" xfId="0" applyFont="1" applyBorder="1" applyAlignment="1">
      <alignment horizontal="center" vertical="center"/>
    </xf>
    <xf numFmtId="3" fontId="16" fillId="0" borderId="15" xfId="0" applyNumberFormat="1" applyFont="1" applyBorder="1" applyAlignment="1">
      <alignment horizontal="center" vertical="center"/>
    </xf>
    <xf numFmtId="172" fontId="16" fillId="10" borderId="16" xfId="0" applyNumberFormat="1" applyFont="1" applyFill="1" applyBorder="1" applyAlignment="1">
      <alignment vertical="center"/>
    </xf>
    <xf numFmtId="172" fontId="16" fillId="10" borderId="17" xfId="0" applyNumberFormat="1" applyFont="1" applyFill="1" applyBorder="1" applyAlignment="1">
      <alignment vertical="center"/>
    </xf>
    <xf numFmtId="0" fontId="24" fillId="0" borderId="18" xfId="0" applyFont="1" applyBorder="1"/>
    <xf numFmtId="0" fontId="24" fillId="0" borderId="1" xfId="0" applyFont="1" applyBorder="1" applyAlignment="1">
      <alignment horizontal="center" vertical="center"/>
    </xf>
    <xf numFmtId="172" fontId="25" fillId="10" borderId="1" xfId="0" applyNumberFormat="1" applyFont="1" applyFill="1" applyBorder="1" applyAlignment="1">
      <alignment vertical="center"/>
    </xf>
    <xf numFmtId="172" fontId="25" fillId="10" borderId="19" xfId="0" applyNumberFormat="1" applyFont="1" applyFill="1" applyBorder="1" applyAlignment="1">
      <alignment vertical="center"/>
    </xf>
    <xf numFmtId="0" fontId="24" fillId="0" borderId="20" xfId="0" applyFont="1" applyBorder="1"/>
    <xf numFmtId="0" fontId="24" fillId="0" borderId="21" xfId="0" applyFont="1" applyBorder="1" applyAlignment="1">
      <alignment horizontal="center" vertical="center"/>
    </xf>
    <xf numFmtId="172" fontId="26" fillId="0" borderId="15" xfId="0" applyNumberFormat="1" applyFont="1" applyBorder="1" applyAlignment="1">
      <alignment vertical="center"/>
    </xf>
    <xf numFmtId="172" fontId="16" fillId="0" borderId="22" xfId="0" applyNumberFormat="1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172" fontId="19" fillId="0" borderId="8" xfId="0" applyNumberFormat="1" applyFont="1" applyBorder="1" applyAlignment="1">
      <alignment vertical="center"/>
    </xf>
    <xf numFmtId="0" fontId="27" fillId="0" borderId="20" xfId="0" applyFont="1" applyBorder="1"/>
    <xf numFmtId="0" fontId="24" fillId="0" borderId="19" xfId="0" applyFont="1" applyBorder="1" applyAlignment="1">
      <alignment horizontal="center" vertical="center"/>
    </xf>
    <xf numFmtId="9" fontId="16" fillId="0" borderId="15" xfId="0" applyNumberFormat="1" applyFont="1" applyBorder="1" applyAlignment="1">
      <alignment horizontal="center" vertical="center"/>
    </xf>
    <xf numFmtId="172" fontId="25" fillId="0" borderId="8" xfId="0" applyNumberFormat="1" applyFont="1" applyBorder="1" applyAlignment="1">
      <alignment horizontal="center" vertical="center"/>
    </xf>
    <xf numFmtId="0" fontId="24" fillId="0" borderId="23" xfId="0" applyFont="1" applyBorder="1"/>
    <xf numFmtId="0" fontId="25" fillId="0" borderId="24" xfId="0" applyFont="1" applyBorder="1" applyAlignment="1">
      <alignment horizontal="center" vertical="center"/>
    </xf>
    <xf numFmtId="0" fontId="25" fillId="8" borderId="25" xfId="0" applyFont="1" applyFill="1" applyBorder="1" applyAlignment="1">
      <alignment vertical="center"/>
    </xf>
    <xf numFmtId="172" fontId="19" fillId="0" borderId="8" xfId="0" applyNumberFormat="1" applyFont="1" applyBorder="1" applyAlignment="1">
      <alignment horizontal="center" vertical="center" wrapText="1"/>
    </xf>
    <xf numFmtId="0" fontId="17" fillId="9" borderId="27" xfId="0" applyFont="1" applyFill="1" applyBorder="1" applyAlignment="1">
      <alignment horizontal="left" vertical="center"/>
    </xf>
    <xf numFmtId="1" fontId="17" fillId="9" borderId="28" xfId="0" applyNumberFormat="1" applyFont="1" applyFill="1" applyBorder="1" applyAlignment="1">
      <alignment horizontal="center" vertical="center"/>
    </xf>
    <xf numFmtId="0" fontId="28" fillId="0" borderId="0" xfId="0" applyFont="1"/>
    <xf numFmtId="172" fontId="28" fillId="0" borderId="0" xfId="0" applyNumberFormat="1" applyFont="1"/>
    <xf numFmtId="0" fontId="19" fillId="0" borderId="25" xfId="0" applyFont="1" applyBorder="1" applyAlignment="1">
      <alignment horizontal="left" vertical="center"/>
    </xf>
    <xf numFmtId="4" fontId="16" fillId="0" borderId="29" xfId="0" applyNumberFormat="1" applyFont="1" applyBorder="1" applyAlignment="1">
      <alignment horizontal="center" vertical="center"/>
    </xf>
    <xf numFmtId="3" fontId="16" fillId="0" borderId="29" xfId="0" applyNumberFormat="1" applyFont="1" applyBorder="1" applyAlignment="1">
      <alignment horizontal="center" vertical="center"/>
    </xf>
    <xf numFmtId="172" fontId="16" fillId="0" borderId="29" xfId="0" applyNumberFormat="1" applyFont="1" applyBorder="1" applyAlignment="1">
      <alignment horizontal="center" vertical="center"/>
    </xf>
    <xf numFmtId="172" fontId="16" fillId="0" borderId="29" xfId="0" applyNumberFormat="1" applyFont="1" applyBorder="1" applyAlignment="1">
      <alignment vertical="center"/>
    </xf>
    <xf numFmtId="172" fontId="16" fillId="0" borderId="30" xfId="0" applyNumberFormat="1" applyFont="1" applyBorder="1" applyAlignment="1">
      <alignment horizontal="center" vertical="center"/>
    </xf>
    <xf numFmtId="0" fontId="23" fillId="0" borderId="9" xfId="0" applyFont="1" applyBorder="1" applyAlignment="1">
      <alignment vertical="center"/>
    </xf>
    <xf numFmtId="0" fontId="23" fillId="0" borderId="10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17" fillId="9" borderId="31" xfId="0" applyFont="1" applyFill="1" applyBorder="1" applyAlignment="1">
      <alignment horizontal="left" vertical="center"/>
    </xf>
    <xf numFmtId="0" fontId="25" fillId="0" borderId="18" xfId="0" applyFont="1" applyBorder="1" applyAlignment="1">
      <alignment vertical="center"/>
    </xf>
    <xf numFmtId="176" fontId="25" fillId="0" borderId="32" xfId="0" applyNumberFormat="1" applyFont="1" applyBorder="1" applyAlignment="1">
      <alignment horizontal="right"/>
    </xf>
    <xf numFmtId="175" fontId="16" fillId="10" borderId="33" xfId="0" applyNumberFormat="1" applyFont="1" applyFill="1" applyBorder="1" applyAlignment="1">
      <alignment vertical="center" wrapText="1"/>
    </xf>
    <xf numFmtId="177" fontId="16" fillId="10" borderId="16" xfId="0" applyNumberFormat="1" applyFont="1" applyFill="1" applyBorder="1" applyAlignment="1">
      <alignment horizontal="center" vertical="center"/>
    </xf>
    <xf numFmtId="172" fontId="16" fillId="10" borderId="16" xfId="0" applyNumberFormat="1" applyFont="1" applyFill="1" applyBorder="1" applyAlignment="1">
      <alignment horizontal="center" vertical="center"/>
    </xf>
    <xf numFmtId="9" fontId="29" fillId="0" borderId="16" xfId="0" applyNumberFormat="1" applyFont="1" applyBorder="1" applyAlignment="1">
      <alignment vertical="center"/>
    </xf>
    <xf numFmtId="172" fontId="19" fillId="10" borderId="17" xfId="0" applyNumberFormat="1" applyFont="1" applyFill="1" applyBorder="1" applyAlignment="1">
      <alignment horizontal="center" vertical="center"/>
    </xf>
    <xf numFmtId="172" fontId="16" fillId="0" borderId="8" xfId="0" applyNumberFormat="1" applyFont="1" applyBorder="1" applyAlignment="1">
      <alignment horizontal="center" vertical="center"/>
    </xf>
    <xf numFmtId="3" fontId="16" fillId="0" borderId="1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vertical="center"/>
    </xf>
    <xf numFmtId="172" fontId="25" fillId="0" borderId="19" xfId="0" applyNumberFormat="1" applyFont="1" applyBorder="1" applyAlignment="1">
      <alignment horizontal="center" vertical="center"/>
    </xf>
    <xf numFmtId="0" fontId="25" fillId="0" borderId="20" xfId="0" applyFont="1" applyBorder="1"/>
    <xf numFmtId="172" fontId="25" fillId="0" borderId="32" xfId="0" applyNumberFormat="1" applyFont="1" applyBorder="1" applyAlignment="1">
      <alignment horizontal="center"/>
    </xf>
    <xf numFmtId="0" fontId="33" fillId="0" borderId="23" xfId="0" applyFont="1" applyBorder="1" applyAlignment="1">
      <alignment horizontal="left" vertical="center"/>
    </xf>
    <xf numFmtId="3" fontId="16" fillId="0" borderId="34" xfId="0" applyNumberFormat="1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173" fontId="16" fillId="0" borderId="34" xfId="0" applyNumberFormat="1" applyFont="1" applyBorder="1" applyAlignment="1">
      <alignment vertical="center"/>
    </xf>
    <xf numFmtId="10" fontId="25" fillId="0" borderId="24" xfId="0" applyNumberFormat="1" applyFont="1" applyBorder="1" applyAlignment="1">
      <alignment horizontal="center" vertical="center"/>
    </xf>
    <xf numFmtId="0" fontId="33" fillId="0" borderId="35" xfId="0" applyFont="1" applyBorder="1" applyAlignment="1">
      <alignment horizontal="left" vertical="center"/>
    </xf>
    <xf numFmtId="3" fontId="16" fillId="0" borderId="36" xfId="0" applyNumberFormat="1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176" fontId="16" fillId="0" borderId="36" xfId="0" applyNumberFormat="1" applyFont="1" applyBorder="1" applyAlignment="1">
      <alignment vertical="center"/>
    </xf>
    <xf numFmtId="178" fontId="25" fillId="0" borderId="37" xfId="0" applyNumberFormat="1" applyFont="1" applyBorder="1" applyAlignment="1">
      <alignment horizontal="right" vertical="center"/>
    </xf>
    <xf numFmtId="175" fontId="16" fillId="10" borderId="38" xfId="0" applyNumberFormat="1" applyFont="1" applyFill="1" applyBorder="1" applyAlignment="1">
      <alignment vertical="center" wrapText="1"/>
    </xf>
    <xf numFmtId="0" fontId="16" fillId="0" borderId="8" xfId="0" applyFont="1" applyBorder="1" applyAlignment="1">
      <alignment horizontal="center" vertical="center"/>
    </xf>
    <xf numFmtId="0" fontId="17" fillId="11" borderId="35" xfId="0" applyFont="1" applyFill="1" applyBorder="1" applyAlignment="1">
      <alignment horizontal="left" vertical="center"/>
    </xf>
    <xf numFmtId="0" fontId="25" fillId="0" borderId="39" xfId="0" applyFont="1" applyBorder="1"/>
    <xf numFmtId="178" fontId="25" fillId="0" borderId="24" xfId="0" applyNumberFormat="1" applyFont="1" applyBorder="1" applyAlignment="1">
      <alignment horizontal="right" vertical="center"/>
    </xf>
    <xf numFmtId="10" fontId="16" fillId="0" borderId="8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178" fontId="17" fillId="9" borderId="41" xfId="0" applyNumberFormat="1" applyFont="1" applyFill="1" applyBorder="1" applyAlignment="1">
      <alignment horizontal="right" vertical="center"/>
    </xf>
    <xf numFmtId="0" fontId="17" fillId="9" borderId="42" xfId="0" applyFont="1" applyFill="1" applyBorder="1" applyAlignment="1">
      <alignment horizontal="left" vertical="center"/>
    </xf>
    <xf numFmtId="10" fontId="35" fillId="12" borderId="0" xfId="0" applyNumberFormat="1" applyFont="1" applyFill="1"/>
    <xf numFmtId="168" fontId="16" fillId="0" borderId="0" xfId="0" applyNumberFormat="1" applyFont="1" applyAlignment="1">
      <alignment vertical="center"/>
    </xf>
    <xf numFmtId="10" fontId="16" fillId="0" borderId="0" xfId="0" applyNumberFormat="1" applyFont="1" applyAlignment="1">
      <alignment vertical="center"/>
    </xf>
    <xf numFmtId="0" fontId="25" fillId="0" borderId="20" xfId="0" applyFont="1" applyBorder="1" applyAlignment="1">
      <alignment vertical="center"/>
    </xf>
    <xf numFmtId="176" fontId="25" fillId="0" borderId="14" xfId="0" applyNumberFormat="1" applyFont="1" applyBorder="1" applyAlignment="1">
      <alignment horizontal="right" vertical="center"/>
    </xf>
    <xf numFmtId="175" fontId="16" fillId="10" borderId="33" xfId="0" applyNumberFormat="1" applyFont="1" applyFill="1" applyBorder="1" applyAlignment="1">
      <alignment horizontal="center" vertical="center" wrapText="1"/>
    </xf>
    <xf numFmtId="172" fontId="25" fillId="0" borderId="21" xfId="0" applyNumberFormat="1" applyFont="1" applyBorder="1" applyAlignment="1">
      <alignment horizontal="center" vertical="center"/>
    </xf>
    <xf numFmtId="0" fontId="16" fillId="10" borderId="33" xfId="0" applyFont="1" applyFill="1" applyBorder="1" applyAlignment="1">
      <alignment horizontal="center" vertical="center" wrapText="1"/>
    </xf>
    <xf numFmtId="0" fontId="25" fillId="0" borderId="45" xfId="0" applyFont="1" applyBorder="1" applyAlignment="1">
      <alignment vertical="center"/>
    </xf>
    <xf numFmtId="0" fontId="30" fillId="10" borderId="33" xfId="0" applyFont="1" applyFill="1" applyBorder="1" applyAlignment="1">
      <alignment horizontal="right" vertical="center" wrapText="1"/>
    </xf>
    <xf numFmtId="0" fontId="25" fillId="0" borderId="23" xfId="0" applyFont="1" applyBorder="1" applyAlignment="1">
      <alignment vertical="center"/>
    </xf>
    <xf numFmtId="0" fontId="17" fillId="9" borderId="25" xfId="0" applyFont="1" applyFill="1" applyBorder="1" applyAlignment="1">
      <alignment horizontal="left" vertical="center"/>
    </xf>
    <xf numFmtId="176" fontId="16" fillId="10" borderId="16" xfId="0" applyNumberFormat="1" applyFont="1" applyFill="1" applyBorder="1" applyAlignment="1">
      <alignment horizontal="center" vertical="center"/>
    </xf>
    <xf numFmtId="172" fontId="16" fillId="2" borderId="17" xfId="0" applyNumberFormat="1" applyFont="1" applyFill="1" applyBorder="1" applyAlignment="1">
      <alignment vertical="center"/>
    </xf>
    <xf numFmtId="0" fontId="16" fillId="0" borderId="46" xfId="0" applyFont="1" applyBorder="1" applyAlignment="1">
      <alignment vertical="center"/>
    </xf>
    <xf numFmtId="175" fontId="25" fillId="0" borderId="13" xfId="0" applyNumberFormat="1" applyFont="1" applyBorder="1" applyAlignment="1">
      <alignment vertical="center"/>
    </xf>
    <xf numFmtId="180" fontId="25" fillId="0" borderId="14" xfId="0" applyNumberFormat="1" applyFont="1" applyBorder="1" applyAlignment="1">
      <alignment horizontal="right" vertical="center"/>
    </xf>
    <xf numFmtId="10" fontId="25" fillId="0" borderId="21" xfId="0" applyNumberFormat="1" applyFont="1" applyBorder="1" applyAlignment="1">
      <alignment horizontal="right" vertical="center"/>
    </xf>
    <xf numFmtId="0" fontId="16" fillId="10" borderId="16" xfId="0" applyFont="1" applyFill="1" applyBorder="1" applyAlignment="1">
      <alignment horizontal="center" vertical="center"/>
    </xf>
    <xf numFmtId="10" fontId="26" fillId="0" borderId="16" xfId="0" applyNumberFormat="1" applyFont="1" applyBorder="1" applyAlignment="1">
      <alignment vertical="center"/>
    </xf>
    <xf numFmtId="174" fontId="25" fillId="0" borderId="19" xfId="0" applyNumberFormat="1" applyFont="1" applyBorder="1" applyAlignment="1">
      <alignment horizontal="center" vertical="center"/>
    </xf>
    <xf numFmtId="175" fontId="25" fillId="0" borderId="23" xfId="0" applyNumberFormat="1" applyFont="1" applyBorder="1" applyAlignment="1">
      <alignment vertical="center"/>
    </xf>
    <xf numFmtId="175" fontId="16" fillId="10" borderId="47" xfId="0" applyNumberFormat="1" applyFont="1" applyFill="1" applyBorder="1" applyAlignment="1">
      <alignment vertical="center" wrapText="1"/>
    </xf>
    <xf numFmtId="177" fontId="16" fillId="10" borderId="48" xfId="0" applyNumberFormat="1" applyFont="1" applyFill="1" applyBorder="1" applyAlignment="1">
      <alignment horizontal="center" vertical="center"/>
    </xf>
    <xf numFmtId="0" fontId="16" fillId="10" borderId="48" xfId="0" applyFont="1" applyFill="1" applyBorder="1" applyAlignment="1">
      <alignment horizontal="center" vertical="center"/>
    </xf>
    <xf numFmtId="10" fontId="26" fillId="0" borderId="48" xfId="0" applyNumberFormat="1" applyFont="1" applyBorder="1" applyAlignment="1">
      <alignment vertical="center"/>
    </xf>
    <xf numFmtId="172" fontId="16" fillId="10" borderId="49" xfId="0" applyNumberFormat="1" applyFont="1" applyFill="1" applyBorder="1" applyAlignment="1">
      <alignment vertical="center"/>
    </xf>
    <xf numFmtId="0" fontId="40" fillId="12" borderId="0" xfId="0" applyFont="1" applyFill="1"/>
    <xf numFmtId="0" fontId="25" fillId="0" borderId="1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166" fontId="25" fillId="0" borderId="18" xfId="0" applyNumberFormat="1" applyFont="1" applyBorder="1" applyAlignment="1">
      <alignment horizontal="center" vertical="center" wrapText="1"/>
    </xf>
    <xf numFmtId="10" fontId="25" fillId="0" borderId="50" xfId="0" applyNumberFormat="1" applyFont="1" applyBorder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10" fontId="25" fillId="0" borderId="51" xfId="0" applyNumberFormat="1" applyFont="1" applyBorder="1" applyAlignment="1">
      <alignment horizontal="center" vertical="center"/>
    </xf>
    <xf numFmtId="10" fontId="25" fillId="0" borderId="19" xfId="0" applyNumberFormat="1" applyFont="1" applyBorder="1" applyAlignment="1">
      <alignment horizontal="center" vertical="center"/>
    </xf>
    <xf numFmtId="172" fontId="25" fillId="0" borderId="0" xfId="0" applyNumberFormat="1" applyFont="1" applyAlignment="1">
      <alignment horizontal="center" vertical="center"/>
    </xf>
    <xf numFmtId="166" fontId="25" fillId="0" borderId="23" xfId="0" applyNumberFormat="1" applyFont="1" applyBorder="1" applyAlignment="1">
      <alignment horizontal="center" vertical="center" wrapText="1"/>
    </xf>
    <xf numFmtId="181" fontId="25" fillId="0" borderId="52" xfId="0" applyNumberFormat="1" applyFont="1" applyBorder="1" applyAlignment="1">
      <alignment horizontal="center" vertical="center"/>
    </xf>
    <xf numFmtId="172" fontId="16" fillId="10" borderId="17" xfId="0" applyNumberFormat="1" applyFont="1" applyFill="1" applyBorder="1" applyAlignment="1">
      <alignment horizontal="center" vertical="center"/>
    </xf>
    <xf numFmtId="175" fontId="41" fillId="10" borderId="33" xfId="0" applyNumberFormat="1" applyFont="1" applyFill="1" applyBorder="1" applyAlignment="1">
      <alignment horizontal="right" vertical="center" wrapText="1"/>
    </xf>
    <xf numFmtId="10" fontId="25" fillId="0" borderId="52" xfId="0" applyNumberFormat="1" applyFont="1" applyBorder="1" applyAlignment="1">
      <alignment horizontal="center" vertical="center"/>
    </xf>
    <xf numFmtId="172" fontId="32" fillId="10" borderId="17" xfId="0" applyNumberFormat="1" applyFont="1" applyFill="1" applyBorder="1" applyAlignment="1">
      <alignment vertical="center"/>
    </xf>
    <xf numFmtId="1" fontId="25" fillId="0" borderId="50" xfId="0" applyNumberFormat="1" applyFont="1" applyBorder="1" applyAlignment="1">
      <alignment horizontal="center" vertical="center"/>
    </xf>
    <xf numFmtId="3" fontId="25" fillId="0" borderId="52" xfId="0" applyNumberFormat="1" applyFont="1" applyBorder="1" applyAlignment="1">
      <alignment horizontal="center" vertical="center"/>
    </xf>
    <xf numFmtId="3" fontId="23" fillId="0" borderId="10" xfId="0" applyNumberFormat="1" applyFont="1" applyBorder="1" applyAlignment="1">
      <alignment horizontal="center"/>
    </xf>
    <xf numFmtId="173" fontId="23" fillId="0" borderId="10" xfId="0" applyNumberFormat="1" applyFont="1" applyBorder="1" applyAlignment="1">
      <alignment horizontal="center"/>
    </xf>
    <xf numFmtId="175" fontId="16" fillId="12" borderId="33" xfId="0" applyNumberFormat="1" applyFont="1" applyFill="1" applyBorder="1" applyAlignment="1">
      <alignment wrapText="1"/>
    </xf>
    <xf numFmtId="177" fontId="16" fillId="12" borderId="16" xfId="0" applyNumberFormat="1" applyFont="1" applyFill="1" applyBorder="1" applyAlignment="1">
      <alignment horizontal="center"/>
    </xf>
    <xf numFmtId="172" fontId="16" fillId="12" borderId="16" xfId="0" applyNumberFormat="1" applyFont="1" applyFill="1" applyBorder="1" applyAlignment="1">
      <alignment horizontal="center"/>
    </xf>
    <xf numFmtId="10" fontId="26" fillId="0" borderId="16" xfId="0" applyNumberFormat="1" applyFont="1" applyBorder="1" applyAlignment="1">
      <alignment horizontal="right"/>
    </xf>
    <xf numFmtId="172" fontId="16" fillId="12" borderId="17" xfId="0" applyNumberFormat="1" applyFont="1" applyFill="1" applyBorder="1" applyAlignment="1">
      <alignment horizontal="center"/>
    </xf>
    <xf numFmtId="172" fontId="19" fillId="12" borderId="17" xfId="0" applyNumberFormat="1" applyFont="1" applyFill="1" applyBorder="1" applyAlignment="1">
      <alignment horizontal="center"/>
    </xf>
    <xf numFmtId="175" fontId="41" fillId="12" borderId="33" xfId="0" applyNumberFormat="1" applyFont="1" applyFill="1" applyBorder="1" applyAlignment="1">
      <alignment horizontal="right" wrapText="1"/>
    </xf>
    <xf numFmtId="172" fontId="16" fillId="0" borderId="0" xfId="0" applyNumberFormat="1" applyFont="1" applyAlignment="1">
      <alignment vertical="center"/>
    </xf>
    <xf numFmtId="0" fontId="16" fillId="12" borderId="16" xfId="0" applyFont="1" applyFill="1" applyBorder="1" applyAlignment="1">
      <alignment horizontal="center"/>
    </xf>
    <xf numFmtId="175" fontId="16" fillId="2" borderId="33" xfId="0" applyNumberFormat="1" applyFont="1" applyFill="1" applyBorder="1" applyAlignment="1">
      <alignment vertical="center" wrapText="1"/>
    </xf>
    <xf numFmtId="177" fontId="16" fillId="2" borderId="16" xfId="0" applyNumberFormat="1" applyFont="1" applyFill="1" applyBorder="1" applyAlignment="1">
      <alignment horizontal="center" vertical="center"/>
    </xf>
    <xf numFmtId="172" fontId="16" fillId="2" borderId="16" xfId="0" applyNumberFormat="1" applyFont="1" applyFill="1" applyBorder="1" applyAlignment="1">
      <alignment horizontal="center" vertical="center"/>
    </xf>
    <xf numFmtId="10" fontId="16" fillId="2" borderId="16" xfId="0" applyNumberFormat="1" applyFont="1" applyFill="1" applyBorder="1" applyAlignment="1">
      <alignment vertical="center"/>
    </xf>
    <xf numFmtId="10" fontId="16" fillId="10" borderId="16" xfId="0" applyNumberFormat="1" applyFont="1" applyFill="1" applyBorder="1" applyAlignment="1">
      <alignment vertical="center"/>
    </xf>
    <xf numFmtId="0" fontId="42" fillId="0" borderId="54" xfId="0" applyFont="1" applyBorder="1"/>
    <xf numFmtId="3" fontId="42" fillId="0" borderId="55" xfId="0" applyNumberFormat="1" applyFont="1" applyBorder="1"/>
    <xf numFmtId="0" fontId="43" fillId="0" borderId="56" xfId="0" applyFont="1" applyBorder="1" applyAlignment="1">
      <alignment horizontal="center"/>
    </xf>
    <xf numFmtId="173" fontId="43" fillId="0" borderId="0" xfId="0" applyNumberFormat="1" applyFont="1" applyAlignment="1">
      <alignment horizontal="center"/>
    </xf>
    <xf numFmtId="174" fontId="43" fillId="0" borderId="0" xfId="0" applyNumberFormat="1" applyFont="1" applyAlignment="1">
      <alignment horizontal="center"/>
    </xf>
    <xf numFmtId="3" fontId="44" fillId="0" borderId="0" xfId="0" applyNumberFormat="1" applyFont="1"/>
    <xf numFmtId="10" fontId="43" fillId="0" borderId="0" xfId="0" applyNumberFormat="1" applyFont="1" applyAlignment="1">
      <alignment horizontal="right"/>
    </xf>
    <xf numFmtId="0" fontId="42" fillId="0" borderId="35" xfId="0" applyFont="1" applyBorder="1"/>
    <xf numFmtId="10" fontId="42" fillId="0" borderId="36" xfId="0" applyNumberFormat="1" applyFont="1" applyBorder="1" applyAlignment="1">
      <alignment horizontal="right"/>
    </xf>
    <xf numFmtId="0" fontId="17" fillId="16" borderId="25" xfId="0" applyFont="1" applyFill="1" applyBorder="1" applyAlignment="1">
      <alignment vertical="center"/>
    </xf>
    <xf numFmtId="0" fontId="45" fillId="16" borderId="25" xfId="0" applyFont="1" applyFill="1" applyBorder="1" applyAlignment="1">
      <alignment vertical="center"/>
    </xf>
    <xf numFmtId="175" fontId="16" fillId="0" borderId="0" xfId="0" applyNumberFormat="1" applyFont="1"/>
    <xf numFmtId="14" fontId="46" fillId="17" borderId="36" xfId="0" applyNumberFormat="1" applyFont="1" applyFill="1" applyBorder="1" applyAlignment="1">
      <alignment horizontal="right"/>
    </xf>
    <xf numFmtId="14" fontId="47" fillId="17" borderId="36" xfId="0" applyNumberFormat="1" applyFont="1" applyFill="1" applyBorder="1" applyAlignment="1">
      <alignment horizontal="right"/>
    </xf>
    <xf numFmtId="175" fontId="16" fillId="0" borderId="36" xfId="0" applyNumberFormat="1" applyFont="1" applyBorder="1"/>
    <xf numFmtId="183" fontId="19" fillId="0" borderId="6" xfId="0" applyNumberFormat="1" applyFont="1" applyBorder="1" applyAlignment="1">
      <alignment horizontal="center"/>
    </xf>
    <xf numFmtId="184" fontId="19" fillId="0" borderId="57" xfId="0" applyNumberFormat="1" applyFont="1" applyBorder="1" applyAlignment="1">
      <alignment horizontal="center"/>
    </xf>
    <xf numFmtId="175" fontId="16" fillId="18" borderId="6" xfId="0" applyNumberFormat="1" applyFont="1" applyFill="1" applyBorder="1"/>
    <xf numFmtId="175" fontId="16" fillId="18" borderId="58" xfId="0" applyNumberFormat="1" applyFont="1" applyFill="1" applyBorder="1" applyAlignment="1">
      <alignment horizontal="center"/>
    </xf>
    <xf numFmtId="175" fontId="16" fillId="18" borderId="59" xfId="0" applyNumberFormat="1" applyFont="1" applyFill="1" applyBorder="1"/>
    <xf numFmtId="175" fontId="16" fillId="18" borderId="60" xfId="0" applyNumberFormat="1" applyFont="1" applyFill="1" applyBorder="1"/>
    <xf numFmtId="175" fontId="16" fillId="18" borderId="58" xfId="0" applyNumberFormat="1" applyFont="1" applyFill="1" applyBorder="1"/>
    <xf numFmtId="175" fontId="19" fillId="18" borderId="58" xfId="0" applyNumberFormat="1" applyFont="1" applyFill="1" applyBorder="1" applyAlignment="1">
      <alignment horizontal="center"/>
    </xf>
    <xf numFmtId="175" fontId="16" fillId="18" borderId="4" xfId="0" applyNumberFormat="1" applyFont="1" applyFill="1" applyBorder="1"/>
    <xf numFmtId="175" fontId="16" fillId="18" borderId="4" xfId="0" applyNumberFormat="1" applyFont="1" applyFill="1" applyBorder="1" applyAlignment="1">
      <alignment horizontal="center"/>
    </xf>
    <xf numFmtId="175" fontId="16" fillId="18" borderId="61" xfId="0" applyNumberFormat="1" applyFont="1" applyFill="1" applyBorder="1"/>
    <xf numFmtId="175" fontId="19" fillId="18" borderId="4" xfId="0" applyNumberFormat="1" applyFont="1" applyFill="1" applyBorder="1" applyAlignment="1">
      <alignment horizontal="center"/>
    </xf>
    <xf numFmtId="10" fontId="16" fillId="0" borderId="0" xfId="0" applyNumberFormat="1" applyFont="1"/>
    <xf numFmtId="175" fontId="16" fillId="18" borderId="61" xfId="0" applyNumberFormat="1" applyFont="1" applyFill="1" applyBorder="1" applyAlignment="1">
      <alignment horizontal="center"/>
    </xf>
    <xf numFmtId="168" fontId="16" fillId="0" borderId="0" xfId="0" applyNumberFormat="1" applyFont="1" applyAlignment="1">
      <alignment horizontal="right"/>
    </xf>
    <xf numFmtId="10" fontId="16" fillId="0" borderId="0" xfId="0" applyNumberFormat="1" applyFont="1" applyAlignment="1">
      <alignment horizontal="right"/>
    </xf>
    <xf numFmtId="175" fontId="16" fillId="19" borderId="6" xfId="0" applyNumberFormat="1" applyFont="1" applyFill="1" applyBorder="1"/>
    <xf numFmtId="175" fontId="16" fillId="19" borderId="57" xfId="0" applyNumberFormat="1" applyFont="1" applyFill="1" applyBorder="1" applyAlignment="1">
      <alignment horizontal="center"/>
    </xf>
    <xf numFmtId="175" fontId="19" fillId="21" borderId="5" xfId="0" applyNumberFormat="1" applyFont="1" applyFill="1" applyBorder="1" applyAlignment="1">
      <alignment horizontal="center"/>
    </xf>
    <xf numFmtId="175" fontId="16" fillId="21" borderId="1" xfId="0" applyNumberFormat="1" applyFont="1" applyFill="1" applyBorder="1"/>
    <xf numFmtId="175" fontId="16" fillId="21" borderId="5" xfId="0" applyNumberFormat="1" applyFont="1" applyFill="1" applyBorder="1" applyAlignment="1">
      <alignment horizontal="center"/>
    </xf>
    <xf numFmtId="175" fontId="25" fillId="22" borderId="58" xfId="0" applyNumberFormat="1" applyFont="1" applyFill="1" applyBorder="1" applyAlignment="1">
      <alignment horizontal="center"/>
    </xf>
    <xf numFmtId="175" fontId="25" fillId="22" borderId="6" xfId="0" applyNumberFormat="1" applyFont="1" applyFill="1" applyBorder="1" applyAlignment="1">
      <alignment horizontal="center"/>
    </xf>
    <xf numFmtId="175" fontId="16" fillId="20" borderId="58" xfId="0" applyNumberFormat="1" applyFont="1" applyFill="1" applyBorder="1"/>
    <xf numFmtId="175" fontId="16" fillId="20" borderId="58" xfId="0" applyNumberFormat="1" applyFont="1" applyFill="1" applyBorder="1" applyAlignment="1">
      <alignment horizontal="center"/>
    </xf>
    <xf numFmtId="175" fontId="16" fillId="20" borderId="59" xfId="0" applyNumberFormat="1" applyFont="1" applyFill="1" applyBorder="1"/>
    <xf numFmtId="175" fontId="16" fillId="20" borderId="59" xfId="0" applyNumberFormat="1" applyFont="1" applyFill="1" applyBorder="1" applyAlignment="1">
      <alignment horizontal="center"/>
    </xf>
    <xf numFmtId="175" fontId="29" fillId="20" borderId="58" xfId="0" applyNumberFormat="1" applyFont="1" applyFill="1" applyBorder="1" applyAlignment="1">
      <alignment horizontal="center"/>
    </xf>
    <xf numFmtId="175" fontId="16" fillId="20" borderId="6" xfId="0" applyNumberFormat="1" applyFont="1" applyFill="1" applyBorder="1" applyAlignment="1">
      <alignment horizontal="center"/>
    </xf>
    <xf numFmtId="175" fontId="16" fillId="20" borderId="60" xfId="0" applyNumberFormat="1" applyFont="1" applyFill="1" applyBorder="1"/>
    <xf numFmtId="175" fontId="16" fillId="20" borderId="60" xfId="0" applyNumberFormat="1" applyFont="1" applyFill="1" applyBorder="1" applyAlignment="1">
      <alignment horizontal="center"/>
    </xf>
    <xf numFmtId="175" fontId="19" fillId="20" borderId="58" xfId="0" applyNumberFormat="1" applyFont="1" applyFill="1" applyBorder="1" applyAlignment="1">
      <alignment horizontal="center"/>
    </xf>
    <xf numFmtId="171" fontId="16" fillId="0" borderId="0" xfId="0" applyNumberFormat="1" applyFont="1"/>
    <xf numFmtId="175" fontId="16" fillId="2" borderId="59" xfId="0" applyNumberFormat="1" applyFont="1" applyFill="1" applyBorder="1" applyAlignment="1">
      <alignment horizontal="center"/>
    </xf>
    <xf numFmtId="175" fontId="16" fillId="20" borderId="62" xfId="0" applyNumberFormat="1" applyFont="1" applyFill="1" applyBorder="1"/>
    <xf numFmtId="175" fontId="19" fillId="20" borderId="63" xfId="0" applyNumberFormat="1" applyFont="1" applyFill="1" applyBorder="1" applyAlignment="1">
      <alignment horizontal="center"/>
    </xf>
    <xf numFmtId="175" fontId="19" fillId="20" borderId="64" xfId="0" applyNumberFormat="1" applyFont="1" applyFill="1" applyBorder="1" applyAlignment="1">
      <alignment horizontal="center"/>
    </xf>
    <xf numFmtId="175" fontId="16" fillId="20" borderId="6" xfId="0" applyNumberFormat="1" applyFont="1" applyFill="1" applyBorder="1"/>
    <xf numFmtId="175" fontId="19" fillId="20" borderId="3" xfId="0" applyNumberFormat="1" applyFont="1" applyFill="1" applyBorder="1" applyAlignment="1">
      <alignment horizontal="center"/>
    </xf>
    <xf numFmtId="175" fontId="16" fillId="2" borderId="59" xfId="0" applyNumberFormat="1" applyFont="1" applyFill="1" applyBorder="1"/>
    <xf numFmtId="175" fontId="26" fillId="20" borderId="59" xfId="0" applyNumberFormat="1" applyFont="1" applyFill="1" applyBorder="1" applyAlignment="1">
      <alignment horizontal="center"/>
    </xf>
    <xf numFmtId="175" fontId="16" fillId="20" borderId="0" xfId="0" applyNumberFormat="1" applyFont="1" applyFill="1"/>
    <xf numFmtId="175" fontId="26" fillId="20" borderId="60" xfId="0" applyNumberFormat="1" applyFont="1" applyFill="1" applyBorder="1" applyAlignment="1">
      <alignment horizontal="center"/>
    </xf>
    <xf numFmtId="175" fontId="16" fillId="21" borderId="58" xfId="0" applyNumberFormat="1" applyFont="1" applyFill="1" applyBorder="1" applyAlignment="1">
      <alignment horizontal="center"/>
    </xf>
    <xf numFmtId="175" fontId="16" fillId="21" borderId="65" xfId="0" applyNumberFormat="1" applyFont="1" applyFill="1" applyBorder="1"/>
    <xf numFmtId="175" fontId="16" fillId="21" borderId="66" xfId="0" applyNumberFormat="1" applyFont="1" applyFill="1" applyBorder="1"/>
    <xf numFmtId="175" fontId="16" fillId="21" borderId="2" xfId="0" applyNumberFormat="1" applyFont="1" applyFill="1" applyBorder="1"/>
    <xf numFmtId="175" fontId="30" fillId="20" borderId="58" xfId="0" applyNumberFormat="1" applyFont="1" applyFill="1" applyBorder="1" applyAlignment="1">
      <alignment horizontal="right"/>
    </xf>
    <xf numFmtId="175" fontId="30" fillId="20" borderId="59" xfId="0" applyNumberFormat="1" applyFont="1" applyFill="1" applyBorder="1"/>
    <xf numFmtId="10" fontId="16" fillId="20" borderId="58" xfId="0" applyNumberFormat="1" applyFont="1" applyFill="1" applyBorder="1" applyAlignment="1">
      <alignment horizontal="center"/>
    </xf>
    <xf numFmtId="175" fontId="29" fillId="11" borderId="63" xfId="0" applyNumberFormat="1" applyFont="1" applyFill="1" applyBorder="1" applyAlignment="1">
      <alignment horizontal="center"/>
    </xf>
    <xf numFmtId="175" fontId="29" fillId="11" borderId="64" xfId="0" applyNumberFormat="1" applyFont="1" applyFill="1" applyBorder="1" applyAlignment="1">
      <alignment horizontal="center"/>
    </xf>
    <xf numFmtId="175" fontId="19" fillId="11" borderId="64" xfId="0" applyNumberFormat="1" applyFont="1" applyFill="1" applyBorder="1" applyAlignment="1">
      <alignment horizontal="center"/>
    </xf>
    <xf numFmtId="10" fontId="16" fillId="20" borderId="6" xfId="0" applyNumberFormat="1" applyFont="1" applyFill="1" applyBorder="1" applyAlignment="1">
      <alignment horizontal="center"/>
    </xf>
    <xf numFmtId="175" fontId="16" fillId="20" borderId="4" xfId="0" applyNumberFormat="1" applyFont="1" applyFill="1" applyBorder="1"/>
    <xf numFmtId="10" fontId="16" fillId="20" borderId="4" xfId="0" applyNumberFormat="1" applyFont="1" applyFill="1" applyBorder="1" applyAlignment="1">
      <alignment horizontal="center"/>
    </xf>
    <xf numFmtId="175" fontId="16" fillId="20" borderId="61" xfId="0" applyNumberFormat="1" applyFont="1" applyFill="1" applyBorder="1"/>
    <xf numFmtId="175" fontId="16" fillId="20" borderId="61" xfId="0" applyNumberFormat="1" applyFont="1" applyFill="1" applyBorder="1" applyAlignment="1">
      <alignment horizontal="center"/>
    </xf>
    <xf numFmtId="175" fontId="16" fillId="20" borderId="5" xfId="0" applyNumberFormat="1" applyFont="1" applyFill="1" applyBorder="1"/>
    <xf numFmtId="175" fontId="29" fillId="11" borderId="3" xfId="0" applyNumberFormat="1" applyFont="1" applyFill="1" applyBorder="1" applyAlignment="1">
      <alignment horizontal="center"/>
    </xf>
    <xf numFmtId="175" fontId="16" fillId="20" borderId="63" xfId="0" applyNumberFormat="1" applyFont="1" applyFill="1" applyBorder="1"/>
    <xf numFmtId="175" fontId="29" fillId="20" borderId="67" xfId="0" applyNumberFormat="1" applyFont="1" applyFill="1" applyBorder="1" applyAlignment="1">
      <alignment horizontal="center"/>
    </xf>
    <xf numFmtId="175" fontId="16" fillId="20" borderId="64" xfId="0" applyNumberFormat="1" applyFont="1" applyFill="1" applyBorder="1"/>
    <xf numFmtId="175" fontId="16" fillId="20" borderId="68" xfId="0" applyNumberFormat="1" applyFont="1" applyFill="1" applyBorder="1"/>
    <xf numFmtId="175" fontId="16" fillId="20" borderId="3" xfId="0" applyNumberFormat="1" applyFont="1" applyFill="1" applyBorder="1"/>
    <xf numFmtId="175" fontId="16" fillId="20" borderId="5" xfId="0" applyNumberFormat="1" applyFont="1" applyFill="1" applyBorder="1" applyAlignment="1">
      <alignment horizontal="center"/>
    </xf>
    <xf numFmtId="175" fontId="29" fillId="20" borderId="69" xfId="0" applyNumberFormat="1" applyFont="1" applyFill="1" applyBorder="1" applyAlignment="1">
      <alignment horizontal="center"/>
    </xf>
    <xf numFmtId="175" fontId="29" fillId="20" borderId="3" xfId="0" applyNumberFormat="1" applyFont="1" applyFill="1" applyBorder="1" applyAlignment="1">
      <alignment horizontal="center"/>
    </xf>
    <xf numFmtId="175" fontId="19" fillId="20" borderId="67" xfId="0" applyNumberFormat="1" applyFont="1" applyFill="1" applyBorder="1" applyAlignment="1">
      <alignment horizontal="center"/>
    </xf>
    <xf numFmtId="175" fontId="16" fillId="20" borderId="4" xfId="0" applyNumberFormat="1" applyFont="1" applyFill="1" applyBorder="1" applyAlignment="1">
      <alignment horizontal="center"/>
    </xf>
    <xf numFmtId="175" fontId="16" fillId="21" borderId="4" xfId="0" applyNumberFormat="1" applyFont="1" applyFill="1" applyBorder="1" applyAlignment="1">
      <alignment horizontal="center"/>
    </xf>
    <xf numFmtId="175" fontId="16" fillId="21" borderId="70" xfId="0" applyNumberFormat="1" applyFont="1" applyFill="1" applyBorder="1" applyAlignment="1">
      <alignment horizontal="center"/>
    </xf>
    <xf numFmtId="175" fontId="16" fillId="24" borderId="6" xfId="0" applyNumberFormat="1" applyFont="1" applyFill="1" applyBorder="1"/>
    <xf numFmtId="175" fontId="16" fillId="24" borderId="71" xfId="0" applyNumberFormat="1" applyFont="1" applyFill="1" applyBorder="1" applyAlignment="1">
      <alignment horizontal="center"/>
    </xf>
    <xf numFmtId="175" fontId="26" fillId="24" borderId="71" xfId="0" applyNumberFormat="1" applyFont="1" applyFill="1" applyBorder="1" applyAlignment="1">
      <alignment horizontal="center"/>
    </xf>
    <xf numFmtId="175" fontId="16" fillId="24" borderId="36" xfId="0" applyNumberFormat="1" applyFont="1" applyFill="1" applyBorder="1" applyAlignment="1">
      <alignment horizontal="center"/>
    </xf>
    <xf numFmtId="175" fontId="19" fillId="24" borderId="36" xfId="0" applyNumberFormat="1" applyFont="1" applyFill="1" applyBorder="1" applyAlignment="1">
      <alignment horizontal="center"/>
    </xf>
    <xf numFmtId="175" fontId="16" fillId="24" borderId="57" xfId="0" applyNumberFormat="1" applyFont="1" applyFill="1" applyBorder="1"/>
    <xf numFmtId="175" fontId="16" fillId="24" borderId="72" xfId="0" applyNumberFormat="1" applyFont="1" applyFill="1" applyBorder="1" applyAlignment="1">
      <alignment horizontal="center"/>
    </xf>
    <xf numFmtId="175" fontId="16" fillId="25" borderId="57" xfId="0" applyNumberFormat="1" applyFont="1" applyFill="1" applyBorder="1"/>
    <xf numFmtId="175" fontId="16" fillId="25" borderId="71" xfId="0" applyNumberFormat="1" applyFont="1" applyFill="1" applyBorder="1" applyAlignment="1">
      <alignment horizontal="center"/>
    </xf>
    <xf numFmtId="175" fontId="16" fillId="0" borderId="0" xfId="0" applyNumberFormat="1" applyFont="1" applyAlignment="1">
      <alignment horizontal="right"/>
    </xf>
    <xf numFmtId="175" fontId="50" fillId="26" borderId="0" xfId="0" applyNumberFormat="1" applyFont="1" applyFill="1"/>
    <xf numFmtId="175" fontId="16" fillId="26" borderId="0" xfId="0" applyNumberFormat="1" applyFont="1" applyFill="1"/>
    <xf numFmtId="175" fontId="19" fillId="19" borderId="5" xfId="0" applyNumberFormat="1" applyFont="1" applyFill="1" applyBorder="1" applyAlignment="1">
      <alignment horizontal="center"/>
    </xf>
    <xf numFmtId="175" fontId="16" fillId="19" borderId="4" xfId="0" applyNumberFormat="1" applyFont="1" applyFill="1" applyBorder="1"/>
    <xf numFmtId="175" fontId="16" fillId="19" borderId="4" xfId="0" applyNumberFormat="1" applyFont="1" applyFill="1" applyBorder="1" applyAlignment="1">
      <alignment horizontal="right"/>
    </xf>
    <xf numFmtId="175" fontId="19" fillId="19" borderId="4" xfId="0" applyNumberFormat="1" applyFont="1" applyFill="1" applyBorder="1" applyAlignment="1">
      <alignment horizontal="center"/>
    </xf>
    <xf numFmtId="175" fontId="16" fillId="19" borderId="5" xfId="0" applyNumberFormat="1" applyFont="1" applyFill="1" applyBorder="1"/>
    <xf numFmtId="175" fontId="36" fillId="19" borderId="4" xfId="0" applyNumberFormat="1" applyFont="1" applyFill="1" applyBorder="1"/>
    <xf numFmtId="9" fontId="17" fillId="19" borderId="4" xfId="0" applyNumberFormat="1" applyFont="1" applyFill="1" applyBorder="1" applyAlignment="1">
      <alignment horizontal="center"/>
    </xf>
    <xf numFmtId="175" fontId="16" fillId="0" borderId="5" xfId="0" applyNumberFormat="1" applyFont="1" applyBorder="1"/>
    <xf numFmtId="175" fontId="16" fillId="0" borderId="6" xfId="0" applyNumberFormat="1" applyFont="1" applyBorder="1"/>
    <xf numFmtId="9" fontId="19" fillId="19" borderId="4" xfId="0" applyNumberFormat="1" applyFont="1" applyFill="1" applyBorder="1" applyAlignment="1">
      <alignment horizontal="center"/>
    </xf>
    <xf numFmtId="175" fontId="16" fillId="19" borderId="6" xfId="0" applyNumberFormat="1" applyFont="1" applyFill="1" applyBorder="1" applyAlignment="1">
      <alignment horizontal="right"/>
    </xf>
    <xf numFmtId="175" fontId="16" fillId="17" borderId="4" xfId="0" applyNumberFormat="1" applyFont="1" applyFill="1" applyBorder="1" applyAlignment="1">
      <alignment horizontal="right"/>
    </xf>
    <xf numFmtId="10" fontId="19" fillId="17" borderId="4" xfId="0" applyNumberFormat="1" applyFont="1" applyFill="1" applyBorder="1" applyAlignment="1">
      <alignment horizontal="right"/>
    </xf>
    <xf numFmtId="175" fontId="16" fillId="19" borderId="4" xfId="0" applyNumberFormat="1" applyFont="1" applyFill="1" applyBorder="1" applyAlignment="1">
      <alignment horizontal="center"/>
    </xf>
    <xf numFmtId="166" fontId="16" fillId="17" borderId="4" xfId="0" applyNumberFormat="1" applyFont="1" applyFill="1" applyBorder="1" applyAlignment="1">
      <alignment horizontal="right"/>
    </xf>
    <xf numFmtId="0" fontId="16" fillId="0" borderId="0" xfId="0" applyFont="1"/>
    <xf numFmtId="166" fontId="19" fillId="17" borderId="4" xfId="0" applyNumberFormat="1" applyFont="1" applyFill="1" applyBorder="1" applyAlignment="1">
      <alignment horizontal="right"/>
    </xf>
    <xf numFmtId="175" fontId="16" fillId="27" borderId="4" xfId="0" applyNumberFormat="1" applyFont="1" applyFill="1" applyBorder="1" applyAlignment="1">
      <alignment horizontal="right"/>
    </xf>
    <xf numFmtId="175" fontId="26" fillId="27" borderId="4" xfId="0" applyNumberFormat="1" applyFont="1" applyFill="1" applyBorder="1" applyAlignment="1">
      <alignment horizontal="right"/>
    </xf>
    <xf numFmtId="175" fontId="5" fillId="0" borderId="0" xfId="0" applyNumberFormat="1" applyFont="1"/>
    <xf numFmtId="175" fontId="43" fillId="0" borderId="1" xfId="0" applyNumberFormat="1" applyFont="1" applyBorder="1" applyAlignment="1">
      <alignment horizontal="center"/>
    </xf>
    <xf numFmtId="0" fontId="46" fillId="17" borderId="36" xfId="0" applyFont="1" applyFill="1" applyBorder="1" applyAlignment="1">
      <alignment horizontal="right"/>
    </xf>
    <xf numFmtId="175" fontId="16" fillId="26" borderId="60" xfId="0" applyNumberFormat="1" applyFont="1" applyFill="1" applyBorder="1" applyAlignment="1">
      <alignment horizontal="center"/>
    </xf>
    <xf numFmtId="168" fontId="16" fillId="0" borderId="0" xfId="0" applyNumberFormat="1" applyFont="1"/>
    <xf numFmtId="175" fontId="16" fillId="28" borderId="59" xfId="0" applyNumberFormat="1" applyFont="1" applyFill="1" applyBorder="1" applyAlignment="1">
      <alignment horizontal="center"/>
    </xf>
    <xf numFmtId="175" fontId="16" fillId="0" borderId="0" xfId="0" applyNumberFormat="1" applyFont="1" applyAlignment="1">
      <alignment horizontal="center"/>
    </xf>
    <xf numFmtId="0" fontId="6" fillId="29" borderId="73" xfId="0" applyFont="1" applyFill="1" applyBorder="1" applyAlignment="1">
      <alignment horizontal="center"/>
    </xf>
    <xf numFmtId="0" fontId="6" fillId="7" borderId="73" xfId="0" applyFont="1" applyFill="1" applyBorder="1" applyAlignment="1">
      <alignment horizontal="center"/>
    </xf>
    <xf numFmtId="0" fontId="6" fillId="26" borderId="73" xfId="0" applyFont="1" applyFill="1" applyBorder="1" applyAlignment="1">
      <alignment horizontal="center"/>
    </xf>
    <xf numFmtId="0" fontId="6" fillId="30" borderId="73" xfId="0" applyFont="1" applyFill="1" applyBorder="1" applyAlignment="1">
      <alignment horizontal="center"/>
    </xf>
    <xf numFmtId="169" fontId="52" fillId="22" borderId="1" xfId="0" applyNumberFormat="1" applyFont="1" applyFill="1" applyBorder="1" applyAlignment="1">
      <alignment horizontal="center"/>
    </xf>
    <xf numFmtId="175" fontId="53" fillId="7" borderId="1" xfId="0" applyNumberFormat="1" applyFont="1" applyFill="1" applyBorder="1" applyAlignment="1">
      <alignment horizontal="center"/>
    </xf>
    <xf numFmtId="166" fontId="5" fillId="26" borderId="0" xfId="0" applyNumberFormat="1" applyFont="1" applyFill="1"/>
    <xf numFmtId="185" fontId="5" fillId="30" borderId="0" xfId="0" applyNumberFormat="1" applyFont="1" applyFill="1"/>
    <xf numFmtId="175" fontId="6" fillId="7" borderId="73" xfId="0" applyNumberFormat="1" applyFont="1" applyFill="1" applyBorder="1" applyAlignment="1">
      <alignment horizontal="center"/>
    </xf>
    <xf numFmtId="169" fontId="52" fillId="29" borderId="1" xfId="0" applyNumberFormat="1" applyFont="1" applyFill="1" applyBorder="1" applyAlignment="1">
      <alignment horizontal="center"/>
    </xf>
    <xf numFmtId="169" fontId="52" fillId="31" borderId="1" xfId="0" applyNumberFormat="1" applyFont="1" applyFill="1" applyBorder="1" applyAlignment="1">
      <alignment horizontal="center"/>
    </xf>
    <xf numFmtId="0" fontId="22" fillId="0" borderId="54" xfId="0" applyFont="1" applyBorder="1" applyAlignment="1">
      <alignment vertical="center"/>
    </xf>
    <xf numFmtId="0" fontId="22" fillId="0" borderId="55" xfId="0" applyFont="1" applyBorder="1" applyAlignment="1">
      <alignment vertical="center"/>
    </xf>
    <xf numFmtId="0" fontId="22" fillId="0" borderId="56" xfId="0" applyFont="1" applyBorder="1" applyAlignment="1">
      <alignment vertical="center"/>
    </xf>
    <xf numFmtId="172" fontId="56" fillId="0" borderId="35" xfId="0" applyNumberFormat="1" applyFont="1" applyBorder="1" applyAlignment="1">
      <alignment vertical="center"/>
    </xf>
    <xf numFmtId="172" fontId="57" fillId="0" borderId="36" xfId="0" applyNumberFormat="1" applyFont="1" applyBorder="1" applyAlignment="1">
      <alignment vertical="center"/>
    </xf>
    <xf numFmtId="172" fontId="16" fillId="0" borderId="36" xfId="0" applyNumberFormat="1" applyFont="1" applyBorder="1" applyAlignment="1">
      <alignment vertical="center"/>
    </xf>
    <xf numFmtId="172" fontId="59" fillId="0" borderId="35" xfId="0" applyNumberFormat="1" applyFont="1" applyBorder="1" applyAlignment="1">
      <alignment vertical="center"/>
    </xf>
    <xf numFmtId="172" fontId="60" fillId="0" borderId="36" xfId="0" applyNumberFormat="1" applyFont="1" applyBorder="1" applyAlignment="1">
      <alignment vertical="center"/>
    </xf>
    <xf numFmtId="9" fontId="60" fillId="0" borderId="36" xfId="0" applyNumberFormat="1" applyFont="1" applyBorder="1" applyAlignment="1">
      <alignment vertical="center"/>
    </xf>
    <xf numFmtId="172" fontId="61" fillId="0" borderId="0" xfId="0" applyNumberFormat="1" applyFont="1" applyAlignment="1">
      <alignment horizontal="left" vertical="center" wrapText="1"/>
    </xf>
    <xf numFmtId="175" fontId="16" fillId="17" borderId="36" xfId="0" applyNumberFormat="1" applyFont="1" applyFill="1" applyBorder="1"/>
    <xf numFmtId="14" fontId="16" fillId="17" borderId="36" xfId="0" applyNumberFormat="1" applyFont="1" applyFill="1" applyBorder="1" applyAlignment="1">
      <alignment horizontal="right"/>
    </xf>
    <xf numFmtId="184" fontId="19" fillId="2" borderId="57" xfId="0" applyNumberFormat="1" applyFont="1" applyFill="1" applyBorder="1" applyAlignment="1">
      <alignment horizontal="center"/>
    </xf>
    <xf numFmtId="175" fontId="16" fillId="2" borderId="61" xfId="0" applyNumberFormat="1" applyFont="1" applyFill="1" applyBorder="1"/>
    <xf numFmtId="175" fontId="16" fillId="2" borderId="61" xfId="0" applyNumberFormat="1" applyFont="1" applyFill="1" applyBorder="1" applyAlignment="1">
      <alignment horizontal="center"/>
    </xf>
    <xf numFmtId="175" fontId="26" fillId="2" borderId="59" xfId="0" applyNumberFormat="1" applyFont="1" applyFill="1" applyBorder="1" applyAlignment="1">
      <alignment horizontal="center"/>
    </xf>
    <xf numFmtId="175" fontId="16" fillId="2" borderId="60" xfId="0" applyNumberFormat="1" applyFont="1" applyFill="1" applyBorder="1" applyAlignment="1">
      <alignment horizontal="center"/>
    </xf>
    <xf numFmtId="184" fontId="19" fillId="12" borderId="57" xfId="0" applyNumberFormat="1" applyFont="1" applyFill="1" applyBorder="1" applyAlignment="1">
      <alignment horizontal="center"/>
    </xf>
    <xf numFmtId="175" fontId="62" fillId="0" borderId="0" xfId="0" applyNumberFormat="1" applyFont="1"/>
    <xf numFmtId="175" fontId="62" fillId="12" borderId="0" xfId="0" applyNumberFormat="1" applyFont="1" applyFill="1"/>
    <xf numFmtId="185" fontId="5" fillId="0" borderId="0" xfId="0" applyNumberFormat="1" applyFont="1"/>
    <xf numFmtId="0" fontId="53" fillId="7" borderId="1" xfId="0" applyFont="1" applyFill="1" applyBorder="1" applyAlignment="1">
      <alignment horizontal="center"/>
    </xf>
    <xf numFmtId="183" fontId="19" fillId="0" borderId="57" xfId="0" applyNumberFormat="1" applyFont="1" applyBorder="1" applyAlignment="1">
      <alignment horizontal="center"/>
    </xf>
    <xf numFmtId="175" fontId="16" fillId="18" borderId="78" xfId="0" applyNumberFormat="1" applyFont="1" applyFill="1" applyBorder="1"/>
    <xf numFmtId="175" fontId="16" fillId="18" borderId="79" xfId="0" applyNumberFormat="1" applyFont="1" applyFill="1" applyBorder="1" applyAlignment="1">
      <alignment horizontal="center"/>
    </xf>
    <xf numFmtId="175" fontId="16" fillId="18" borderId="80" xfId="0" applyNumberFormat="1" applyFont="1" applyFill="1" applyBorder="1" applyAlignment="1">
      <alignment horizontal="center"/>
    </xf>
    <xf numFmtId="175" fontId="19" fillId="18" borderId="80" xfId="0" applyNumberFormat="1" applyFont="1" applyFill="1" applyBorder="1" applyAlignment="1">
      <alignment horizontal="center"/>
    </xf>
    <xf numFmtId="175" fontId="16" fillId="18" borderId="0" xfId="0" applyNumberFormat="1" applyFont="1" applyFill="1" applyAlignment="1">
      <alignment horizontal="center"/>
    </xf>
    <xf numFmtId="175" fontId="16" fillId="18" borderId="0" xfId="0" applyNumberFormat="1" applyFont="1" applyFill="1"/>
    <xf numFmtId="175" fontId="19" fillId="18" borderId="0" xfId="0" applyNumberFormat="1" applyFont="1" applyFill="1" applyAlignment="1">
      <alignment horizontal="center"/>
    </xf>
    <xf numFmtId="175" fontId="19" fillId="18" borderId="5" xfId="0" applyNumberFormat="1" applyFont="1" applyFill="1" applyBorder="1" applyAlignment="1">
      <alignment horizontal="center"/>
    </xf>
    <xf numFmtId="175" fontId="16" fillId="18" borderId="62" xfId="0" applyNumberFormat="1" applyFont="1" applyFill="1" applyBorder="1" applyAlignment="1">
      <alignment horizontal="center"/>
    </xf>
    <xf numFmtId="175" fontId="19" fillId="18" borderId="62" xfId="0" applyNumberFormat="1" applyFont="1" applyFill="1" applyBorder="1" applyAlignment="1">
      <alignment horizontal="center"/>
    </xf>
    <xf numFmtId="175" fontId="19" fillId="18" borderId="86" xfId="0" applyNumberFormat="1" applyFont="1" applyFill="1" applyBorder="1" applyAlignment="1">
      <alignment horizontal="center"/>
    </xf>
    <xf numFmtId="175" fontId="16" fillId="18" borderId="76" xfId="0" applyNumberFormat="1" applyFont="1" applyFill="1" applyBorder="1"/>
    <xf numFmtId="175" fontId="16" fillId="18" borderId="76" xfId="0" applyNumberFormat="1" applyFont="1" applyFill="1" applyBorder="1" applyAlignment="1">
      <alignment horizontal="center"/>
    </xf>
    <xf numFmtId="175" fontId="16" fillId="18" borderId="75" xfId="0" applyNumberFormat="1" applyFont="1" applyFill="1" applyBorder="1" applyAlignment="1">
      <alignment horizontal="center"/>
    </xf>
    <xf numFmtId="175" fontId="16" fillId="18" borderId="88" xfId="0" applyNumberFormat="1" applyFont="1" applyFill="1" applyBorder="1"/>
    <xf numFmtId="175" fontId="19" fillId="18" borderId="75" xfId="0" applyNumberFormat="1" applyFont="1" applyFill="1" applyBorder="1" applyAlignment="1">
      <alignment horizontal="center"/>
    </xf>
    <xf numFmtId="175" fontId="19" fillId="18" borderId="89" xfId="0" applyNumberFormat="1" applyFont="1" applyFill="1" applyBorder="1" applyAlignment="1">
      <alignment horizontal="center"/>
    </xf>
    <xf numFmtId="175" fontId="16" fillId="20" borderId="79" xfId="0" applyNumberFormat="1" applyFont="1" applyFill="1" applyBorder="1"/>
    <xf numFmtId="10" fontId="16" fillId="20" borderId="79" xfId="0" applyNumberFormat="1" applyFont="1" applyFill="1" applyBorder="1" applyAlignment="1">
      <alignment horizontal="center"/>
    </xf>
    <xf numFmtId="175" fontId="26" fillId="20" borderId="79" xfId="0" applyNumberFormat="1" applyFont="1" applyFill="1" applyBorder="1" applyAlignment="1">
      <alignment horizontal="right"/>
    </xf>
    <xf numFmtId="175" fontId="29" fillId="20" borderId="80" xfId="0" applyNumberFormat="1" applyFont="1" applyFill="1" applyBorder="1" applyAlignment="1">
      <alignment horizontal="center"/>
    </xf>
    <xf numFmtId="175" fontId="19" fillId="20" borderId="62" xfId="0" applyNumberFormat="1" applyFont="1" applyFill="1" applyBorder="1" applyAlignment="1">
      <alignment horizontal="center"/>
    </xf>
    <xf numFmtId="175" fontId="16" fillId="20" borderId="76" xfId="0" applyNumberFormat="1" applyFont="1" applyFill="1" applyBorder="1"/>
    <xf numFmtId="10" fontId="16" fillId="20" borderId="76" xfId="0" applyNumberFormat="1" applyFont="1" applyFill="1" applyBorder="1" applyAlignment="1">
      <alignment horizontal="center"/>
    </xf>
    <xf numFmtId="175" fontId="19" fillId="20" borderId="75" xfId="0" applyNumberFormat="1" applyFont="1" applyFill="1" applyBorder="1" applyAlignment="1">
      <alignment horizontal="center"/>
    </xf>
    <xf numFmtId="175" fontId="16" fillId="20" borderId="79" xfId="0" applyNumberFormat="1" applyFont="1" applyFill="1" applyBorder="1" applyAlignment="1">
      <alignment horizontal="center"/>
    </xf>
    <xf numFmtId="175" fontId="26" fillId="20" borderId="80" xfId="0" applyNumberFormat="1" applyFont="1" applyFill="1" applyBorder="1" applyAlignment="1">
      <alignment horizontal="center"/>
    </xf>
    <xf numFmtId="175" fontId="29" fillId="20" borderId="74" xfId="0" applyNumberFormat="1" applyFont="1" applyFill="1" applyBorder="1" applyAlignment="1">
      <alignment horizontal="center"/>
    </xf>
    <xf numFmtId="175" fontId="19" fillId="20" borderId="0" xfId="0" applyNumberFormat="1" applyFont="1" applyFill="1" applyAlignment="1">
      <alignment horizontal="center"/>
    </xf>
    <xf numFmtId="175" fontId="16" fillId="20" borderId="76" xfId="0" applyNumberFormat="1" applyFont="1" applyFill="1" applyBorder="1" applyAlignment="1">
      <alignment horizontal="center"/>
    </xf>
    <xf numFmtId="0" fontId="5" fillId="9" borderId="43" xfId="0" applyFont="1" applyFill="1" applyBorder="1"/>
    <xf numFmtId="175" fontId="5" fillId="9" borderId="44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4" fillId="33" borderId="0" xfId="0" applyFont="1" applyFill="1"/>
    <xf numFmtId="175" fontId="64" fillId="33" borderId="0" xfId="0" applyNumberFormat="1" applyFont="1" applyFill="1" applyAlignment="1">
      <alignment horizontal="left" vertical="center"/>
    </xf>
    <xf numFmtId="0" fontId="64" fillId="33" borderId="0" xfId="0" applyFont="1" applyFill="1" applyAlignment="1">
      <alignment horizontal="left" vertical="center"/>
    </xf>
    <xf numFmtId="0" fontId="6" fillId="6" borderId="1" xfId="0" applyFont="1" applyFill="1" applyBorder="1" applyAlignment="1">
      <alignment horizontal="center"/>
    </xf>
    <xf numFmtId="0" fontId="43" fillId="0" borderId="1" xfId="0" applyFont="1" applyBorder="1"/>
    <xf numFmtId="0" fontId="43" fillId="0" borderId="2" xfId="0" applyFont="1" applyBorder="1" applyAlignment="1">
      <alignment horizontal="center" wrapText="1"/>
    </xf>
    <xf numFmtId="0" fontId="43" fillId="0" borderId="3" xfId="0" applyFont="1" applyBorder="1"/>
    <xf numFmtId="0" fontId="43" fillId="0" borderId="4" xfId="0" applyFont="1" applyBorder="1" applyAlignment="1">
      <alignment horizontal="right"/>
    </xf>
    <xf numFmtId="184" fontId="19" fillId="28" borderId="57" xfId="0" applyNumberFormat="1" applyFont="1" applyFill="1" applyBorder="1" applyAlignment="1">
      <alignment horizontal="center"/>
    </xf>
    <xf numFmtId="172" fontId="16" fillId="0" borderId="15" xfId="0" applyNumberFormat="1" applyFont="1" applyBorder="1" applyAlignment="1">
      <alignment horizontal="center" vertical="center"/>
    </xf>
    <xf numFmtId="172" fontId="19" fillId="0" borderId="8" xfId="0" applyNumberFormat="1" applyFont="1" applyBorder="1" applyAlignment="1">
      <alignment horizontal="center" vertical="center"/>
    </xf>
    <xf numFmtId="0" fontId="16" fillId="0" borderId="91" xfId="0" applyFont="1" applyBorder="1" applyAlignment="1">
      <alignment vertical="center"/>
    </xf>
    <xf numFmtId="3" fontId="16" fillId="0" borderId="92" xfId="0" applyNumberFormat="1" applyFont="1" applyBorder="1" applyAlignment="1">
      <alignment horizontal="center" vertical="center"/>
    </xf>
    <xf numFmtId="9" fontId="16" fillId="0" borderId="92" xfId="0" applyNumberFormat="1" applyFont="1" applyBorder="1" applyAlignment="1">
      <alignment horizontal="center" vertical="center"/>
    </xf>
    <xf numFmtId="172" fontId="26" fillId="0" borderId="92" xfId="0" applyNumberFormat="1" applyFont="1" applyBorder="1" applyAlignment="1">
      <alignment vertical="center"/>
    </xf>
    <xf numFmtId="172" fontId="16" fillId="0" borderId="93" xfId="0" applyNumberFormat="1" applyFont="1" applyBorder="1" applyAlignment="1">
      <alignment horizontal="center" vertical="center"/>
    </xf>
    <xf numFmtId="0" fontId="16" fillId="10" borderId="33" xfId="0" applyFont="1" applyFill="1" applyBorder="1" applyAlignment="1">
      <alignment vertical="center" wrapText="1"/>
    </xf>
    <xf numFmtId="0" fontId="24" fillId="0" borderId="45" xfId="0" applyFont="1" applyBorder="1"/>
    <xf numFmtId="0" fontId="25" fillId="0" borderId="37" xfId="0" applyFont="1" applyBorder="1" applyAlignment="1">
      <alignment horizontal="center" vertical="center"/>
    </xf>
    <xf numFmtId="0" fontId="16" fillId="10" borderId="38" xfId="0" applyFont="1" applyFill="1" applyBorder="1" applyAlignment="1">
      <alignment vertical="center" wrapText="1"/>
    </xf>
    <xf numFmtId="172" fontId="16" fillId="10" borderId="94" xfId="0" applyNumberFormat="1" applyFont="1" applyFill="1" applyBorder="1" applyAlignment="1">
      <alignment vertical="center"/>
    </xf>
    <xf numFmtId="3" fontId="16" fillId="0" borderId="95" xfId="0" applyNumberFormat="1" applyFont="1" applyBorder="1" applyAlignment="1">
      <alignment horizontal="center" vertical="center"/>
    </xf>
    <xf numFmtId="172" fontId="16" fillId="0" borderId="95" xfId="0" applyNumberFormat="1" applyFont="1" applyBorder="1" applyAlignment="1">
      <alignment horizontal="center" vertical="center"/>
    </xf>
    <xf numFmtId="172" fontId="16" fillId="0" borderId="95" xfId="0" applyNumberFormat="1" applyFont="1" applyBorder="1" applyAlignment="1">
      <alignment vertical="center"/>
    </xf>
    <xf numFmtId="172" fontId="16" fillId="0" borderId="41" xfId="0" applyNumberFormat="1" applyFont="1" applyBorder="1" applyAlignment="1">
      <alignment horizontal="center" vertical="center"/>
    </xf>
    <xf numFmtId="177" fontId="16" fillId="10" borderId="96" xfId="0" applyNumberFormat="1" applyFont="1" applyFill="1" applyBorder="1" applyAlignment="1">
      <alignment horizontal="center" vertical="center"/>
    </xf>
    <xf numFmtId="172" fontId="16" fillId="10" borderId="96" xfId="0" applyNumberFormat="1" applyFont="1" applyFill="1" applyBorder="1" applyAlignment="1">
      <alignment vertical="center"/>
    </xf>
    <xf numFmtId="0" fontId="17" fillId="9" borderId="100" xfId="0" applyFont="1" applyFill="1" applyBorder="1" applyAlignment="1">
      <alignment horizontal="left" vertical="center"/>
    </xf>
    <xf numFmtId="186" fontId="17" fillId="9" borderId="101" xfId="0" applyNumberFormat="1" applyFont="1" applyFill="1" applyBorder="1" applyAlignment="1">
      <alignment horizontal="center" vertical="center"/>
    </xf>
    <xf numFmtId="0" fontId="33" fillId="0" borderId="13" xfId="0" applyFont="1" applyBorder="1" applyAlignment="1">
      <alignment horizontal="left" vertical="center"/>
    </xf>
    <xf numFmtId="3" fontId="16" fillId="0" borderId="102" xfId="0" applyNumberFormat="1" applyFont="1" applyBorder="1" applyAlignment="1">
      <alignment horizontal="center" vertical="center"/>
    </xf>
    <xf numFmtId="0" fontId="16" fillId="0" borderId="102" xfId="0" applyFont="1" applyBorder="1" applyAlignment="1">
      <alignment horizontal="center" vertical="center"/>
    </xf>
    <xf numFmtId="173" fontId="16" fillId="0" borderId="102" xfId="0" applyNumberFormat="1" applyFont="1" applyBorder="1" applyAlignment="1">
      <alignment vertical="center"/>
    </xf>
    <xf numFmtId="10" fontId="25" fillId="0" borderId="14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left" vertical="center"/>
    </xf>
    <xf numFmtId="3" fontId="16" fillId="0" borderId="3" xfId="0" applyNumberFormat="1" applyFont="1" applyBorder="1" applyAlignment="1">
      <alignment horizontal="center" vertical="center"/>
    </xf>
    <xf numFmtId="9" fontId="16" fillId="0" borderId="3" xfId="0" applyNumberFormat="1" applyFont="1" applyBorder="1" applyAlignment="1">
      <alignment vertical="center"/>
    </xf>
    <xf numFmtId="2" fontId="25" fillId="0" borderId="21" xfId="0" applyNumberFormat="1" applyFont="1" applyBorder="1" applyAlignment="1">
      <alignment horizontal="center" vertical="center"/>
    </xf>
    <xf numFmtId="0" fontId="16" fillId="10" borderId="91" xfId="0" applyFont="1" applyFill="1" applyBorder="1" applyAlignment="1">
      <alignment vertical="center" wrapText="1"/>
    </xf>
    <xf numFmtId="1" fontId="16" fillId="10" borderId="92" xfId="0" applyNumberFormat="1" applyFont="1" applyFill="1" applyBorder="1" applyAlignment="1">
      <alignment horizontal="center" vertical="center"/>
    </xf>
    <xf numFmtId="10" fontId="16" fillId="10" borderId="92" xfId="0" applyNumberFormat="1" applyFont="1" applyFill="1" applyBorder="1" applyAlignment="1">
      <alignment vertical="center"/>
    </xf>
    <xf numFmtId="172" fontId="16" fillId="10" borderId="93" xfId="0" applyNumberFormat="1" applyFont="1" applyFill="1" applyBorder="1" applyAlignment="1">
      <alignment vertical="center"/>
    </xf>
    <xf numFmtId="0" fontId="25" fillId="0" borderId="13" xfId="0" applyFont="1" applyBorder="1" applyAlignment="1">
      <alignment vertical="center"/>
    </xf>
    <xf numFmtId="0" fontId="33" fillId="0" borderId="18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173" fontId="16" fillId="0" borderId="1" xfId="0" applyNumberFormat="1" applyFont="1" applyBorder="1" applyAlignment="1">
      <alignment vertical="center"/>
    </xf>
    <xf numFmtId="172" fontId="66" fillId="0" borderId="0" xfId="0" applyNumberFormat="1" applyFont="1" applyAlignment="1">
      <alignment horizontal="center" vertical="center"/>
    </xf>
    <xf numFmtId="9" fontId="16" fillId="0" borderId="36" xfId="0" applyNumberFormat="1" applyFont="1" applyBorder="1" applyAlignment="1">
      <alignment vertical="center"/>
    </xf>
    <xf numFmtId="186" fontId="19" fillId="0" borderId="41" xfId="0" applyNumberFormat="1" applyFont="1" applyBorder="1" applyAlignment="1">
      <alignment horizontal="center" vertical="center"/>
    </xf>
    <xf numFmtId="0" fontId="67" fillId="0" borderId="33" xfId="0" applyFont="1" applyBorder="1" applyAlignment="1">
      <alignment vertical="center"/>
    </xf>
    <xf numFmtId="3" fontId="23" fillId="0" borderId="16" xfId="0" applyNumberFormat="1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173" fontId="23" fillId="0" borderId="16" xfId="0" applyNumberFormat="1" applyFont="1" applyBorder="1" applyAlignment="1">
      <alignment horizontal="center" vertical="center"/>
    </xf>
    <xf numFmtId="172" fontId="16" fillId="0" borderId="17" xfId="0" applyNumberFormat="1" applyFont="1" applyBorder="1" applyAlignment="1">
      <alignment horizontal="center" vertical="center"/>
    </xf>
    <xf numFmtId="0" fontId="16" fillId="0" borderId="33" xfId="0" applyFont="1" applyBorder="1" applyAlignment="1">
      <alignment vertical="center" wrapText="1"/>
    </xf>
    <xf numFmtId="0" fontId="16" fillId="0" borderId="16" xfId="0" applyFont="1" applyBorder="1" applyAlignment="1">
      <alignment horizontal="center" vertical="center"/>
    </xf>
    <xf numFmtId="9" fontId="16" fillId="0" borderId="16" xfId="0" applyNumberFormat="1" applyFont="1" applyBorder="1" applyAlignment="1">
      <alignment horizontal="center" vertical="center"/>
    </xf>
    <xf numFmtId="172" fontId="55" fillId="32" borderId="100" xfId="0" applyNumberFormat="1" applyFont="1" applyFill="1" applyBorder="1" applyAlignment="1">
      <alignment horizontal="left" vertical="center"/>
    </xf>
    <xf numFmtId="3" fontId="16" fillId="0" borderId="16" xfId="0" applyNumberFormat="1" applyFont="1" applyBorder="1" applyAlignment="1">
      <alignment horizontal="center" vertical="center"/>
    </xf>
    <xf numFmtId="0" fontId="22" fillId="0" borderId="0" xfId="0" applyFont="1" applyAlignment="1">
      <alignment vertical="center" wrapText="1"/>
    </xf>
    <xf numFmtId="3" fontId="61" fillId="0" borderId="0" xfId="0" applyNumberFormat="1" applyFont="1" applyAlignment="1">
      <alignment horizontal="left" vertical="center"/>
    </xf>
    <xf numFmtId="176" fontId="16" fillId="0" borderId="16" xfId="0" applyNumberFormat="1" applyFont="1" applyBorder="1" applyAlignment="1">
      <alignment horizontal="center" vertical="center"/>
    </xf>
    <xf numFmtId="9" fontId="26" fillId="0" borderId="16" xfId="0" applyNumberFormat="1" applyFont="1" applyBorder="1" applyAlignment="1">
      <alignment vertical="center"/>
    </xf>
    <xf numFmtId="176" fontId="22" fillId="0" borderId="0" xfId="0" applyNumberFormat="1" applyFont="1" applyAlignment="1">
      <alignment vertical="center" wrapText="1"/>
    </xf>
    <xf numFmtId="3" fontId="61" fillId="0" borderId="0" xfId="0" applyNumberFormat="1" applyFont="1" applyAlignment="1">
      <alignment vertical="center"/>
    </xf>
    <xf numFmtId="0" fontId="66" fillId="0" borderId="0" xfId="0" applyFont="1" applyAlignment="1">
      <alignment vertical="center"/>
    </xf>
    <xf numFmtId="1" fontId="25" fillId="0" borderId="52" xfId="0" applyNumberFormat="1" applyFont="1" applyBorder="1" applyAlignment="1">
      <alignment horizontal="center" vertical="center"/>
    </xf>
    <xf numFmtId="9" fontId="3" fillId="0" borderId="0" xfId="0" applyNumberFormat="1" applyFont="1"/>
    <xf numFmtId="0" fontId="10" fillId="7" borderId="1" xfId="0" applyFont="1" applyFill="1" applyBorder="1" applyAlignment="1">
      <alignment horizontal="center" vertical="center" wrapText="1"/>
    </xf>
    <xf numFmtId="175" fontId="16" fillId="0" borderId="31" xfId="0" applyNumberFormat="1" applyFont="1" applyBorder="1" applyAlignment="1">
      <alignment vertical="center"/>
    </xf>
    <xf numFmtId="0" fontId="30" fillId="10" borderId="38" xfId="0" applyFont="1" applyFill="1" applyBorder="1" applyAlignment="1">
      <alignment horizontal="right" vertical="center" wrapText="1"/>
    </xf>
    <xf numFmtId="10" fontId="31" fillId="0" borderId="96" xfId="0" applyNumberFormat="1" applyFont="1" applyBorder="1" applyAlignment="1">
      <alignment vertical="center"/>
    </xf>
    <xf numFmtId="172" fontId="32" fillId="2" borderId="94" xfId="0" applyNumberFormat="1" applyFont="1" applyFill="1" applyBorder="1" applyAlignment="1">
      <alignment vertical="center"/>
    </xf>
    <xf numFmtId="10" fontId="34" fillId="0" borderId="96" xfId="0" applyNumberFormat="1" applyFont="1" applyBorder="1" applyAlignment="1">
      <alignment vertical="center"/>
    </xf>
    <xf numFmtId="172" fontId="19" fillId="0" borderId="101" xfId="0" applyNumberFormat="1" applyFont="1" applyBorder="1" applyAlignment="1">
      <alignment horizontal="right" vertical="center"/>
    </xf>
    <xf numFmtId="172" fontId="16" fillId="10" borderId="96" xfId="0" applyNumberFormat="1" applyFont="1" applyFill="1" applyBorder="1" applyAlignment="1">
      <alignment horizontal="center" vertical="center"/>
    </xf>
    <xf numFmtId="172" fontId="16" fillId="2" borderId="94" xfId="0" applyNumberFormat="1" applyFont="1" applyFill="1" applyBorder="1" applyAlignment="1">
      <alignment vertical="center"/>
    </xf>
    <xf numFmtId="0" fontId="17" fillId="9" borderId="42" xfId="0" applyFont="1" applyFill="1" applyBorder="1"/>
    <xf numFmtId="0" fontId="16" fillId="10" borderId="96" xfId="0" applyFont="1" applyFill="1" applyBorder="1" applyAlignment="1">
      <alignment horizontal="center" vertical="center"/>
    </xf>
    <xf numFmtId="10" fontId="26" fillId="0" borderId="96" xfId="0" applyNumberFormat="1" applyFont="1" applyBorder="1" applyAlignment="1">
      <alignment vertical="center"/>
    </xf>
    <xf numFmtId="0" fontId="25" fillId="8" borderId="42" xfId="0" applyFont="1" applyFill="1" applyBorder="1" applyAlignment="1">
      <alignment vertical="center"/>
    </xf>
    <xf numFmtId="9" fontId="16" fillId="10" borderId="96" xfId="0" applyNumberFormat="1" applyFont="1" applyFill="1" applyBorder="1" applyAlignment="1">
      <alignment vertical="center"/>
    </xf>
    <xf numFmtId="10" fontId="25" fillId="0" borderId="99" xfId="0" applyNumberFormat="1" applyFont="1" applyBorder="1" applyAlignment="1">
      <alignment horizontal="center" vertical="center"/>
    </xf>
    <xf numFmtId="172" fontId="32" fillId="10" borderId="94" xfId="0" applyNumberFormat="1" applyFont="1" applyFill="1" applyBorder="1" applyAlignment="1">
      <alignment vertical="center"/>
    </xf>
    <xf numFmtId="3" fontId="26" fillId="0" borderId="96" xfId="0" applyNumberFormat="1" applyFont="1" applyBorder="1" applyAlignment="1">
      <alignment vertical="center"/>
    </xf>
    <xf numFmtId="172" fontId="16" fillId="10" borderId="94" xfId="0" applyNumberFormat="1" applyFont="1" applyFill="1" applyBorder="1" applyAlignment="1">
      <alignment horizontal="center" vertical="center"/>
    </xf>
    <xf numFmtId="3" fontId="25" fillId="0" borderId="99" xfId="0" applyNumberFormat="1" applyFont="1" applyBorder="1" applyAlignment="1">
      <alignment horizontal="center" vertical="center"/>
    </xf>
    <xf numFmtId="175" fontId="3" fillId="0" borderId="9" xfId="0" applyNumberFormat="1" applyFont="1" applyBorder="1"/>
    <xf numFmtId="174" fontId="3" fillId="0" borderId="11" xfId="0" applyNumberFormat="1" applyFont="1" applyBorder="1"/>
    <xf numFmtId="10" fontId="3" fillId="0" borderId="16" xfId="0" applyNumberFormat="1" applyFont="1" applyBorder="1"/>
    <xf numFmtId="172" fontId="30" fillId="12" borderId="17" xfId="0" applyNumberFormat="1" applyFont="1" applyFill="1" applyBorder="1" applyAlignment="1">
      <alignment horizontal="right"/>
    </xf>
    <xf numFmtId="177" fontId="16" fillId="12" borderId="96" xfId="0" applyNumberFormat="1" applyFont="1" applyFill="1" applyBorder="1" applyAlignment="1">
      <alignment horizontal="center"/>
    </xf>
    <xf numFmtId="0" fontId="16" fillId="12" borderId="96" xfId="0" applyFont="1" applyFill="1" applyBorder="1" applyAlignment="1">
      <alignment horizontal="center"/>
    </xf>
    <xf numFmtId="3" fontId="26" fillId="0" borderId="96" xfId="0" applyNumberFormat="1" applyFont="1" applyBorder="1" applyAlignment="1">
      <alignment horizontal="right"/>
    </xf>
    <xf numFmtId="172" fontId="16" fillId="12" borderId="94" xfId="0" applyNumberFormat="1" applyFont="1" applyFill="1" applyBorder="1" applyAlignment="1">
      <alignment horizontal="center"/>
    </xf>
    <xf numFmtId="0" fontId="44" fillId="0" borderId="100" xfId="0" applyFont="1" applyBorder="1"/>
    <xf numFmtId="179" fontId="44" fillId="0" borderId="99" xfId="0" applyNumberFormat="1" applyFont="1" applyBorder="1" applyAlignment="1">
      <alignment horizontal="right"/>
    </xf>
    <xf numFmtId="0" fontId="43" fillId="0" borderId="100" xfId="0" applyFont="1" applyBorder="1"/>
    <xf numFmtId="179" fontId="43" fillId="0" borderId="99" xfId="0" applyNumberFormat="1" applyFont="1" applyBorder="1" applyAlignment="1">
      <alignment horizontal="right"/>
    </xf>
    <xf numFmtId="172" fontId="43" fillId="0" borderId="99" xfId="0" applyNumberFormat="1" applyFont="1" applyBorder="1" applyAlignment="1">
      <alignment horizontal="right"/>
    </xf>
    <xf numFmtId="172" fontId="42" fillId="0" borderId="101" xfId="0" applyNumberFormat="1" applyFont="1" applyBorder="1" applyAlignment="1">
      <alignment horizontal="right"/>
    </xf>
    <xf numFmtId="175" fontId="16" fillId="0" borderId="99" xfId="0" applyNumberFormat="1" applyFont="1" applyBorder="1"/>
    <xf numFmtId="175" fontId="16" fillId="0" borderId="101" xfId="0" applyNumberFormat="1" applyFont="1" applyBorder="1"/>
    <xf numFmtId="175" fontId="25" fillId="24" borderId="101" xfId="0" applyNumberFormat="1" applyFont="1" applyFill="1" applyBorder="1" applyAlignment="1">
      <alignment horizontal="center"/>
    </xf>
    <xf numFmtId="172" fontId="55" fillId="32" borderId="98" xfId="0" applyNumberFormat="1" applyFont="1" applyFill="1" applyBorder="1" applyAlignment="1">
      <alignment horizontal="left" vertical="center"/>
    </xf>
    <xf numFmtId="176" fontId="58" fillId="0" borderId="101" xfId="0" applyNumberFormat="1" applyFont="1" applyBorder="1" applyAlignment="1">
      <alignment vertical="center"/>
    </xf>
    <xf numFmtId="179" fontId="17" fillId="0" borderId="101" xfId="0" applyNumberFormat="1" applyFont="1" applyBorder="1" applyAlignment="1">
      <alignment vertical="center"/>
    </xf>
    <xf numFmtId="176" fontId="17" fillId="0" borderId="101" xfId="0" applyNumberFormat="1" applyFont="1" applyBorder="1" applyAlignment="1">
      <alignment vertical="center"/>
    </xf>
    <xf numFmtId="175" fontId="3" fillId="0" borderId="0" xfId="0" applyNumberFormat="1" applyFont="1"/>
    <xf numFmtId="175" fontId="3" fillId="20" borderId="77" xfId="0" applyNumberFormat="1" applyFont="1" applyFill="1" applyBorder="1"/>
    <xf numFmtId="10" fontId="3" fillId="20" borderId="80" xfId="0" applyNumberFormat="1" applyFont="1" applyFill="1" applyBorder="1"/>
    <xf numFmtId="4" fontId="3" fillId="20" borderId="80" xfId="0" applyNumberFormat="1" applyFont="1" applyFill="1" applyBorder="1"/>
    <xf numFmtId="175" fontId="3" fillId="20" borderId="90" xfId="0" applyNumberFormat="1" applyFont="1" applyFill="1" applyBorder="1"/>
    <xf numFmtId="175" fontId="3" fillId="20" borderId="82" xfId="0" applyNumberFormat="1" applyFont="1" applyFill="1" applyBorder="1"/>
    <xf numFmtId="10" fontId="3" fillId="20" borderId="62" xfId="0" applyNumberFormat="1" applyFont="1" applyFill="1" applyBorder="1"/>
    <xf numFmtId="175" fontId="3" fillId="20" borderId="62" xfId="0" applyNumberFormat="1" applyFont="1" applyFill="1" applyBorder="1"/>
    <xf numFmtId="175" fontId="3" fillId="20" borderId="59" xfId="0" applyNumberFormat="1" applyFont="1" applyFill="1" applyBorder="1"/>
    <xf numFmtId="175" fontId="3" fillId="20" borderId="87" xfId="0" applyNumberFormat="1" applyFont="1" applyFill="1" applyBorder="1"/>
    <xf numFmtId="10" fontId="3" fillId="20" borderId="75" xfId="0" applyNumberFormat="1" applyFont="1" applyFill="1" applyBorder="1"/>
    <xf numFmtId="175" fontId="3" fillId="20" borderId="88" xfId="0" applyNumberFormat="1" applyFont="1" applyFill="1" applyBorder="1"/>
    <xf numFmtId="175" fontId="3" fillId="20" borderId="62" xfId="0" applyNumberFormat="1" applyFont="1" applyFill="1" applyBorder="1" applyAlignment="1">
      <alignment horizontal="center"/>
    </xf>
    <xf numFmtId="175" fontId="3" fillId="20" borderId="75" xfId="0" applyNumberFormat="1" applyFont="1" applyFill="1" applyBorder="1"/>
    <xf numFmtId="172" fontId="3" fillId="0" borderId="0" xfId="0" applyNumberFormat="1" applyFont="1"/>
    <xf numFmtId="0" fontId="16" fillId="0" borderId="31" xfId="0" applyFont="1" applyBorder="1" applyAlignment="1">
      <alignment vertical="center"/>
    </xf>
    <xf numFmtId="172" fontId="17" fillId="9" borderId="98" xfId="0" applyNumberFormat="1" applyFont="1" applyFill="1" applyBorder="1" applyAlignment="1">
      <alignment horizontal="center" vertical="center"/>
    </xf>
    <xf numFmtId="0" fontId="16" fillId="0" borderId="38" xfId="0" applyFont="1" applyBorder="1" applyAlignment="1">
      <alignment vertical="center" wrapText="1"/>
    </xf>
    <xf numFmtId="166" fontId="0" fillId="0" borderId="0" xfId="0" applyNumberFormat="1"/>
    <xf numFmtId="0" fontId="15" fillId="0" borderId="0" xfId="0" applyFont="1" applyAlignment="1">
      <alignment horizontal="left" vertical="center"/>
    </xf>
    <xf numFmtId="0" fontId="20" fillId="8" borderId="27" xfId="0" applyFont="1" applyFill="1" applyBorder="1" applyAlignment="1">
      <alignment horizontal="center" vertical="center"/>
    </xf>
    <xf numFmtId="0" fontId="20" fillId="9" borderId="27" xfId="0" applyFont="1" applyFill="1" applyBorder="1" applyAlignment="1">
      <alignment horizontal="center" vertical="center"/>
    </xf>
    <xf numFmtId="0" fontId="19" fillId="8" borderId="27" xfId="0" applyFont="1" applyFill="1" applyBorder="1" applyAlignment="1">
      <alignment horizontal="center" vertical="center"/>
    </xf>
    <xf numFmtId="0" fontId="19" fillId="9" borderId="27" xfId="0" applyFont="1" applyFill="1" applyBorder="1" applyAlignment="1">
      <alignment horizontal="center" vertical="center"/>
    </xf>
    <xf numFmtId="172" fontId="25" fillId="8" borderId="26" xfId="0" applyNumberFormat="1" applyFont="1" applyFill="1" applyBorder="1" applyAlignment="1">
      <alignment horizontal="center" vertical="center"/>
    </xf>
    <xf numFmtId="175" fontId="19" fillId="8" borderId="27" xfId="0" applyNumberFormat="1" applyFont="1" applyFill="1" applyBorder="1" applyAlignment="1">
      <alignment horizontal="center" vertical="center"/>
    </xf>
    <xf numFmtId="0" fontId="19" fillId="9" borderId="27" xfId="0" applyFont="1" applyFill="1" applyBorder="1" applyAlignment="1">
      <alignment horizontal="center"/>
    </xf>
    <xf numFmtId="172" fontId="17" fillId="9" borderId="26" xfId="0" applyNumberFormat="1" applyFont="1" applyFill="1" applyBorder="1" applyAlignment="1">
      <alignment horizontal="center" vertical="center"/>
    </xf>
    <xf numFmtId="10" fontId="17" fillId="11" borderId="26" xfId="0" applyNumberFormat="1" applyFont="1" applyFill="1" applyBorder="1" applyAlignment="1">
      <alignment horizontal="center" vertical="center"/>
    </xf>
    <xf numFmtId="172" fontId="17" fillId="9" borderId="40" xfId="0" applyNumberFormat="1" applyFont="1" applyFill="1" applyBorder="1" applyAlignment="1">
      <alignment horizontal="center" vertical="center"/>
    </xf>
    <xf numFmtId="0" fontId="36" fillId="13" borderId="43" xfId="0" applyFont="1" applyFill="1" applyBorder="1" applyAlignment="1">
      <alignment horizontal="center" vertical="center"/>
    </xf>
    <xf numFmtId="168" fontId="36" fillId="7" borderId="43" xfId="0" applyNumberFormat="1" applyFont="1" applyFill="1" applyBorder="1" applyAlignment="1">
      <alignment horizontal="center" vertical="center"/>
    </xf>
    <xf numFmtId="179" fontId="30" fillId="7" borderId="43" xfId="0" applyNumberFormat="1" applyFont="1" applyFill="1" applyBorder="1" applyAlignment="1">
      <alignment vertical="center"/>
    </xf>
    <xf numFmtId="0" fontId="37" fillId="14" borderId="43" xfId="0" applyFont="1" applyFill="1" applyBorder="1" applyAlignment="1">
      <alignment vertical="center"/>
    </xf>
    <xf numFmtId="0" fontId="38" fillId="15" borderId="43" xfId="0" applyFont="1" applyFill="1" applyBorder="1" applyAlignment="1">
      <alignment horizontal="center" vertical="center"/>
    </xf>
    <xf numFmtId="179" fontId="39" fillId="7" borderId="43" xfId="0" applyNumberFormat="1" applyFont="1" applyFill="1" applyBorder="1" applyAlignment="1">
      <alignment horizontal="center" vertical="center"/>
    </xf>
    <xf numFmtId="168" fontId="38" fillId="15" borderId="43" xfId="0" applyNumberFormat="1" applyFont="1" applyFill="1" applyBorder="1" applyAlignment="1">
      <alignment horizontal="center"/>
    </xf>
    <xf numFmtId="168" fontId="36" fillId="13" borderId="43" xfId="0" applyNumberFormat="1" applyFont="1" applyFill="1" applyBorder="1" applyAlignment="1">
      <alignment horizontal="center"/>
    </xf>
    <xf numFmtId="179" fontId="17" fillId="14" borderId="43" xfId="0" applyNumberFormat="1" applyFont="1" applyFill="1" applyBorder="1" applyAlignment="1">
      <alignment horizontal="center" vertical="center"/>
    </xf>
    <xf numFmtId="168" fontId="17" fillId="13" borderId="43" xfId="0" applyNumberFormat="1" applyFont="1" applyFill="1" applyBorder="1" applyAlignment="1">
      <alignment horizontal="center"/>
    </xf>
    <xf numFmtId="10" fontId="17" fillId="14" borderId="43" xfId="0" applyNumberFormat="1" applyFont="1" applyFill="1" applyBorder="1" applyAlignment="1">
      <alignment horizontal="center" vertical="center"/>
    </xf>
    <xf numFmtId="172" fontId="25" fillId="8" borderId="40" xfId="0" applyNumberFormat="1" applyFont="1" applyFill="1" applyBorder="1" applyAlignment="1">
      <alignment horizontal="center" vertical="center"/>
    </xf>
    <xf numFmtId="172" fontId="25" fillId="8" borderId="26" xfId="0" applyNumberFormat="1" applyFont="1" applyFill="1" applyBorder="1" applyAlignment="1">
      <alignment horizontal="center"/>
    </xf>
    <xf numFmtId="172" fontId="32" fillId="10" borderId="94" xfId="0" applyNumberFormat="1" applyFont="1" applyFill="1" applyBorder="1" applyAlignment="1">
      <alignment vertical="center"/>
    </xf>
    <xf numFmtId="172" fontId="17" fillId="16" borderId="26" xfId="0" applyNumberFormat="1" applyFont="1" applyFill="1" applyBorder="1" applyAlignment="1">
      <alignment horizontal="center" vertical="center"/>
    </xf>
    <xf numFmtId="172" fontId="45" fillId="16" borderId="26" xfId="0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/>
    </xf>
    <xf numFmtId="182" fontId="19" fillId="0" borderId="5" xfId="0" applyNumberFormat="1" applyFont="1" applyBorder="1" applyAlignment="1">
      <alignment horizontal="center"/>
    </xf>
    <xf numFmtId="175" fontId="19" fillId="0" borderId="0" xfId="0" applyNumberFormat="1" applyFont="1" applyAlignment="1">
      <alignment horizontal="center" vertical="center"/>
    </xf>
    <xf numFmtId="175" fontId="19" fillId="18" borderId="99" xfId="0" applyNumberFormat="1" applyFont="1" applyFill="1" applyBorder="1" applyAlignment="1">
      <alignment horizontal="center" vertical="center"/>
    </xf>
    <xf numFmtId="175" fontId="29" fillId="23" borderId="99" xfId="0" applyNumberFormat="1" applyFont="1" applyFill="1" applyBorder="1" applyAlignment="1">
      <alignment horizontal="center" vertical="center"/>
    </xf>
    <xf numFmtId="175" fontId="19" fillId="19" borderId="36" xfId="0" applyNumberFormat="1" applyFont="1" applyFill="1" applyBorder="1" applyAlignment="1">
      <alignment horizontal="center"/>
    </xf>
    <xf numFmtId="175" fontId="29" fillId="21" borderId="5" xfId="0" applyNumberFormat="1" applyFont="1" applyFill="1" applyBorder="1" applyAlignment="1">
      <alignment horizontal="center"/>
    </xf>
    <xf numFmtId="175" fontId="29" fillId="21" borderId="36" xfId="0" applyNumberFormat="1" applyFont="1" applyFill="1" applyBorder="1" applyAlignment="1">
      <alignment horizontal="center"/>
    </xf>
    <xf numFmtId="175" fontId="19" fillId="24" borderId="36" xfId="0" applyNumberFormat="1" applyFont="1" applyFill="1" applyBorder="1" applyAlignment="1">
      <alignment horizontal="center"/>
    </xf>
    <xf numFmtId="175" fontId="48" fillId="0" borderId="0" xfId="0" applyNumberFormat="1" applyFont="1" applyAlignment="1">
      <alignment horizontal="center"/>
    </xf>
    <xf numFmtId="175" fontId="25" fillId="18" borderId="6" xfId="0" applyNumberFormat="1" applyFont="1" applyFill="1" applyBorder="1" applyAlignment="1">
      <alignment horizontal="center" vertical="center" wrapText="1"/>
    </xf>
    <xf numFmtId="175" fontId="25" fillId="19" borderId="36" xfId="0" applyNumberFormat="1" applyFont="1" applyFill="1" applyBorder="1" applyAlignment="1">
      <alignment horizontal="center"/>
    </xf>
    <xf numFmtId="175" fontId="49" fillId="20" borderId="6" xfId="0" applyNumberFormat="1" applyFont="1" applyFill="1" applyBorder="1" applyAlignment="1">
      <alignment horizontal="center" vertical="center" textRotation="90"/>
    </xf>
    <xf numFmtId="175" fontId="25" fillId="21" borderId="36" xfId="0" applyNumberFormat="1" applyFont="1" applyFill="1" applyBorder="1" applyAlignment="1">
      <alignment horizontal="center"/>
    </xf>
    <xf numFmtId="175" fontId="25" fillId="24" borderId="36" xfId="0" applyNumberFormat="1" applyFont="1" applyFill="1" applyBorder="1" applyAlignment="1">
      <alignment horizontal="center"/>
    </xf>
    <xf numFmtId="175" fontId="19" fillId="25" borderId="36" xfId="0" applyNumberFormat="1" applyFont="1" applyFill="1" applyBorder="1" applyAlignment="1">
      <alignment horizontal="center"/>
    </xf>
    <xf numFmtId="10" fontId="16" fillId="19" borderId="5" xfId="0" applyNumberFormat="1" applyFont="1" applyFill="1" applyBorder="1" applyAlignment="1">
      <alignment horizontal="center"/>
    </xf>
    <xf numFmtId="0" fontId="51" fillId="28" borderId="0" xfId="0" applyFont="1" applyFill="1" applyAlignment="1">
      <alignment horizontal="center" vertical="center"/>
    </xf>
    <xf numFmtId="172" fontId="55" fillId="32" borderId="100" xfId="0" applyNumberFormat="1" applyFont="1" applyFill="1" applyBorder="1" applyAlignment="1">
      <alignment horizontal="left" vertical="center"/>
    </xf>
    <xf numFmtId="172" fontId="55" fillId="32" borderId="98" xfId="0" applyNumberFormat="1" applyFont="1" applyFill="1" applyBorder="1" applyAlignment="1">
      <alignment horizontal="right" vertical="center"/>
    </xf>
    <xf numFmtId="175" fontId="19" fillId="0" borderId="5" xfId="0" applyNumberFormat="1" applyFont="1" applyBorder="1" applyAlignment="1">
      <alignment horizontal="center"/>
    </xf>
    <xf numFmtId="175" fontId="19" fillId="18" borderId="81" xfId="0" applyNumberFormat="1" applyFont="1" applyFill="1" applyBorder="1" applyAlignment="1">
      <alignment horizontal="center"/>
    </xf>
    <xf numFmtId="175" fontId="63" fillId="20" borderId="81" xfId="0" applyNumberFormat="1" applyFont="1" applyFill="1" applyBorder="1" applyAlignment="1">
      <alignment horizontal="center" vertical="center"/>
    </xf>
    <xf numFmtId="175" fontId="25" fillId="18" borderId="82" xfId="0" applyNumberFormat="1" applyFont="1" applyFill="1" applyBorder="1" applyAlignment="1">
      <alignment horizontal="center" vertical="center" wrapText="1"/>
    </xf>
    <xf numFmtId="175" fontId="25" fillId="9" borderId="36" xfId="0" applyNumberFormat="1" applyFont="1" applyFill="1" applyBorder="1" applyAlignment="1">
      <alignment horizontal="center"/>
    </xf>
    <xf numFmtId="175" fontId="25" fillId="33" borderId="36" xfId="0" applyNumberFormat="1" applyFont="1" applyFill="1" applyBorder="1" applyAlignment="1">
      <alignment horizontal="center"/>
    </xf>
    <xf numFmtId="175" fontId="25" fillId="18" borderId="77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right" vertical="center"/>
    </xf>
    <xf numFmtId="172" fontId="17" fillId="9" borderId="97" xfId="0" applyNumberFormat="1" applyFont="1" applyFill="1" applyBorder="1" applyAlignment="1">
      <alignment horizontal="center" vertical="center"/>
    </xf>
    <xf numFmtId="0" fontId="68" fillId="0" borderId="0" xfId="0" applyFont="1" applyAlignment="1">
      <alignment horizontal="right" vertical="center"/>
    </xf>
    <xf numFmtId="0" fontId="0" fillId="0" borderId="0" xfId="0" applyAlignment="1"/>
    <xf numFmtId="0" fontId="21" fillId="0" borderId="7" xfId="0" applyFont="1" applyBorder="1" applyAlignment="1"/>
    <xf numFmtId="0" fontId="21" fillId="0" borderId="28" xfId="0" applyFont="1" applyBorder="1" applyAlignment="1"/>
    <xf numFmtId="0" fontId="21" fillId="0" borderId="36" xfId="0" applyFont="1" applyBorder="1" applyAlignment="1"/>
    <xf numFmtId="0" fontId="21" fillId="0" borderId="101" xfId="0" applyFont="1" applyBorder="1" applyAlignment="1"/>
    <xf numFmtId="0" fontId="21" fillId="0" borderId="44" xfId="0" applyFont="1" applyBorder="1" applyAlignment="1"/>
    <xf numFmtId="0" fontId="21" fillId="0" borderId="2" xfId="0" applyFont="1" applyBorder="1" applyAlignment="1"/>
    <xf numFmtId="0" fontId="21" fillId="0" borderId="22" xfId="0" applyFont="1" applyBorder="1" applyAlignment="1"/>
    <xf numFmtId="0" fontId="21" fillId="0" borderId="53" xfId="0" applyFont="1" applyBorder="1" applyAlignment="1"/>
    <xf numFmtId="0" fontId="21" fillId="0" borderId="99" xfId="0" applyFont="1" applyBorder="1" applyAlignment="1"/>
    <xf numFmtId="0" fontId="21" fillId="0" borderId="5" xfId="0" applyFont="1" applyBorder="1" applyAlignment="1"/>
    <xf numFmtId="0" fontId="21" fillId="0" borderId="4" xfId="0" applyFont="1" applyBorder="1" applyAlignment="1"/>
    <xf numFmtId="0" fontId="21" fillId="0" borderId="6" xfId="0" applyFont="1" applyBorder="1" applyAlignment="1"/>
    <xf numFmtId="0" fontId="21" fillId="0" borderId="57" xfId="0" applyFont="1" applyBorder="1" applyAlignment="1"/>
    <xf numFmtId="0" fontId="21" fillId="0" borderId="32" xfId="0" applyFont="1" applyBorder="1" applyAlignment="1"/>
    <xf numFmtId="0" fontId="21" fillId="0" borderId="72" xfId="0" applyFont="1" applyBorder="1" applyAlignment="1"/>
    <xf numFmtId="175" fontId="16" fillId="19" borderId="5" xfId="0" applyNumberFormat="1" applyFont="1" applyFill="1" applyBorder="1" applyAlignment="1"/>
    <xf numFmtId="175" fontId="16" fillId="0" borderId="0" xfId="0" applyNumberFormat="1" applyFont="1" applyAlignment="1"/>
    <xf numFmtId="0" fontId="21" fillId="0" borderId="100" xfId="0" applyFont="1" applyBorder="1" applyAlignment="1"/>
    <xf numFmtId="0" fontId="21" fillId="0" borderId="98" xfId="0" applyFont="1" applyBorder="1" applyAlignment="1"/>
    <xf numFmtId="175" fontId="62" fillId="0" borderId="0" xfId="0" applyNumberFormat="1" applyFont="1" applyAlignment="1"/>
    <xf numFmtId="0" fontId="21" fillId="0" borderId="82" xfId="0" applyFont="1" applyBorder="1" applyAlignment="1"/>
    <xf numFmtId="0" fontId="21" fillId="0" borderId="83" xfId="0" applyFont="1" applyBorder="1" applyAlignment="1"/>
    <xf numFmtId="0" fontId="21" fillId="0" borderId="84" xfId="0" applyFont="1" applyBorder="1" applyAlignment="1"/>
    <xf numFmtId="0" fontId="21" fillId="0" borderId="85" xfId="0" applyFont="1" applyBorder="1" applyAlignment="1"/>
    <xf numFmtId="0" fontId="21" fillId="0" borderId="87" xfId="0" applyFont="1" applyBorder="1" applyAlignment="1"/>
    <xf numFmtId="0" fontId="21" fillId="0" borderId="89" xfId="0" applyFont="1" applyBorder="1" applyAlignment="1"/>
    <xf numFmtId="0" fontId="65" fillId="5" borderId="0" xfId="0" applyFont="1" applyFill="1" applyAlignment="1"/>
  </cellXfs>
  <cellStyles count="1">
    <cellStyle name="Обычный" xfId="0" builtinId="0"/>
  </cellStyles>
  <dxfs count="4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EA9999"/>
      </font>
      <fill>
        <patternFill patternType="solid">
          <fgColor rgb="FFF7CAAC"/>
          <bgColor rgb="FFF7CAAC"/>
        </patternFill>
      </fill>
    </dxf>
    <dxf>
      <font>
        <color rgb="FFB7B7B7"/>
      </font>
      <fill>
        <patternFill patternType="solid">
          <fgColor rgb="FFBDD6EE"/>
          <bgColor rgb="FFBDD6EE"/>
        </patternFill>
      </fill>
    </dxf>
    <dxf>
      <font>
        <color rgb="FFFF0000"/>
      </font>
      <fill>
        <patternFill patternType="solid">
          <fgColor rgb="FFB7E1CD"/>
          <bgColor rgb="FFB7E1CD"/>
        </patternFill>
      </fill>
    </dxf>
    <dxf>
      <font>
        <color rgb="FFEA9999"/>
      </font>
      <fill>
        <patternFill patternType="solid">
          <fgColor rgb="FFF7CAAC"/>
          <bgColor rgb="FFF7CAAC"/>
        </patternFill>
      </fill>
    </dxf>
    <dxf>
      <font>
        <color rgb="FFB7B7B7"/>
      </font>
      <fill>
        <patternFill patternType="solid">
          <fgColor rgb="FFBDD6EE"/>
          <bgColor rgb="FFBDD6EE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EA9999"/>
      </font>
      <fill>
        <patternFill patternType="solid">
          <fgColor rgb="FFF7CAAC"/>
          <bgColor rgb="FFF7CAAC"/>
        </patternFill>
      </fill>
    </dxf>
    <dxf>
      <font>
        <color rgb="FFB7B7B7"/>
      </font>
      <fill>
        <patternFill patternType="solid">
          <fgColor rgb="FFBDD6EE"/>
          <bgColor rgb="FFBDD6EE"/>
        </patternFill>
      </fill>
    </dxf>
    <dxf>
      <font>
        <color rgb="FFEA9999"/>
      </font>
      <fill>
        <patternFill patternType="solid">
          <fgColor rgb="FFF7CAAC"/>
          <bgColor rgb="FFF7CAAC"/>
        </patternFill>
      </fill>
    </dxf>
    <dxf>
      <font>
        <color rgb="FFB7B7B7"/>
      </font>
      <fill>
        <patternFill patternType="solid">
          <fgColor rgb="FFBDD6EE"/>
          <bgColor rgb="FFBDD6EE"/>
        </patternFill>
      </fill>
    </dxf>
    <dxf>
      <font>
        <color rgb="FFEA9999"/>
      </font>
      <fill>
        <patternFill patternType="solid">
          <fgColor rgb="FFF7CAAC"/>
          <bgColor rgb="FFF7CAAC"/>
        </patternFill>
      </fill>
    </dxf>
    <dxf>
      <font>
        <color rgb="FFB7B7B7"/>
      </font>
      <fill>
        <patternFill patternType="solid">
          <fgColor rgb="FFBDD6EE"/>
          <bgColor rgb="FFBDD6EE"/>
        </patternFill>
      </fill>
    </dxf>
    <dxf>
      <font>
        <color rgb="FFEA9999"/>
      </font>
      <fill>
        <patternFill patternType="solid">
          <fgColor rgb="FFF7CAAC"/>
          <bgColor rgb="FFF7CAAC"/>
        </patternFill>
      </fill>
    </dxf>
    <dxf>
      <font>
        <color rgb="FFB7B7B7"/>
      </font>
      <fill>
        <patternFill patternType="solid">
          <fgColor rgb="FFBDD6EE"/>
          <bgColor rgb="FFBDD6EE"/>
        </patternFill>
      </fill>
    </dxf>
    <dxf>
      <font>
        <color rgb="FFEA9999"/>
      </font>
      <fill>
        <patternFill patternType="solid">
          <fgColor rgb="FFF7CAAC"/>
          <bgColor rgb="FFF7CAAC"/>
        </patternFill>
      </fill>
    </dxf>
    <dxf>
      <font>
        <color rgb="FFB7B7B7"/>
      </font>
      <fill>
        <patternFill patternType="solid">
          <fgColor rgb="FFBDD6EE"/>
          <bgColor rgb="FFBDD6EE"/>
        </patternFill>
      </fill>
    </dxf>
    <dxf>
      <font>
        <color rgb="FFEA9999"/>
      </font>
      <fill>
        <patternFill patternType="solid">
          <fgColor rgb="FFF7CAAC"/>
          <bgColor rgb="FFF7CAAC"/>
        </patternFill>
      </fill>
    </dxf>
    <dxf>
      <font>
        <color rgb="FFB7B7B7"/>
      </font>
      <fill>
        <patternFill patternType="solid">
          <fgColor rgb="FFBDD6EE"/>
          <bgColor rgb="FFBDD6E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color rgb="FFEA9999"/>
      </font>
      <fill>
        <patternFill patternType="solid">
          <fgColor rgb="FFF7CAAC"/>
          <bgColor rgb="FFF7CAAC"/>
        </patternFill>
      </fill>
    </dxf>
    <dxf>
      <font>
        <color rgb="FFB7B7B7"/>
      </font>
      <fill>
        <patternFill patternType="solid">
          <fgColor rgb="FFBDD6EE"/>
          <bgColor rgb="FFBDD6EE"/>
        </patternFill>
      </fill>
    </dxf>
    <dxf>
      <font>
        <color rgb="FFEA9999"/>
      </font>
      <fill>
        <patternFill patternType="solid">
          <fgColor rgb="FFF7CAAC"/>
          <bgColor rgb="FFF7CAAC"/>
        </patternFill>
      </fill>
    </dxf>
    <dxf>
      <font>
        <color rgb="FFB7B7B7"/>
      </font>
      <fill>
        <patternFill patternType="solid">
          <fgColor rgb="FFBDD6EE"/>
          <bgColor rgb="FFBDD6E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Structure" Target="richData/rdrichvaluestructure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pic>
      <xdr:nvPicPr>
        <xdr:cNvPr id="1991038548" name="Visualization1" title="Vizualizace">
          <a:extLst>
            <a:ext uri="{FF2B5EF4-FFF2-40B4-BE49-F238E27FC236}">
              <a16:creationId xmlns:a16="http://schemas.microsoft.com/office/drawing/2014/main" id="{00000000-0008-0000-0300-000054D6AC76}"/>
            </a:ext>
            <a:ext uri="GoogleSheetsCustomDataVersion1">
              <go:sheetsCustomData xmlns:go="http://customooxmlschemas.google.com/" xmlns:sle15="http://schemas.microsoft.com/office/drawing/2012/slicer" xmlns:x3Unk="http://schemas.microsoft.com/office/drawing/2010/slicer" xmlns:dgm="http://schemas.openxmlformats.org/drawingml/2006/diagram" xmlns:mc="http://schemas.openxmlformats.org/markup-compatibility/2006" xmlns:cx1="http://schemas.microsoft.com/office/drawing/2015/9/8/chartex" xmlns:cx="http://schemas.microsoft.com/office/drawing/2014/chartex" xmlns:c="http://schemas.openxmlformats.org/drawingml/2006/chart" xmlns:r="http://schemas.openxmlformats.org/officeDocument/2006/relationships" xmlns="" pictureOfVisualization="1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opie%20listu%20Interest_calculati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pie listu Interest_calculatio"/>
    </sheetNames>
    <sheetDataSet>
      <sheetData sheetId="0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10</v>
    <v>2</v>
  </rv>
  <rv s="1">
    <v>10</v>
    <v>1</v>
  </rv>
</rvData>
</file>

<file path=xl/richData/rdrichvaluestructure.xml><?xml version="1.0" encoding="utf-8"?>
<rvStructures xmlns="http://schemas.microsoft.com/office/spreadsheetml/2017/richdata" count="2">
  <s t="_error">
    <k n="errorType" t="i"/>
    <k n="subType" t="i"/>
  </s>
  <s t="_error">
    <k n="errorType" t="i"/>
    <k n="propagated" t="b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958"/>
  <sheetViews>
    <sheetView workbookViewId="0">
      <selection activeCell="B17" sqref="B17"/>
    </sheetView>
  </sheetViews>
  <sheetFormatPr defaultColWidth="12.625" defaultRowHeight="15" customHeight="1"/>
  <cols>
    <col min="1" max="1" width="20.625" customWidth="1"/>
    <col min="2" max="2" width="12" customWidth="1"/>
    <col min="3" max="3" width="10.625" customWidth="1"/>
    <col min="4" max="4" width="9.125" customWidth="1"/>
    <col min="5" max="5" width="22.125" customWidth="1"/>
    <col min="6" max="6" width="25.125" customWidth="1"/>
    <col min="7" max="7" width="14" customWidth="1"/>
    <col min="8" max="8" width="10.625" customWidth="1"/>
    <col min="9" max="9" width="19.625" customWidth="1"/>
    <col min="10" max="10" width="14.375" customWidth="1"/>
    <col min="11" max="11" width="10.625" customWidth="1"/>
    <col min="12" max="12" width="18.125" customWidth="1"/>
    <col min="13" max="13" width="11.125" customWidth="1"/>
    <col min="14" max="14" width="21.125" customWidth="1"/>
    <col min="15" max="17" width="10.625" customWidth="1"/>
    <col min="18" max="18" width="22.625" customWidth="1"/>
    <col min="19" max="19" width="17.625" customWidth="1"/>
    <col min="20" max="22" width="10.625" customWidth="1"/>
    <col min="23" max="23" width="12" customWidth="1"/>
    <col min="24" max="26" width="10.625" customWidth="1"/>
  </cols>
  <sheetData>
    <row r="1" spans="1:23" ht="13.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W1" s="3" t="s">
        <v>19</v>
      </c>
    </row>
    <row r="2" spans="1:23" ht="13.5" customHeight="1">
      <c r="A2" s="4" t="s">
        <v>20</v>
      </c>
      <c r="B2" s="5" t="s">
        <v>21</v>
      </c>
      <c r="C2" s="6">
        <v>1168.5999999999999</v>
      </c>
      <c r="D2" s="7" t="s">
        <v>22</v>
      </c>
      <c r="E2" s="8">
        <v>15</v>
      </c>
      <c r="F2" s="9">
        <f>E2*$B$19</f>
        <v>378</v>
      </c>
      <c r="G2" s="9">
        <f>C2*F2</f>
        <v>441730.8</v>
      </c>
      <c r="H2" s="9">
        <f t="shared" ref="H2:H11" si="0">G2*0.21</f>
        <v>92763.467999999993</v>
      </c>
      <c r="I2" s="9">
        <v>39</v>
      </c>
      <c r="J2" s="9">
        <f t="shared" ref="J2:J3" si="1">I2*C2</f>
        <v>45575.399999999994</v>
      </c>
      <c r="K2" s="9">
        <f t="shared" ref="K2:K11" si="2">J2*0.21</f>
        <v>9570.8339999999989</v>
      </c>
      <c r="L2" s="9">
        <f t="shared" ref="L2:L12" si="3">G2+J2</f>
        <v>487306.19999999995</v>
      </c>
      <c r="M2" s="9">
        <f>SUM(G2:H2)+SUM(J2:K2)</f>
        <v>589640.50199999986</v>
      </c>
      <c r="N2" s="3" t="s">
        <v>23</v>
      </c>
      <c r="O2" s="3" t="s">
        <v>24</v>
      </c>
      <c r="P2" s="3"/>
      <c r="Q2" s="3"/>
      <c r="R2" s="3"/>
      <c r="W2" s="3" t="s">
        <v>21</v>
      </c>
    </row>
    <row r="3" spans="1:23" ht="13.5" customHeight="1">
      <c r="A3" s="10" t="s">
        <v>25</v>
      </c>
      <c r="B3" s="11" t="s">
        <v>26</v>
      </c>
      <c r="C3" s="12">
        <v>1</v>
      </c>
      <c r="D3" s="13" t="s">
        <v>22</v>
      </c>
      <c r="E3" s="8">
        <v>0</v>
      </c>
      <c r="F3" s="9">
        <v>3500</v>
      </c>
      <c r="G3" s="9">
        <f>F3</f>
        <v>3500</v>
      </c>
      <c r="H3" s="14">
        <f t="shared" si="0"/>
        <v>735</v>
      </c>
      <c r="I3" s="9">
        <v>500</v>
      </c>
      <c r="J3" s="9">
        <f t="shared" si="1"/>
        <v>500</v>
      </c>
      <c r="K3" s="9">
        <f t="shared" si="2"/>
        <v>105</v>
      </c>
      <c r="L3" s="14">
        <f t="shared" si="3"/>
        <v>4000</v>
      </c>
      <c r="M3" s="14">
        <f t="shared" ref="M3:M11" si="4">SUM(G3:K3)</f>
        <v>5340</v>
      </c>
      <c r="N3" s="3"/>
      <c r="O3" s="3"/>
      <c r="P3" s="3"/>
      <c r="Q3" s="3"/>
      <c r="R3" s="3" t="s">
        <v>27</v>
      </c>
      <c r="S3" s="3" t="s">
        <v>27</v>
      </c>
      <c r="W3" s="3" t="s">
        <v>26</v>
      </c>
    </row>
    <row r="4" spans="1:23" ht="13.5" customHeight="1">
      <c r="A4" s="15" t="s">
        <v>28</v>
      </c>
      <c r="B4" s="11" t="s">
        <v>26</v>
      </c>
      <c r="C4" s="12">
        <v>0</v>
      </c>
      <c r="D4" s="13" t="s">
        <v>22</v>
      </c>
      <c r="E4" s="8">
        <v>0</v>
      </c>
      <c r="F4" s="9">
        <f t="shared" ref="F4:F11" si="5">E4*$B$19</f>
        <v>0</v>
      </c>
      <c r="G4" s="9">
        <v>15000</v>
      </c>
      <c r="H4" s="14">
        <f t="shared" si="0"/>
        <v>3150</v>
      </c>
      <c r="I4" s="9">
        <v>0</v>
      </c>
      <c r="J4" s="9">
        <v>0</v>
      </c>
      <c r="K4" s="9">
        <f t="shared" si="2"/>
        <v>0</v>
      </c>
      <c r="L4" s="14">
        <f t="shared" si="3"/>
        <v>15000</v>
      </c>
      <c r="M4" s="14">
        <f t="shared" si="4"/>
        <v>18150</v>
      </c>
      <c r="N4" s="3"/>
      <c r="O4" s="3"/>
      <c r="P4" s="3"/>
      <c r="Q4" s="3"/>
      <c r="R4" s="3"/>
    </row>
    <row r="5" spans="1:23" ht="13.5" customHeight="1">
      <c r="A5" s="16" t="s">
        <v>29</v>
      </c>
      <c r="B5" s="11" t="s">
        <v>21</v>
      </c>
      <c r="C5" s="12">
        <v>500</v>
      </c>
      <c r="D5" s="13" t="s">
        <v>22</v>
      </c>
      <c r="E5" s="8">
        <v>12.35</v>
      </c>
      <c r="F5" s="9">
        <f t="shared" si="5"/>
        <v>311.21999999999997</v>
      </c>
      <c r="G5" s="9">
        <f t="shared" ref="G5:G8" si="6">C5*F5</f>
        <v>155609.99999999997</v>
      </c>
      <c r="H5" s="17">
        <f t="shared" si="0"/>
        <v>32678.099999999991</v>
      </c>
      <c r="I5" s="9">
        <f>1.8*B19</f>
        <v>45.36</v>
      </c>
      <c r="J5" s="9">
        <f t="shared" ref="J5:J11" si="7">I5*C5</f>
        <v>22680</v>
      </c>
      <c r="K5" s="9">
        <f t="shared" si="2"/>
        <v>4762.8</v>
      </c>
      <c r="L5" s="17">
        <f t="shared" si="3"/>
        <v>178289.99999999997</v>
      </c>
      <c r="M5" s="17">
        <f t="shared" si="4"/>
        <v>215776.25999999995</v>
      </c>
      <c r="N5" s="3" t="s">
        <v>30</v>
      </c>
      <c r="O5" s="3"/>
      <c r="P5" s="3"/>
      <c r="Q5" s="3" t="s">
        <v>31</v>
      </c>
      <c r="R5" s="3"/>
    </row>
    <row r="6" spans="1:23" ht="13.5" customHeight="1">
      <c r="A6" s="16" t="s">
        <v>32</v>
      </c>
      <c r="B6" s="11" t="s">
        <v>21</v>
      </c>
      <c r="C6" s="12">
        <v>220.5</v>
      </c>
      <c r="D6" s="13" t="s">
        <v>22</v>
      </c>
      <c r="E6" s="8">
        <v>13.3</v>
      </c>
      <c r="F6" s="9">
        <f t="shared" si="5"/>
        <v>335.16</v>
      </c>
      <c r="G6" s="9">
        <f t="shared" si="6"/>
        <v>73902.78</v>
      </c>
      <c r="H6" s="14">
        <f t="shared" si="0"/>
        <v>15519.583799999999</v>
      </c>
      <c r="I6" s="9">
        <f t="shared" ref="I6:I8" si="8">1.5*$B$19</f>
        <v>37.799999999999997</v>
      </c>
      <c r="J6" s="9">
        <f t="shared" si="7"/>
        <v>8334.9</v>
      </c>
      <c r="K6" s="9">
        <f t="shared" si="2"/>
        <v>1750.329</v>
      </c>
      <c r="L6" s="14">
        <f t="shared" si="3"/>
        <v>82237.679999999993</v>
      </c>
      <c r="M6" s="14">
        <f t="shared" si="4"/>
        <v>99545.392799999987</v>
      </c>
      <c r="N6" s="3" t="s">
        <v>33</v>
      </c>
      <c r="O6" s="3"/>
      <c r="P6" s="3"/>
      <c r="Q6" s="3" t="s">
        <v>31</v>
      </c>
      <c r="R6" s="3"/>
    </row>
    <row r="7" spans="1:23" ht="13.5" customHeight="1">
      <c r="A7" s="16" t="s">
        <v>34</v>
      </c>
      <c r="B7" s="11" t="s">
        <v>21</v>
      </c>
      <c r="C7" s="12">
        <v>49</v>
      </c>
      <c r="D7" s="13" t="s">
        <v>22</v>
      </c>
      <c r="E7" s="8">
        <v>45</v>
      </c>
      <c r="F7" s="9">
        <f t="shared" si="5"/>
        <v>1134</v>
      </c>
      <c r="G7" s="9">
        <f t="shared" si="6"/>
        <v>55566</v>
      </c>
      <c r="H7" s="14">
        <f t="shared" si="0"/>
        <v>11668.859999999999</v>
      </c>
      <c r="I7" s="9">
        <f t="shared" si="8"/>
        <v>37.799999999999997</v>
      </c>
      <c r="J7" s="9">
        <f t="shared" si="7"/>
        <v>1852.1999999999998</v>
      </c>
      <c r="K7" s="9">
        <f t="shared" si="2"/>
        <v>388.96199999999993</v>
      </c>
      <c r="L7" s="14">
        <f t="shared" si="3"/>
        <v>57418.2</v>
      </c>
      <c r="M7" s="14">
        <f t="shared" si="4"/>
        <v>69513.822</v>
      </c>
      <c r="N7" s="3" t="s">
        <v>30</v>
      </c>
      <c r="O7" s="3"/>
      <c r="P7" s="3"/>
      <c r="Q7" s="3" t="s">
        <v>31</v>
      </c>
      <c r="R7" s="3"/>
    </row>
    <row r="8" spans="1:23" ht="13.5" customHeight="1">
      <c r="A8" s="10" t="s">
        <v>35</v>
      </c>
      <c r="B8" s="18" t="s">
        <v>21</v>
      </c>
      <c r="C8" s="12">
        <v>141.5</v>
      </c>
      <c r="D8" s="19" t="s">
        <v>22</v>
      </c>
      <c r="E8" s="20">
        <v>13</v>
      </c>
      <c r="F8" s="9">
        <f t="shared" si="5"/>
        <v>327.59999999999997</v>
      </c>
      <c r="G8" s="9">
        <f t="shared" si="6"/>
        <v>46355.399999999994</v>
      </c>
      <c r="H8" s="14">
        <f t="shared" si="0"/>
        <v>9734.6339999999982</v>
      </c>
      <c r="I8" s="9">
        <f t="shared" si="8"/>
        <v>37.799999999999997</v>
      </c>
      <c r="J8" s="9">
        <f t="shared" si="7"/>
        <v>5348.7</v>
      </c>
      <c r="K8" s="17">
        <f t="shared" si="2"/>
        <v>1123.2269999999999</v>
      </c>
      <c r="L8" s="14">
        <f t="shared" si="3"/>
        <v>51704.099999999991</v>
      </c>
      <c r="M8" s="14">
        <f t="shared" si="4"/>
        <v>62599.760999999991</v>
      </c>
      <c r="N8" s="3" t="s">
        <v>30</v>
      </c>
      <c r="O8" s="3"/>
      <c r="P8" s="3"/>
      <c r="Q8" s="3" t="s">
        <v>31</v>
      </c>
      <c r="R8" s="3"/>
    </row>
    <row r="9" spans="1:23" ht="13.5" customHeight="1">
      <c r="A9" s="16" t="s">
        <v>36</v>
      </c>
      <c r="B9" s="11" t="s">
        <v>26</v>
      </c>
      <c r="C9" s="11">
        <v>1</v>
      </c>
      <c r="D9" s="19" t="s">
        <v>22</v>
      </c>
      <c r="E9" s="21"/>
      <c r="F9" s="9">
        <f t="shared" si="5"/>
        <v>0</v>
      </c>
      <c r="G9" s="9">
        <f>50000/12</f>
        <v>4166.666666666667</v>
      </c>
      <c r="H9" s="17">
        <f t="shared" si="0"/>
        <v>875</v>
      </c>
      <c r="I9" s="9">
        <v>0</v>
      </c>
      <c r="J9" s="9">
        <f t="shared" si="7"/>
        <v>0</v>
      </c>
      <c r="K9" s="17">
        <f t="shared" si="2"/>
        <v>0</v>
      </c>
      <c r="L9" s="17">
        <f t="shared" si="3"/>
        <v>4166.666666666667</v>
      </c>
      <c r="M9" s="17">
        <f t="shared" si="4"/>
        <v>5041.666666666667</v>
      </c>
      <c r="N9" s="3"/>
      <c r="O9" s="3"/>
      <c r="P9" s="3"/>
      <c r="Q9" s="3"/>
      <c r="R9" s="3"/>
    </row>
    <row r="10" spans="1:23" ht="13.5" customHeight="1">
      <c r="A10" s="16"/>
      <c r="B10" s="11"/>
      <c r="C10" s="11"/>
      <c r="D10" s="19" t="s">
        <v>22</v>
      </c>
      <c r="E10" s="21"/>
      <c r="F10" s="9">
        <f t="shared" si="5"/>
        <v>0</v>
      </c>
      <c r="G10" s="9">
        <f t="shared" ref="G10:G11" si="9">C10*F10</f>
        <v>0</v>
      </c>
      <c r="H10" s="17">
        <f t="shared" si="0"/>
        <v>0</v>
      </c>
      <c r="I10" s="9">
        <v>0</v>
      </c>
      <c r="J10" s="9">
        <f t="shared" si="7"/>
        <v>0</v>
      </c>
      <c r="K10" s="17">
        <f t="shared" si="2"/>
        <v>0</v>
      </c>
      <c r="L10" s="17">
        <f t="shared" si="3"/>
        <v>0</v>
      </c>
      <c r="M10" s="17">
        <f t="shared" si="4"/>
        <v>0</v>
      </c>
      <c r="N10" s="3"/>
      <c r="O10" s="3"/>
      <c r="P10" s="3"/>
      <c r="Q10" s="3"/>
      <c r="R10" s="3"/>
    </row>
    <row r="11" spans="1:23" ht="13.5" customHeight="1">
      <c r="A11" s="16"/>
      <c r="B11" s="11"/>
      <c r="C11" s="11"/>
      <c r="D11" s="11" t="s">
        <v>22</v>
      </c>
      <c r="E11" s="21"/>
      <c r="F11" s="9">
        <f t="shared" si="5"/>
        <v>0</v>
      </c>
      <c r="G11" s="9">
        <f t="shared" si="9"/>
        <v>0</v>
      </c>
      <c r="H11" s="17">
        <f t="shared" si="0"/>
        <v>0</v>
      </c>
      <c r="I11" s="9">
        <v>0</v>
      </c>
      <c r="J11" s="9">
        <f t="shared" si="7"/>
        <v>0</v>
      </c>
      <c r="K11" s="17">
        <f t="shared" si="2"/>
        <v>0</v>
      </c>
      <c r="L11" s="17">
        <f t="shared" si="3"/>
        <v>0</v>
      </c>
      <c r="M11" s="17">
        <f t="shared" si="4"/>
        <v>0</v>
      </c>
      <c r="N11" s="22" t="s">
        <v>37</v>
      </c>
      <c r="O11" s="3"/>
      <c r="P11" s="3"/>
      <c r="Q11" s="3"/>
      <c r="R11" s="3"/>
    </row>
    <row r="12" spans="1:23" ht="13.5" customHeight="1">
      <c r="A12" s="23" t="s">
        <v>38</v>
      </c>
      <c r="B12" s="3"/>
      <c r="C12" s="3"/>
      <c r="D12" s="3"/>
      <c r="E12" s="3"/>
      <c r="F12" s="3"/>
      <c r="G12" s="24">
        <f>(SUM(G2:G11)*12)-G9</f>
        <v>9545813.0933333337</v>
      </c>
      <c r="H12" s="23"/>
      <c r="I12" s="23"/>
      <c r="J12" s="24">
        <f>SUM(J2:J11)*12</f>
        <v>1011494.3999999998</v>
      </c>
      <c r="K12" s="23"/>
      <c r="L12" s="24">
        <f t="shared" si="3"/>
        <v>10557307.493333334</v>
      </c>
      <c r="M12" s="3"/>
      <c r="N12" s="3"/>
      <c r="O12" s="3"/>
      <c r="P12" s="3"/>
      <c r="Q12" s="3"/>
      <c r="R12" s="3"/>
    </row>
    <row r="13" spans="1:23" ht="13.5" customHeight="1">
      <c r="G13" s="530"/>
      <c r="H13" s="25">
        <f>G12/B19</f>
        <v>378802.10687830689</v>
      </c>
      <c r="I13" s="27"/>
    </row>
    <row r="14" spans="1:23" ht="13.5" customHeight="1">
      <c r="A14" s="27" t="s">
        <v>39</v>
      </c>
      <c r="I14" s="27"/>
      <c r="L14" s="26"/>
    </row>
    <row r="15" spans="1:23" ht="13.5" customHeight="1">
      <c r="A15" s="27" t="s">
        <v>40</v>
      </c>
      <c r="B15" s="27" t="str">
        <f>IF(C11=Businessplan_pravo_stavby!J17,"OK","ERROR")</f>
        <v>ERROR</v>
      </c>
      <c r="I15" s="27"/>
      <c r="L15" s="26"/>
    </row>
    <row r="16" spans="1:23" ht="13.5" customHeight="1">
      <c r="A16" s="27" t="s">
        <v>41</v>
      </c>
      <c r="B16" s="27" t="str">
        <f>IF(L12=Businessplan_pravo_stavby!N17,"OK","ERROR")</f>
        <v>ERROR</v>
      </c>
      <c r="I16" s="27"/>
    </row>
    <row r="17" spans="1:9" ht="13.5" customHeight="1">
      <c r="A17" s="27" t="s">
        <v>42</v>
      </c>
      <c r="B17" s="471"/>
      <c r="I17" s="27"/>
    </row>
    <row r="18" spans="1:9" ht="13.5" customHeight="1">
      <c r="A18" s="27" t="s">
        <v>43</v>
      </c>
      <c r="B18" s="471">
        <v>0.35</v>
      </c>
      <c r="I18" s="27"/>
    </row>
    <row r="19" spans="1:9" ht="13.5" customHeight="1">
      <c r="A19" s="27" t="s">
        <v>44</v>
      </c>
      <c r="B19" s="27">
        <v>25.2</v>
      </c>
      <c r="I19" s="27"/>
    </row>
    <row r="20" spans="1:9" ht="13.5" customHeight="1">
      <c r="I20" s="27"/>
    </row>
    <row r="21" spans="1:9" ht="13.5" customHeight="1">
      <c r="E21" s="27"/>
      <c r="G21" s="28"/>
      <c r="I21" s="27"/>
    </row>
    <row r="22" spans="1:9" ht="13.5" customHeight="1">
      <c r="I22" s="27"/>
    </row>
    <row r="23" spans="1:9" ht="13.5" customHeight="1">
      <c r="I23" s="27"/>
    </row>
    <row r="24" spans="1:9" ht="13.5" customHeight="1">
      <c r="I24" s="27"/>
    </row>
    <row r="25" spans="1:9" ht="13.5" customHeight="1">
      <c r="I25" s="27"/>
    </row>
    <row r="26" spans="1:9" ht="13.5" customHeight="1">
      <c r="I26" s="27"/>
    </row>
    <row r="27" spans="1:9" ht="13.5" customHeight="1">
      <c r="I27" s="27"/>
    </row>
    <row r="28" spans="1:9" ht="13.5" customHeight="1">
      <c r="I28" s="27"/>
    </row>
    <row r="29" spans="1:9" ht="13.5" customHeight="1">
      <c r="I29" s="27"/>
    </row>
    <row r="30" spans="1:9" ht="13.5" customHeight="1">
      <c r="I30" s="27"/>
    </row>
    <row r="31" spans="1:9" ht="13.5" customHeight="1">
      <c r="I31" s="27"/>
    </row>
    <row r="32" spans="1:9" ht="13.5" customHeight="1">
      <c r="I32" s="27"/>
    </row>
    <row r="33" spans="9:9" ht="13.5" customHeight="1">
      <c r="I33" s="27"/>
    </row>
    <row r="34" spans="9:9" ht="13.5" customHeight="1">
      <c r="I34" s="27"/>
    </row>
    <row r="35" spans="9:9" ht="13.5" customHeight="1">
      <c r="I35" s="27"/>
    </row>
    <row r="36" spans="9:9" ht="13.5" customHeight="1">
      <c r="I36" s="27"/>
    </row>
    <row r="37" spans="9:9" ht="13.5" customHeight="1">
      <c r="I37" s="27"/>
    </row>
    <row r="38" spans="9:9" ht="13.5" customHeight="1">
      <c r="I38" s="27"/>
    </row>
    <row r="39" spans="9:9" ht="13.5" customHeight="1">
      <c r="I39" s="27"/>
    </row>
    <row r="40" spans="9:9" ht="13.5" customHeight="1">
      <c r="I40" s="27"/>
    </row>
    <row r="41" spans="9:9" ht="13.5" customHeight="1">
      <c r="I41" s="27"/>
    </row>
    <row r="42" spans="9:9" ht="13.5" customHeight="1">
      <c r="I42" s="27"/>
    </row>
    <row r="43" spans="9:9" ht="13.5" customHeight="1">
      <c r="I43" s="27"/>
    </row>
    <row r="44" spans="9:9" ht="13.5" customHeight="1">
      <c r="I44" s="27"/>
    </row>
    <row r="45" spans="9:9" ht="13.5" customHeight="1">
      <c r="I45" s="27"/>
    </row>
    <row r="46" spans="9:9" ht="13.5" customHeight="1">
      <c r="I46" s="27"/>
    </row>
    <row r="47" spans="9:9" ht="13.5" customHeight="1">
      <c r="I47" s="27"/>
    </row>
    <row r="48" spans="9:9" ht="13.5" customHeight="1">
      <c r="I48" s="27"/>
    </row>
    <row r="49" spans="9:9" ht="13.5" customHeight="1">
      <c r="I49" s="27"/>
    </row>
    <row r="50" spans="9:9" ht="13.5" customHeight="1">
      <c r="I50" s="27"/>
    </row>
    <row r="51" spans="9:9" ht="13.5" customHeight="1">
      <c r="I51" s="27"/>
    </row>
    <row r="52" spans="9:9" ht="13.5" customHeight="1">
      <c r="I52" s="27"/>
    </row>
    <row r="53" spans="9:9" ht="13.5" customHeight="1">
      <c r="I53" s="27"/>
    </row>
    <row r="54" spans="9:9" ht="13.5" customHeight="1">
      <c r="I54" s="27"/>
    </row>
    <row r="55" spans="9:9" ht="13.5" customHeight="1">
      <c r="I55" s="27"/>
    </row>
    <row r="56" spans="9:9" ht="13.5" customHeight="1">
      <c r="I56" s="27"/>
    </row>
    <row r="57" spans="9:9" ht="13.5" customHeight="1">
      <c r="I57" s="27"/>
    </row>
    <row r="58" spans="9:9" ht="13.5" customHeight="1">
      <c r="I58" s="27"/>
    </row>
    <row r="59" spans="9:9" ht="13.5" customHeight="1">
      <c r="I59" s="27"/>
    </row>
    <row r="60" spans="9:9" ht="13.5" customHeight="1">
      <c r="I60" s="27"/>
    </row>
    <row r="61" spans="9:9" ht="13.5" customHeight="1">
      <c r="I61" s="27"/>
    </row>
    <row r="62" spans="9:9" ht="13.5" customHeight="1">
      <c r="I62" s="27"/>
    </row>
    <row r="63" spans="9:9" ht="13.5" customHeight="1">
      <c r="I63" s="27"/>
    </row>
    <row r="64" spans="9:9" ht="13.5" customHeight="1">
      <c r="I64" s="27"/>
    </row>
    <row r="65" spans="9:9" ht="13.5" customHeight="1">
      <c r="I65" s="27"/>
    </row>
    <row r="66" spans="9:9" ht="13.5" customHeight="1">
      <c r="I66" s="27"/>
    </row>
    <row r="67" spans="9:9" ht="13.5" customHeight="1">
      <c r="I67" s="27"/>
    </row>
    <row r="68" spans="9:9" ht="13.5" customHeight="1">
      <c r="I68" s="27"/>
    </row>
    <row r="69" spans="9:9" ht="13.5" customHeight="1">
      <c r="I69" s="27"/>
    </row>
    <row r="70" spans="9:9" ht="13.5" customHeight="1">
      <c r="I70" s="27"/>
    </row>
    <row r="71" spans="9:9" ht="13.5" customHeight="1">
      <c r="I71" s="27"/>
    </row>
    <row r="72" spans="9:9" ht="13.5" customHeight="1">
      <c r="I72" s="27"/>
    </row>
    <row r="73" spans="9:9" ht="13.5" customHeight="1">
      <c r="I73" s="27"/>
    </row>
    <row r="74" spans="9:9" ht="13.5" customHeight="1">
      <c r="I74" s="27"/>
    </row>
    <row r="75" spans="9:9" ht="13.5" customHeight="1">
      <c r="I75" s="27"/>
    </row>
    <row r="76" spans="9:9" ht="13.5" customHeight="1">
      <c r="I76" s="27"/>
    </row>
    <row r="77" spans="9:9" ht="13.5" customHeight="1">
      <c r="I77" s="27"/>
    </row>
    <row r="78" spans="9:9" ht="13.5" customHeight="1">
      <c r="I78" s="27"/>
    </row>
    <row r="79" spans="9:9" ht="13.5" customHeight="1">
      <c r="I79" s="27"/>
    </row>
    <row r="80" spans="9:9" ht="13.5" customHeight="1">
      <c r="I80" s="27"/>
    </row>
    <row r="81" spans="9:9" ht="13.5" customHeight="1">
      <c r="I81" s="27"/>
    </row>
    <row r="82" spans="9:9" ht="13.5" customHeight="1">
      <c r="I82" s="27"/>
    </row>
    <row r="83" spans="9:9" ht="13.5" customHeight="1">
      <c r="I83" s="27"/>
    </row>
    <row r="84" spans="9:9" ht="13.5" customHeight="1">
      <c r="I84" s="27"/>
    </row>
    <row r="85" spans="9:9" ht="13.5" customHeight="1">
      <c r="I85" s="27"/>
    </row>
    <row r="86" spans="9:9" ht="13.5" customHeight="1">
      <c r="I86" s="27"/>
    </row>
    <row r="87" spans="9:9" ht="13.5" customHeight="1">
      <c r="I87" s="27"/>
    </row>
    <row r="88" spans="9:9" ht="13.5" customHeight="1">
      <c r="I88" s="27"/>
    </row>
    <row r="89" spans="9:9" ht="13.5" customHeight="1">
      <c r="I89" s="27"/>
    </row>
    <row r="90" spans="9:9" ht="13.5" customHeight="1">
      <c r="I90" s="27"/>
    </row>
    <row r="91" spans="9:9" ht="13.5" customHeight="1">
      <c r="I91" s="27"/>
    </row>
    <row r="92" spans="9:9" ht="13.5" customHeight="1">
      <c r="I92" s="27"/>
    </row>
    <row r="93" spans="9:9" ht="13.5" customHeight="1">
      <c r="I93" s="27"/>
    </row>
    <row r="94" spans="9:9" ht="13.5" customHeight="1">
      <c r="I94" s="27"/>
    </row>
    <row r="95" spans="9:9" ht="13.5" customHeight="1">
      <c r="I95" s="27"/>
    </row>
    <row r="96" spans="9:9" ht="13.5" customHeight="1">
      <c r="I96" s="27"/>
    </row>
    <row r="97" spans="9:9" ht="13.5" customHeight="1">
      <c r="I97" s="27"/>
    </row>
    <row r="98" spans="9:9" ht="13.5" customHeight="1">
      <c r="I98" s="27"/>
    </row>
    <row r="99" spans="9:9" ht="13.5" customHeight="1">
      <c r="I99" s="27"/>
    </row>
    <row r="100" spans="9:9" ht="13.5" customHeight="1">
      <c r="I100" s="27"/>
    </row>
    <row r="101" spans="9:9" ht="13.5" customHeight="1">
      <c r="I101" s="27"/>
    </row>
    <row r="102" spans="9:9" ht="13.5" customHeight="1">
      <c r="I102" s="27"/>
    </row>
    <row r="103" spans="9:9" ht="13.5" customHeight="1">
      <c r="I103" s="27"/>
    </row>
    <row r="104" spans="9:9" ht="13.5" customHeight="1">
      <c r="I104" s="27"/>
    </row>
    <row r="105" spans="9:9" ht="13.5" customHeight="1">
      <c r="I105" s="27"/>
    </row>
    <row r="106" spans="9:9" ht="13.5" customHeight="1">
      <c r="I106" s="27"/>
    </row>
    <row r="107" spans="9:9" ht="13.5" customHeight="1">
      <c r="I107" s="27"/>
    </row>
    <row r="108" spans="9:9" ht="13.5" customHeight="1">
      <c r="I108" s="27"/>
    </row>
    <row r="109" spans="9:9" ht="13.5" customHeight="1">
      <c r="I109" s="27"/>
    </row>
    <row r="110" spans="9:9" ht="13.5" customHeight="1">
      <c r="I110" s="27"/>
    </row>
    <row r="111" spans="9:9" ht="13.5" customHeight="1">
      <c r="I111" s="27"/>
    </row>
    <row r="112" spans="9:9" ht="13.5" customHeight="1">
      <c r="I112" s="27"/>
    </row>
    <row r="113" spans="9:9" ht="13.5" customHeight="1">
      <c r="I113" s="27"/>
    </row>
    <row r="114" spans="9:9" ht="13.5" customHeight="1">
      <c r="I114" s="27"/>
    </row>
    <row r="115" spans="9:9" ht="13.5" customHeight="1">
      <c r="I115" s="27"/>
    </row>
    <row r="116" spans="9:9" ht="13.5" customHeight="1">
      <c r="I116" s="27"/>
    </row>
    <row r="117" spans="9:9" ht="13.5" customHeight="1">
      <c r="I117" s="27"/>
    </row>
    <row r="118" spans="9:9" ht="13.5" customHeight="1">
      <c r="I118" s="27"/>
    </row>
    <row r="119" spans="9:9" ht="13.5" customHeight="1">
      <c r="I119" s="27"/>
    </row>
    <row r="120" spans="9:9" ht="13.5" customHeight="1">
      <c r="I120" s="27"/>
    </row>
    <row r="121" spans="9:9" ht="13.5" customHeight="1">
      <c r="I121" s="27"/>
    </row>
    <row r="122" spans="9:9" ht="13.5" customHeight="1">
      <c r="I122" s="27"/>
    </row>
    <row r="123" spans="9:9" ht="13.5" customHeight="1">
      <c r="I123" s="27"/>
    </row>
    <row r="124" spans="9:9" ht="13.5" customHeight="1">
      <c r="I124" s="27"/>
    </row>
    <row r="125" spans="9:9" ht="13.5" customHeight="1">
      <c r="I125" s="27"/>
    </row>
    <row r="126" spans="9:9" ht="13.5" customHeight="1">
      <c r="I126" s="27"/>
    </row>
    <row r="127" spans="9:9" ht="13.5" customHeight="1">
      <c r="I127" s="27"/>
    </row>
    <row r="128" spans="9:9" ht="13.5" customHeight="1">
      <c r="I128" s="27"/>
    </row>
    <row r="129" spans="9:9" ht="13.5" customHeight="1">
      <c r="I129" s="27"/>
    </row>
    <row r="130" spans="9:9" ht="13.5" customHeight="1">
      <c r="I130" s="27"/>
    </row>
    <row r="131" spans="9:9" ht="13.5" customHeight="1">
      <c r="I131" s="27"/>
    </row>
    <row r="132" spans="9:9" ht="13.5" customHeight="1">
      <c r="I132" s="27"/>
    </row>
    <row r="133" spans="9:9" ht="13.5" customHeight="1">
      <c r="I133" s="27"/>
    </row>
    <row r="134" spans="9:9" ht="13.5" customHeight="1">
      <c r="I134" s="27"/>
    </row>
    <row r="135" spans="9:9" ht="13.5" customHeight="1">
      <c r="I135" s="27"/>
    </row>
    <row r="136" spans="9:9" ht="13.5" customHeight="1">
      <c r="I136" s="27"/>
    </row>
    <row r="137" spans="9:9" ht="13.5" customHeight="1">
      <c r="I137" s="27"/>
    </row>
    <row r="138" spans="9:9" ht="13.5" customHeight="1">
      <c r="I138" s="27"/>
    </row>
    <row r="139" spans="9:9" ht="13.5" customHeight="1">
      <c r="I139" s="27"/>
    </row>
    <row r="140" spans="9:9" ht="13.5" customHeight="1">
      <c r="I140" s="27"/>
    </row>
    <row r="141" spans="9:9" ht="13.5" customHeight="1">
      <c r="I141" s="27"/>
    </row>
    <row r="142" spans="9:9" ht="13.5" customHeight="1">
      <c r="I142" s="27"/>
    </row>
    <row r="143" spans="9:9" ht="13.5" customHeight="1">
      <c r="I143" s="27"/>
    </row>
    <row r="144" spans="9:9" ht="13.5" customHeight="1">
      <c r="I144" s="27"/>
    </row>
    <row r="145" spans="9:9" ht="13.5" customHeight="1">
      <c r="I145" s="27"/>
    </row>
    <row r="146" spans="9:9" ht="13.5" customHeight="1">
      <c r="I146" s="27"/>
    </row>
    <row r="147" spans="9:9" ht="13.5" customHeight="1">
      <c r="I147" s="27"/>
    </row>
    <row r="148" spans="9:9" ht="13.5" customHeight="1">
      <c r="I148" s="27"/>
    </row>
    <row r="149" spans="9:9" ht="13.5" customHeight="1">
      <c r="I149" s="27"/>
    </row>
    <row r="150" spans="9:9" ht="13.5" customHeight="1">
      <c r="I150" s="27"/>
    </row>
    <row r="151" spans="9:9" ht="13.5" customHeight="1">
      <c r="I151" s="27"/>
    </row>
    <row r="152" spans="9:9" ht="13.5" customHeight="1">
      <c r="I152" s="27"/>
    </row>
    <row r="153" spans="9:9" ht="13.5" customHeight="1">
      <c r="I153" s="27"/>
    </row>
    <row r="154" spans="9:9" ht="13.5" customHeight="1">
      <c r="I154" s="27"/>
    </row>
    <row r="155" spans="9:9" ht="13.5" customHeight="1">
      <c r="I155" s="27"/>
    </row>
    <row r="156" spans="9:9" ht="13.5" customHeight="1">
      <c r="I156" s="27"/>
    </row>
    <row r="157" spans="9:9" ht="13.5" customHeight="1">
      <c r="I157" s="27"/>
    </row>
    <row r="158" spans="9:9" ht="13.5" customHeight="1">
      <c r="I158" s="27"/>
    </row>
    <row r="159" spans="9:9" ht="13.5" customHeight="1">
      <c r="I159" s="27"/>
    </row>
    <row r="160" spans="9:9" ht="13.5" customHeight="1">
      <c r="I160" s="27"/>
    </row>
    <row r="161" spans="9:9" ht="13.5" customHeight="1">
      <c r="I161" s="27"/>
    </row>
    <row r="162" spans="9:9" ht="13.5" customHeight="1">
      <c r="I162" s="27"/>
    </row>
    <row r="163" spans="9:9" ht="13.5" customHeight="1">
      <c r="I163" s="27"/>
    </row>
    <row r="164" spans="9:9" ht="13.5" customHeight="1">
      <c r="I164" s="27"/>
    </row>
    <row r="165" spans="9:9" ht="13.5" customHeight="1">
      <c r="I165" s="27"/>
    </row>
    <row r="166" spans="9:9" ht="13.5" customHeight="1">
      <c r="I166" s="27"/>
    </row>
    <row r="167" spans="9:9" ht="13.5" customHeight="1">
      <c r="I167" s="27"/>
    </row>
    <row r="168" spans="9:9" ht="13.5" customHeight="1">
      <c r="I168" s="27"/>
    </row>
    <row r="169" spans="9:9" ht="13.5" customHeight="1">
      <c r="I169" s="27"/>
    </row>
    <row r="170" spans="9:9" ht="13.5" customHeight="1">
      <c r="I170" s="27"/>
    </row>
    <row r="171" spans="9:9" ht="13.5" customHeight="1">
      <c r="I171" s="27"/>
    </row>
    <row r="172" spans="9:9" ht="13.5" customHeight="1">
      <c r="I172" s="27"/>
    </row>
    <row r="173" spans="9:9" ht="13.5" customHeight="1">
      <c r="I173" s="27"/>
    </row>
    <row r="174" spans="9:9" ht="13.5" customHeight="1">
      <c r="I174" s="27"/>
    </row>
    <row r="175" spans="9:9" ht="13.5" customHeight="1">
      <c r="I175" s="27"/>
    </row>
    <row r="176" spans="9:9" ht="13.5" customHeight="1">
      <c r="I176" s="27"/>
    </row>
    <row r="177" spans="9:9" ht="13.5" customHeight="1">
      <c r="I177" s="27"/>
    </row>
    <row r="178" spans="9:9" ht="13.5" customHeight="1">
      <c r="I178" s="27"/>
    </row>
    <row r="179" spans="9:9" ht="13.5" customHeight="1">
      <c r="I179" s="27"/>
    </row>
    <row r="180" spans="9:9" ht="13.5" customHeight="1">
      <c r="I180" s="27"/>
    </row>
    <row r="181" spans="9:9" ht="13.5" customHeight="1">
      <c r="I181" s="27"/>
    </row>
    <row r="182" spans="9:9" ht="13.5" customHeight="1">
      <c r="I182" s="27"/>
    </row>
    <row r="183" spans="9:9" ht="13.5" customHeight="1">
      <c r="I183" s="27"/>
    </row>
    <row r="184" spans="9:9" ht="13.5" customHeight="1">
      <c r="I184" s="27"/>
    </row>
    <row r="185" spans="9:9" ht="13.5" customHeight="1">
      <c r="I185" s="27"/>
    </row>
    <row r="186" spans="9:9" ht="13.5" customHeight="1">
      <c r="I186" s="27"/>
    </row>
    <row r="187" spans="9:9" ht="13.5" customHeight="1">
      <c r="I187" s="27"/>
    </row>
    <row r="188" spans="9:9" ht="13.5" customHeight="1">
      <c r="I188" s="27"/>
    </row>
    <row r="189" spans="9:9" ht="13.5" customHeight="1">
      <c r="I189" s="27"/>
    </row>
    <row r="190" spans="9:9" ht="13.5" customHeight="1">
      <c r="I190" s="27"/>
    </row>
    <row r="191" spans="9:9" ht="13.5" customHeight="1">
      <c r="I191" s="27"/>
    </row>
    <row r="192" spans="9:9" ht="13.5" customHeight="1">
      <c r="I192" s="27"/>
    </row>
    <row r="193" spans="9:9" ht="13.5" customHeight="1">
      <c r="I193" s="27"/>
    </row>
    <row r="194" spans="9:9" ht="13.5" customHeight="1">
      <c r="I194" s="27"/>
    </row>
    <row r="195" spans="9:9" ht="13.5" customHeight="1">
      <c r="I195" s="27"/>
    </row>
    <row r="196" spans="9:9" ht="13.5" customHeight="1">
      <c r="I196" s="27"/>
    </row>
    <row r="197" spans="9:9" ht="13.5" customHeight="1">
      <c r="I197" s="27"/>
    </row>
    <row r="198" spans="9:9" ht="13.5" customHeight="1">
      <c r="I198" s="27"/>
    </row>
    <row r="199" spans="9:9" ht="13.5" customHeight="1">
      <c r="I199" s="27"/>
    </row>
    <row r="200" spans="9:9" ht="13.5" customHeight="1">
      <c r="I200" s="27"/>
    </row>
    <row r="201" spans="9:9" ht="13.5" customHeight="1">
      <c r="I201" s="27"/>
    </row>
    <row r="202" spans="9:9" ht="13.5" customHeight="1">
      <c r="I202" s="27"/>
    </row>
    <row r="203" spans="9:9" ht="13.5" customHeight="1">
      <c r="I203" s="27"/>
    </row>
    <row r="204" spans="9:9" ht="13.5" customHeight="1">
      <c r="I204" s="27"/>
    </row>
    <row r="205" spans="9:9" ht="13.5" customHeight="1">
      <c r="I205" s="27"/>
    </row>
    <row r="206" spans="9:9" ht="13.5" customHeight="1">
      <c r="I206" s="27"/>
    </row>
    <row r="207" spans="9:9" ht="13.5" customHeight="1">
      <c r="I207" s="27"/>
    </row>
    <row r="208" spans="9:9" ht="13.5" customHeight="1">
      <c r="I208" s="27"/>
    </row>
    <row r="209" spans="9:9" ht="13.5" customHeight="1">
      <c r="I209" s="27"/>
    </row>
    <row r="210" spans="9:9" ht="13.5" customHeight="1">
      <c r="I210" s="27"/>
    </row>
    <row r="211" spans="9:9" ht="13.5" customHeight="1">
      <c r="I211" s="27"/>
    </row>
    <row r="212" spans="9:9" ht="13.5" customHeight="1">
      <c r="I212" s="27"/>
    </row>
    <row r="213" spans="9:9" ht="13.5" customHeight="1">
      <c r="I213" s="27"/>
    </row>
    <row r="214" spans="9:9" ht="13.5" customHeight="1">
      <c r="I214" s="27"/>
    </row>
    <row r="215" spans="9:9" ht="13.5" customHeight="1">
      <c r="I215" s="27"/>
    </row>
    <row r="216" spans="9:9" ht="13.5" customHeight="1">
      <c r="I216" s="27"/>
    </row>
    <row r="217" spans="9:9" ht="13.5" customHeight="1">
      <c r="I217" s="27"/>
    </row>
    <row r="218" spans="9:9" ht="13.5" customHeight="1">
      <c r="I218" s="27"/>
    </row>
    <row r="219" spans="9:9" ht="13.5" customHeight="1">
      <c r="I219" s="27"/>
    </row>
    <row r="220" spans="9:9" ht="13.5" customHeight="1">
      <c r="I220" s="27"/>
    </row>
    <row r="221" spans="9:9" ht="13.5" customHeight="1">
      <c r="I221" s="27"/>
    </row>
    <row r="222" spans="9:9" ht="13.5" customHeight="1">
      <c r="I222" s="27"/>
    </row>
    <row r="223" spans="9:9" ht="13.5" customHeight="1">
      <c r="I223" s="27"/>
    </row>
    <row r="224" spans="9:9" ht="13.5" customHeight="1">
      <c r="I224" s="27"/>
    </row>
    <row r="225" spans="9:9" ht="13.5" customHeight="1">
      <c r="I225" s="27"/>
    </row>
    <row r="226" spans="9:9" ht="13.5" customHeight="1">
      <c r="I226" s="27"/>
    </row>
    <row r="227" spans="9:9" ht="13.5" customHeight="1">
      <c r="I227" s="27"/>
    </row>
    <row r="228" spans="9:9" ht="13.5" customHeight="1">
      <c r="I228" s="27"/>
    </row>
    <row r="229" spans="9:9" ht="13.5" customHeight="1">
      <c r="I229" s="27"/>
    </row>
    <row r="230" spans="9:9" ht="13.5" customHeight="1">
      <c r="I230" s="27"/>
    </row>
    <row r="231" spans="9:9" ht="13.5" customHeight="1">
      <c r="I231" s="27"/>
    </row>
    <row r="232" spans="9:9" ht="13.5" customHeight="1">
      <c r="I232" s="27"/>
    </row>
    <row r="233" spans="9:9" ht="13.5" customHeight="1">
      <c r="I233" s="27"/>
    </row>
    <row r="234" spans="9:9" ht="13.5" customHeight="1">
      <c r="I234" s="27"/>
    </row>
    <row r="235" spans="9:9" ht="13.5" customHeight="1">
      <c r="I235" s="27"/>
    </row>
    <row r="236" spans="9:9" ht="13.5" customHeight="1">
      <c r="I236" s="27"/>
    </row>
    <row r="237" spans="9:9" ht="13.5" customHeight="1">
      <c r="I237" s="27"/>
    </row>
    <row r="238" spans="9:9" ht="13.5" customHeight="1">
      <c r="I238" s="27"/>
    </row>
    <row r="239" spans="9:9" ht="13.5" customHeight="1">
      <c r="I239" s="27"/>
    </row>
    <row r="240" spans="9:9" ht="13.5" customHeight="1">
      <c r="I240" s="27"/>
    </row>
    <row r="241" spans="9:9" ht="13.5" customHeight="1">
      <c r="I241" s="27"/>
    </row>
    <row r="242" spans="9:9" ht="13.5" customHeight="1">
      <c r="I242" s="27"/>
    </row>
    <row r="243" spans="9:9" ht="13.5" customHeight="1">
      <c r="I243" s="27"/>
    </row>
    <row r="244" spans="9:9" ht="13.5" customHeight="1">
      <c r="I244" s="27"/>
    </row>
    <row r="245" spans="9:9" ht="13.5" customHeight="1">
      <c r="I245" s="27"/>
    </row>
    <row r="246" spans="9:9" ht="13.5" customHeight="1">
      <c r="I246" s="27"/>
    </row>
    <row r="247" spans="9:9" ht="13.5" customHeight="1">
      <c r="I247" s="27"/>
    </row>
    <row r="248" spans="9:9" ht="13.5" customHeight="1">
      <c r="I248" s="27"/>
    </row>
    <row r="249" spans="9:9" ht="13.5" customHeight="1">
      <c r="I249" s="27"/>
    </row>
    <row r="250" spans="9:9" ht="13.5" customHeight="1">
      <c r="I250" s="27"/>
    </row>
    <row r="251" spans="9:9" ht="13.5" customHeight="1">
      <c r="I251" s="27"/>
    </row>
    <row r="252" spans="9:9" ht="13.5" customHeight="1">
      <c r="I252" s="27"/>
    </row>
    <row r="253" spans="9:9" ht="13.5" customHeight="1">
      <c r="I253" s="27"/>
    </row>
    <row r="254" spans="9:9" ht="13.5" customHeight="1">
      <c r="I254" s="27"/>
    </row>
    <row r="255" spans="9:9" ht="13.5" customHeight="1">
      <c r="I255" s="27"/>
    </row>
    <row r="256" spans="9:9" ht="13.5" customHeight="1">
      <c r="I256" s="27"/>
    </row>
    <row r="257" spans="9:9" ht="13.5" customHeight="1">
      <c r="I257" s="27"/>
    </row>
    <row r="258" spans="9:9" ht="13.5" customHeight="1">
      <c r="I258" s="27"/>
    </row>
    <row r="259" spans="9:9" ht="13.5" customHeight="1">
      <c r="I259" s="27"/>
    </row>
    <row r="260" spans="9:9" ht="13.5" customHeight="1">
      <c r="I260" s="27"/>
    </row>
    <row r="261" spans="9:9" ht="13.5" customHeight="1">
      <c r="I261" s="27"/>
    </row>
    <row r="262" spans="9:9" ht="13.5" customHeight="1">
      <c r="I262" s="27"/>
    </row>
    <row r="263" spans="9:9" ht="13.5" customHeight="1">
      <c r="I263" s="27"/>
    </row>
    <row r="264" spans="9:9" ht="13.5" customHeight="1">
      <c r="I264" s="27"/>
    </row>
    <row r="265" spans="9:9" ht="13.5" customHeight="1">
      <c r="I265" s="27"/>
    </row>
    <row r="266" spans="9:9" ht="13.5" customHeight="1">
      <c r="I266" s="27"/>
    </row>
    <row r="267" spans="9:9" ht="13.5" customHeight="1">
      <c r="I267" s="27"/>
    </row>
    <row r="268" spans="9:9" ht="13.5" customHeight="1">
      <c r="I268" s="27"/>
    </row>
    <row r="269" spans="9:9" ht="13.5" customHeight="1">
      <c r="I269" s="27"/>
    </row>
    <row r="270" spans="9:9" ht="13.5" customHeight="1">
      <c r="I270" s="27"/>
    </row>
    <row r="271" spans="9:9" ht="13.5" customHeight="1">
      <c r="I271" s="27"/>
    </row>
    <row r="272" spans="9:9" ht="13.5" customHeight="1">
      <c r="I272" s="27"/>
    </row>
    <row r="273" spans="9:9" ht="13.5" customHeight="1">
      <c r="I273" s="27"/>
    </row>
    <row r="274" spans="9:9" ht="13.5" customHeight="1">
      <c r="I274" s="27"/>
    </row>
    <row r="275" spans="9:9" ht="13.5" customHeight="1">
      <c r="I275" s="27"/>
    </row>
    <row r="276" spans="9:9" ht="13.5" customHeight="1">
      <c r="I276" s="27"/>
    </row>
    <row r="277" spans="9:9" ht="13.5" customHeight="1">
      <c r="I277" s="27"/>
    </row>
    <row r="278" spans="9:9" ht="13.5" customHeight="1">
      <c r="I278" s="27"/>
    </row>
    <row r="279" spans="9:9" ht="13.5" customHeight="1">
      <c r="I279" s="27"/>
    </row>
    <row r="280" spans="9:9" ht="13.5" customHeight="1">
      <c r="I280" s="27"/>
    </row>
    <row r="281" spans="9:9" ht="13.5" customHeight="1">
      <c r="I281" s="27"/>
    </row>
    <row r="282" spans="9:9" ht="13.5" customHeight="1">
      <c r="I282" s="27"/>
    </row>
    <row r="283" spans="9:9" ht="13.5" customHeight="1">
      <c r="I283" s="27"/>
    </row>
    <row r="284" spans="9:9" ht="13.5" customHeight="1">
      <c r="I284" s="27"/>
    </row>
    <row r="285" spans="9:9" ht="13.5" customHeight="1">
      <c r="I285" s="27"/>
    </row>
    <row r="286" spans="9:9" ht="13.5" customHeight="1">
      <c r="I286" s="27"/>
    </row>
    <row r="287" spans="9:9" ht="13.5" customHeight="1">
      <c r="I287" s="27"/>
    </row>
    <row r="288" spans="9:9" ht="13.5" customHeight="1">
      <c r="I288" s="27"/>
    </row>
    <row r="289" spans="9:9" ht="13.5" customHeight="1">
      <c r="I289" s="27"/>
    </row>
    <row r="290" spans="9:9" ht="13.5" customHeight="1">
      <c r="I290" s="27"/>
    </row>
    <row r="291" spans="9:9" ht="13.5" customHeight="1">
      <c r="I291" s="27"/>
    </row>
    <row r="292" spans="9:9" ht="13.5" customHeight="1">
      <c r="I292" s="27"/>
    </row>
    <row r="293" spans="9:9" ht="13.5" customHeight="1">
      <c r="I293" s="27"/>
    </row>
    <row r="294" spans="9:9" ht="13.5" customHeight="1">
      <c r="I294" s="27"/>
    </row>
    <row r="295" spans="9:9" ht="13.5" customHeight="1">
      <c r="I295" s="27"/>
    </row>
    <row r="296" spans="9:9" ht="13.5" customHeight="1">
      <c r="I296" s="27"/>
    </row>
    <row r="297" spans="9:9" ht="13.5" customHeight="1">
      <c r="I297" s="27"/>
    </row>
    <row r="298" spans="9:9" ht="13.5" customHeight="1">
      <c r="I298" s="27"/>
    </row>
    <row r="299" spans="9:9" ht="13.5" customHeight="1">
      <c r="I299" s="27"/>
    </row>
    <row r="300" spans="9:9" ht="13.5" customHeight="1">
      <c r="I300" s="27"/>
    </row>
    <row r="301" spans="9:9" ht="13.5" customHeight="1">
      <c r="I301" s="27"/>
    </row>
    <row r="302" spans="9:9" ht="13.5" customHeight="1">
      <c r="I302" s="27"/>
    </row>
    <row r="303" spans="9:9" ht="13.5" customHeight="1">
      <c r="I303" s="27"/>
    </row>
    <row r="304" spans="9:9" ht="13.5" customHeight="1">
      <c r="I304" s="27"/>
    </row>
    <row r="305" spans="9:9" ht="13.5" customHeight="1">
      <c r="I305" s="27"/>
    </row>
    <row r="306" spans="9:9" ht="13.5" customHeight="1">
      <c r="I306" s="27"/>
    </row>
    <row r="307" spans="9:9" ht="13.5" customHeight="1">
      <c r="I307" s="27"/>
    </row>
    <row r="308" spans="9:9" ht="13.5" customHeight="1">
      <c r="I308" s="27"/>
    </row>
    <row r="309" spans="9:9" ht="13.5" customHeight="1">
      <c r="I309" s="27"/>
    </row>
    <row r="310" spans="9:9" ht="13.5" customHeight="1">
      <c r="I310" s="27"/>
    </row>
    <row r="311" spans="9:9" ht="13.5" customHeight="1">
      <c r="I311" s="27"/>
    </row>
    <row r="312" spans="9:9" ht="13.5" customHeight="1">
      <c r="I312" s="27"/>
    </row>
    <row r="313" spans="9:9" ht="13.5" customHeight="1">
      <c r="I313" s="27"/>
    </row>
    <row r="314" spans="9:9" ht="13.5" customHeight="1">
      <c r="I314" s="27"/>
    </row>
    <row r="315" spans="9:9" ht="13.5" customHeight="1">
      <c r="I315" s="27"/>
    </row>
    <row r="316" spans="9:9" ht="13.5" customHeight="1">
      <c r="I316" s="27"/>
    </row>
    <row r="317" spans="9:9" ht="13.5" customHeight="1">
      <c r="I317" s="27"/>
    </row>
    <row r="318" spans="9:9" ht="13.5" customHeight="1">
      <c r="I318" s="27"/>
    </row>
    <row r="319" spans="9:9" ht="13.5" customHeight="1">
      <c r="I319" s="27"/>
    </row>
    <row r="320" spans="9:9" ht="13.5" customHeight="1">
      <c r="I320" s="27"/>
    </row>
    <row r="321" spans="9:9" ht="13.5" customHeight="1">
      <c r="I321" s="27"/>
    </row>
    <row r="322" spans="9:9" ht="13.5" customHeight="1">
      <c r="I322" s="27"/>
    </row>
    <row r="323" spans="9:9" ht="13.5" customHeight="1">
      <c r="I323" s="27"/>
    </row>
    <row r="324" spans="9:9" ht="13.5" customHeight="1">
      <c r="I324" s="27"/>
    </row>
    <row r="325" spans="9:9" ht="13.5" customHeight="1">
      <c r="I325" s="27"/>
    </row>
    <row r="326" spans="9:9" ht="13.5" customHeight="1">
      <c r="I326" s="27"/>
    </row>
    <row r="327" spans="9:9" ht="13.5" customHeight="1">
      <c r="I327" s="27"/>
    </row>
    <row r="328" spans="9:9" ht="13.5" customHeight="1">
      <c r="I328" s="27"/>
    </row>
    <row r="329" spans="9:9" ht="13.5" customHeight="1">
      <c r="I329" s="27"/>
    </row>
    <row r="330" spans="9:9" ht="13.5" customHeight="1">
      <c r="I330" s="27"/>
    </row>
    <row r="331" spans="9:9" ht="13.5" customHeight="1">
      <c r="I331" s="27"/>
    </row>
    <row r="332" spans="9:9" ht="13.5" customHeight="1">
      <c r="I332" s="27"/>
    </row>
    <row r="333" spans="9:9" ht="13.5" customHeight="1">
      <c r="I333" s="27"/>
    </row>
    <row r="334" spans="9:9" ht="13.5" customHeight="1">
      <c r="I334" s="27"/>
    </row>
    <row r="335" spans="9:9" ht="13.5" customHeight="1">
      <c r="I335" s="27"/>
    </row>
    <row r="336" spans="9:9" ht="13.5" customHeight="1">
      <c r="I336" s="27"/>
    </row>
    <row r="337" spans="9:9" ht="13.5" customHeight="1">
      <c r="I337" s="27"/>
    </row>
    <row r="338" spans="9:9" ht="13.5" customHeight="1">
      <c r="I338" s="27"/>
    </row>
    <row r="339" spans="9:9" ht="13.5" customHeight="1">
      <c r="I339" s="27"/>
    </row>
    <row r="340" spans="9:9" ht="13.5" customHeight="1">
      <c r="I340" s="27"/>
    </row>
    <row r="341" spans="9:9" ht="13.5" customHeight="1">
      <c r="I341" s="27"/>
    </row>
    <row r="342" spans="9:9" ht="13.5" customHeight="1">
      <c r="I342" s="27"/>
    </row>
    <row r="343" spans="9:9" ht="13.5" customHeight="1">
      <c r="I343" s="27"/>
    </row>
    <row r="344" spans="9:9" ht="13.5" customHeight="1">
      <c r="I344" s="27"/>
    </row>
    <row r="345" spans="9:9" ht="13.5" customHeight="1">
      <c r="I345" s="27"/>
    </row>
    <row r="346" spans="9:9" ht="13.5" customHeight="1">
      <c r="I346" s="27"/>
    </row>
    <row r="347" spans="9:9" ht="13.5" customHeight="1">
      <c r="I347" s="27"/>
    </row>
    <row r="348" spans="9:9" ht="13.5" customHeight="1">
      <c r="I348" s="27"/>
    </row>
    <row r="349" spans="9:9" ht="13.5" customHeight="1">
      <c r="I349" s="27"/>
    </row>
    <row r="350" spans="9:9" ht="13.5" customHeight="1">
      <c r="I350" s="27"/>
    </row>
    <row r="351" spans="9:9" ht="13.5" customHeight="1">
      <c r="I351" s="27"/>
    </row>
    <row r="352" spans="9:9" ht="13.5" customHeight="1">
      <c r="I352" s="27"/>
    </row>
    <row r="353" spans="9:9" ht="13.5" customHeight="1">
      <c r="I353" s="27"/>
    </row>
    <row r="354" spans="9:9" ht="13.5" customHeight="1">
      <c r="I354" s="27"/>
    </row>
    <row r="355" spans="9:9" ht="13.5" customHeight="1">
      <c r="I355" s="27"/>
    </row>
    <row r="356" spans="9:9" ht="13.5" customHeight="1">
      <c r="I356" s="27"/>
    </row>
    <row r="357" spans="9:9" ht="13.5" customHeight="1">
      <c r="I357" s="27"/>
    </row>
    <row r="358" spans="9:9" ht="13.5" customHeight="1">
      <c r="I358" s="27"/>
    </row>
    <row r="359" spans="9:9" ht="13.5" customHeight="1">
      <c r="I359" s="27"/>
    </row>
    <row r="360" spans="9:9" ht="13.5" customHeight="1">
      <c r="I360" s="27"/>
    </row>
    <row r="361" spans="9:9" ht="13.5" customHeight="1">
      <c r="I361" s="27"/>
    </row>
    <row r="362" spans="9:9" ht="13.5" customHeight="1">
      <c r="I362" s="27"/>
    </row>
    <row r="363" spans="9:9" ht="13.5" customHeight="1">
      <c r="I363" s="27"/>
    </row>
    <row r="364" spans="9:9" ht="13.5" customHeight="1">
      <c r="I364" s="27"/>
    </row>
    <row r="365" spans="9:9" ht="13.5" customHeight="1">
      <c r="I365" s="27"/>
    </row>
    <row r="366" spans="9:9" ht="13.5" customHeight="1">
      <c r="I366" s="27"/>
    </row>
    <row r="367" spans="9:9" ht="13.5" customHeight="1">
      <c r="I367" s="27"/>
    </row>
    <row r="368" spans="9:9" ht="13.5" customHeight="1">
      <c r="I368" s="27"/>
    </row>
    <row r="369" spans="9:9" ht="13.5" customHeight="1">
      <c r="I369" s="27"/>
    </row>
    <row r="370" spans="9:9" ht="13.5" customHeight="1">
      <c r="I370" s="27"/>
    </row>
    <row r="371" spans="9:9" ht="13.5" customHeight="1">
      <c r="I371" s="27"/>
    </row>
    <row r="372" spans="9:9" ht="13.5" customHeight="1">
      <c r="I372" s="27"/>
    </row>
    <row r="373" spans="9:9" ht="13.5" customHeight="1">
      <c r="I373" s="27"/>
    </row>
    <row r="374" spans="9:9" ht="13.5" customHeight="1">
      <c r="I374" s="27"/>
    </row>
    <row r="375" spans="9:9" ht="13.5" customHeight="1">
      <c r="I375" s="27"/>
    </row>
    <row r="376" spans="9:9" ht="13.5" customHeight="1">
      <c r="I376" s="27"/>
    </row>
    <row r="377" spans="9:9" ht="13.5" customHeight="1">
      <c r="I377" s="27"/>
    </row>
    <row r="378" spans="9:9" ht="13.5" customHeight="1">
      <c r="I378" s="27"/>
    </row>
    <row r="379" spans="9:9" ht="13.5" customHeight="1">
      <c r="I379" s="27"/>
    </row>
    <row r="380" spans="9:9" ht="13.5" customHeight="1">
      <c r="I380" s="27"/>
    </row>
    <row r="381" spans="9:9" ht="13.5" customHeight="1">
      <c r="I381" s="27"/>
    </row>
    <row r="382" spans="9:9" ht="13.5" customHeight="1">
      <c r="I382" s="27"/>
    </row>
    <row r="383" spans="9:9" ht="13.5" customHeight="1">
      <c r="I383" s="27"/>
    </row>
    <row r="384" spans="9:9" ht="13.5" customHeight="1">
      <c r="I384" s="27"/>
    </row>
    <row r="385" spans="9:9" ht="13.5" customHeight="1">
      <c r="I385" s="27"/>
    </row>
    <row r="386" spans="9:9" ht="13.5" customHeight="1">
      <c r="I386" s="27"/>
    </row>
    <row r="387" spans="9:9" ht="13.5" customHeight="1">
      <c r="I387" s="27"/>
    </row>
    <row r="388" spans="9:9" ht="13.5" customHeight="1">
      <c r="I388" s="27"/>
    </row>
    <row r="389" spans="9:9" ht="13.5" customHeight="1">
      <c r="I389" s="27"/>
    </row>
    <row r="390" spans="9:9" ht="13.5" customHeight="1">
      <c r="I390" s="27"/>
    </row>
    <row r="391" spans="9:9" ht="13.5" customHeight="1">
      <c r="I391" s="27"/>
    </row>
    <row r="392" spans="9:9" ht="13.5" customHeight="1">
      <c r="I392" s="27"/>
    </row>
    <row r="393" spans="9:9" ht="13.5" customHeight="1">
      <c r="I393" s="27"/>
    </row>
    <row r="394" spans="9:9" ht="13.5" customHeight="1">
      <c r="I394" s="27"/>
    </row>
    <row r="395" spans="9:9" ht="13.5" customHeight="1">
      <c r="I395" s="27"/>
    </row>
    <row r="396" spans="9:9" ht="13.5" customHeight="1">
      <c r="I396" s="27"/>
    </row>
    <row r="397" spans="9:9" ht="13.5" customHeight="1">
      <c r="I397" s="27"/>
    </row>
    <row r="398" spans="9:9" ht="13.5" customHeight="1">
      <c r="I398" s="27"/>
    </row>
    <row r="399" spans="9:9" ht="13.5" customHeight="1">
      <c r="I399" s="27"/>
    </row>
    <row r="400" spans="9:9" ht="13.5" customHeight="1">
      <c r="I400" s="27"/>
    </row>
    <row r="401" spans="9:9" ht="13.5" customHeight="1">
      <c r="I401" s="27"/>
    </row>
    <row r="402" spans="9:9" ht="13.5" customHeight="1">
      <c r="I402" s="27"/>
    </row>
    <row r="403" spans="9:9" ht="13.5" customHeight="1">
      <c r="I403" s="27"/>
    </row>
    <row r="404" spans="9:9" ht="13.5" customHeight="1">
      <c r="I404" s="27"/>
    </row>
    <row r="405" spans="9:9" ht="13.5" customHeight="1">
      <c r="I405" s="27"/>
    </row>
    <row r="406" spans="9:9" ht="13.5" customHeight="1">
      <c r="I406" s="27"/>
    </row>
    <row r="407" spans="9:9" ht="13.5" customHeight="1">
      <c r="I407" s="27"/>
    </row>
    <row r="408" spans="9:9" ht="13.5" customHeight="1">
      <c r="I408" s="27"/>
    </row>
    <row r="409" spans="9:9" ht="13.5" customHeight="1">
      <c r="I409" s="27"/>
    </row>
    <row r="410" spans="9:9" ht="13.5" customHeight="1">
      <c r="I410" s="27"/>
    </row>
    <row r="411" spans="9:9" ht="13.5" customHeight="1">
      <c r="I411" s="27"/>
    </row>
    <row r="412" spans="9:9" ht="13.5" customHeight="1">
      <c r="I412" s="27"/>
    </row>
    <row r="413" spans="9:9" ht="13.5" customHeight="1">
      <c r="I413" s="27"/>
    </row>
    <row r="414" spans="9:9" ht="13.5" customHeight="1">
      <c r="I414" s="27"/>
    </row>
    <row r="415" spans="9:9" ht="13.5" customHeight="1">
      <c r="I415" s="27"/>
    </row>
    <row r="416" spans="9:9" ht="13.5" customHeight="1">
      <c r="I416" s="27"/>
    </row>
    <row r="417" spans="9:9" ht="13.5" customHeight="1">
      <c r="I417" s="27"/>
    </row>
    <row r="418" spans="9:9" ht="13.5" customHeight="1">
      <c r="I418" s="27"/>
    </row>
    <row r="419" spans="9:9" ht="13.5" customHeight="1">
      <c r="I419" s="27"/>
    </row>
    <row r="420" spans="9:9" ht="13.5" customHeight="1">
      <c r="I420" s="27"/>
    </row>
    <row r="421" spans="9:9" ht="13.5" customHeight="1">
      <c r="I421" s="27"/>
    </row>
    <row r="422" spans="9:9" ht="13.5" customHeight="1">
      <c r="I422" s="27"/>
    </row>
    <row r="423" spans="9:9" ht="13.5" customHeight="1">
      <c r="I423" s="27"/>
    </row>
    <row r="424" spans="9:9" ht="13.5" customHeight="1">
      <c r="I424" s="27"/>
    </row>
    <row r="425" spans="9:9" ht="13.5" customHeight="1">
      <c r="I425" s="27"/>
    </row>
    <row r="426" spans="9:9" ht="13.5" customHeight="1">
      <c r="I426" s="27"/>
    </row>
    <row r="427" spans="9:9" ht="13.5" customHeight="1">
      <c r="I427" s="27"/>
    </row>
    <row r="428" spans="9:9" ht="13.5" customHeight="1">
      <c r="I428" s="27"/>
    </row>
    <row r="429" spans="9:9" ht="13.5" customHeight="1">
      <c r="I429" s="27"/>
    </row>
    <row r="430" spans="9:9" ht="13.5" customHeight="1">
      <c r="I430" s="27"/>
    </row>
    <row r="431" spans="9:9" ht="13.5" customHeight="1">
      <c r="I431" s="27"/>
    </row>
    <row r="432" spans="9:9" ht="13.5" customHeight="1">
      <c r="I432" s="27"/>
    </row>
    <row r="433" spans="9:9" ht="13.5" customHeight="1">
      <c r="I433" s="27"/>
    </row>
    <row r="434" spans="9:9" ht="13.5" customHeight="1">
      <c r="I434" s="27"/>
    </row>
    <row r="435" spans="9:9" ht="13.5" customHeight="1">
      <c r="I435" s="27"/>
    </row>
    <row r="436" spans="9:9" ht="13.5" customHeight="1">
      <c r="I436" s="27"/>
    </row>
    <row r="437" spans="9:9" ht="13.5" customHeight="1">
      <c r="I437" s="27"/>
    </row>
    <row r="438" spans="9:9" ht="13.5" customHeight="1">
      <c r="I438" s="27"/>
    </row>
    <row r="439" spans="9:9" ht="13.5" customHeight="1">
      <c r="I439" s="27"/>
    </row>
    <row r="440" spans="9:9" ht="13.5" customHeight="1">
      <c r="I440" s="27"/>
    </row>
    <row r="441" spans="9:9" ht="13.5" customHeight="1">
      <c r="I441" s="27"/>
    </row>
    <row r="442" spans="9:9" ht="13.5" customHeight="1">
      <c r="I442" s="27"/>
    </row>
    <row r="443" spans="9:9" ht="13.5" customHeight="1">
      <c r="I443" s="27"/>
    </row>
    <row r="444" spans="9:9" ht="13.5" customHeight="1">
      <c r="I444" s="27"/>
    </row>
    <row r="445" spans="9:9" ht="13.5" customHeight="1">
      <c r="I445" s="27"/>
    </row>
    <row r="446" spans="9:9" ht="13.5" customHeight="1">
      <c r="I446" s="27"/>
    </row>
    <row r="447" spans="9:9" ht="13.5" customHeight="1">
      <c r="I447" s="27"/>
    </row>
    <row r="448" spans="9:9" ht="13.5" customHeight="1">
      <c r="I448" s="27"/>
    </row>
    <row r="449" spans="9:9" ht="13.5" customHeight="1">
      <c r="I449" s="27"/>
    </row>
    <row r="450" spans="9:9" ht="13.5" customHeight="1">
      <c r="I450" s="27"/>
    </row>
    <row r="451" spans="9:9" ht="13.5" customHeight="1">
      <c r="I451" s="27"/>
    </row>
    <row r="452" spans="9:9" ht="13.5" customHeight="1">
      <c r="I452" s="27"/>
    </row>
    <row r="453" spans="9:9" ht="13.5" customHeight="1">
      <c r="I453" s="27"/>
    </row>
    <row r="454" spans="9:9" ht="13.5" customHeight="1">
      <c r="I454" s="27"/>
    </row>
    <row r="455" spans="9:9" ht="13.5" customHeight="1">
      <c r="I455" s="27"/>
    </row>
    <row r="456" spans="9:9" ht="13.5" customHeight="1">
      <c r="I456" s="27"/>
    </row>
    <row r="457" spans="9:9" ht="13.5" customHeight="1">
      <c r="I457" s="27"/>
    </row>
    <row r="458" spans="9:9" ht="13.5" customHeight="1">
      <c r="I458" s="27"/>
    </row>
    <row r="459" spans="9:9" ht="13.5" customHeight="1">
      <c r="I459" s="27"/>
    </row>
    <row r="460" spans="9:9" ht="13.5" customHeight="1">
      <c r="I460" s="27"/>
    </row>
    <row r="461" spans="9:9" ht="13.5" customHeight="1">
      <c r="I461" s="27"/>
    </row>
    <row r="462" spans="9:9" ht="13.5" customHeight="1">
      <c r="I462" s="27"/>
    </row>
    <row r="463" spans="9:9" ht="13.5" customHeight="1">
      <c r="I463" s="27"/>
    </row>
    <row r="464" spans="9:9" ht="13.5" customHeight="1">
      <c r="I464" s="27"/>
    </row>
    <row r="465" spans="9:9" ht="13.5" customHeight="1">
      <c r="I465" s="27"/>
    </row>
    <row r="466" spans="9:9" ht="13.5" customHeight="1">
      <c r="I466" s="27"/>
    </row>
    <row r="467" spans="9:9" ht="13.5" customHeight="1">
      <c r="I467" s="27"/>
    </row>
    <row r="468" spans="9:9" ht="13.5" customHeight="1">
      <c r="I468" s="27"/>
    </row>
    <row r="469" spans="9:9" ht="13.5" customHeight="1">
      <c r="I469" s="27"/>
    </row>
    <row r="470" spans="9:9" ht="13.5" customHeight="1">
      <c r="I470" s="27"/>
    </row>
    <row r="471" spans="9:9" ht="13.5" customHeight="1">
      <c r="I471" s="27"/>
    </row>
    <row r="472" spans="9:9" ht="13.5" customHeight="1">
      <c r="I472" s="27"/>
    </row>
    <row r="473" spans="9:9" ht="13.5" customHeight="1">
      <c r="I473" s="27"/>
    </row>
    <row r="474" spans="9:9" ht="13.5" customHeight="1">
      <c r="I474" s="27"/>
    </row>
    <row r="475" spans="9:9" ht="13.5" customHeight="1">
      <c r="I475" s="27"/>
    </row>
    <row r="476" spans="9:9" ht="13.5" customHeight="1">
      <c r="I476" s="27"/>
    </row>
    <row r="477" spans="9:9" ht="13.5" customHeight="1">
      <c r="I477" s="27"/>
    </row>
    <row r="478" spans="9:9" ht="13.5" customHeight="1">
      <c r="I478" s="27"/>
    </row>
    <row r="479" spans="9:9" ht="13.5" customHeight="1">
      <c r="I479" s="27"/>
    </row>
    <row r="480" spans="9:9" ht="13.5" customHeight="1">
      <c r="I480" s="27"/>
    </row>
    <row r="481" spans="9:9" ht="13.5" customHeight="1">
      <c r="I481" s="27"/>
    </row>
    <row r="482" spans="9:9" ht="13.5" customHeight="1">
      <c r="I482" s="27"/>
    </row>
    <row r="483" spans="9:9" ht="13.5" customHeight="1">
      <c r="I483" s="27"/>
    </row>
    <row r="484" spans="9:9" ht="13.5" customHeight="1">
      <c r="I484" s="27"/>
    </row>
    <row r="485" spans="9:9" ht="13.5" customHeight="1">
      <c r="I485" s="27"/>
    </row>
    <row r="486" spans="9:9" ht="13.5" customHeight="1">
      <c r="I486" s="27"/>
    </row>
    <row r="487" spans="9:9" ht="13.5" customHeight="1">
      <c r="I487" s="27"/>
    </row>
    <row r="488" spans="9:9" ht="13.5" customHeight="1">
      <c r="I488" s="27"/>
    </row>
    <row r="489" spans="9:9" ht="13.5" customHeight="1">
      <c r="I489" s="27"/>
    </row>
    <row r="490" spans="9:9" ht="13.5" customHeight="1">
      <c r="I490" s="27"/>
    </row>
    <row r="491" spans="9:9" ht="13.5" customHeight="1">
      <c r="I491" s="27"/>
    </row>
    <row r="492" spans="9:9" ht="13.5" customHeight="1">
      <c r="I492" s="27"/>
    </row>
    <row r="493" spans="9:9" ht="13.5" customHeight="1">
      <c r="I493" s="27"/>
    </row>
    <row r="494" spans="9:9" ht="13.5" customHeight="1">
      <c r="I494" s="27"/>
    </row>
    <row r="495" spans="9:9" ht="13.5" customHeight="1">
      <c r="I495" s="27"/>
    </row>
    <row r="496" spans="9:9" ht="13.5" customHeight="1">
      <c r="I496" s="27"/>
    </row>
    <row r="497" spans="9:9" ht="13.5" customHeight="1">
      <c r="I497" s="27"/>
    </row>
    <row r="498" spans="9:9" ht="13.5" customHeight="1">
      <c r="I498" s="27"/>
    </row>
    <row r="499" spans="9:9" ht="13.5" customHeight="1">
      <c r="I499" s="27"/>
    </row>
    <row r="500" spans="9:9" ht="13.5" customHeight="1">
      <c r="I500" s="27"/>
    </row>
    <row r="501" spans="9:9" ht="13.5" customHeight="1">
      <c r="I501" s="27"/>
    </row>
    <row r="502" spans="9:9" ht="13.5" customHeight="1">
      <c r="I502" s="27"/>
    </row>
    <row r="503" spans="9:9" ht="13.5" customHeight="1">
      <c r="I503" s="27"/>
    </row>
    <row r="504" spans="9:9" ht="13.5" customHeight="1">
      <c r="I504" s="27"/>
    </row>
    <row r="505" spans="9:9" ht="13.5" customHeight="1">
      <c r="I505" s="27"/>
    </row>
    <row r="506" spans="9:9" ht="13.5" customHeight="1">
      <c r="I506" s="27"/>
    </row>
    <row r="507" spans="9:9" ht="13.5" customHeight="1">
      <c r="I507" s="27"/>
    </row>
    <row r="508" spans="9:9" ht="13.5" customHeight="1">
      <c r="I508" s="27"/>
    </row>
    <row r="509" spans="9:9" ht="13.5" customHeight="1">
      <c r="I509" s="27"/>
    </row>
    <row r="510" spans="9:9" ht="13.5" customHeight="1">
      <c r="I510" s="27"/>
    </row>
    <row r="511" spans="9:9" ht="13.5" customHeight="1">
      <c r="I511" s="27"/>
    </row>
    <row r="512" spans="9:9" ht="13.5" customHeight="1">
      <c r="I512" s="27"/>
    </row>
    <row r="513" spans="9:9" ht="13.5" customHeight="1">
      <c r="I513" s="27"/>
    </row>
    <row r="514" spans="9:9" ht="13.5" customHeight="1">
      <c r="I514" s="27"/>
    </row>
    <row r="515" spans="9:9" ht="13.5" customHeight="1">
      <c r="I515" s="27"/>
    </row>
    <row r="516" spans="9:9" ht="13.5" customHeight="1">
      <c r="I516" s="27"/>
    </row>
    <row r="517" spans="9:9" ht="13.5" customHeight="1">
      <c r="I517" s="27"/>
    </row>
    <row r="518" spans="9:9" ht="13.5" customHeight="1">
      <c r="I518" s="27"/>
    </row>
    <row r="519" spans="9:9" ht="13.5" customHeight="1">
      <c r="I519" s="27"/>
    </row>
    <row r="520" spans="9:9" ht="13.5" customHeight="1">
      <c r="I520" s="27"/>
    </row>
    <row r="521" spans="9:9" ht="13.5" customHeight="1">
      <c r="I521" s="27"/>
    </row>
    <row r="522" spans="9:9" ht="13.5" customHeight="1">
      <c r="I522" s="27"/>
    </row>
    <row r="523" spans="9:9" ht="13.5" customHeight="1">
      <c r="I523" s="27"/>
    </row>
    <row r="524" spans="9:9" ht="13.5" customHeight="1">
      <c r="I524" s="27"/>
    </row>
    <row r="525" spans="9:9" ht="13.5" customHeight="1">
      <c r="I525" s="27"/>
    </row>
    <row r="526" spans="9:9" ht="13.5" customHeight="1">
      <c r="I526" s="27"/>
    </row>
    <row r="527" spans="9:9" ht="13.5" customHeight="1">
      <c r="I527" s="27"/>
    </row>
    <row r="528" spans="9:9" ht="13.5" customHeight="1">
      <c r="I528" s="27"/>
    </row>
    <row r="529" spans="9:9" ht="13.5" customHeight="1">
      <c r="I529" s="27"/>
    </row>
    <row r="530" spans="9:9" ht="13.5" customHeight="1">
      <c r="I530" s="27"/>
    </row>
    <row r="531" spans="9:9" ht="13.5" customHeight="1">
      <c r="I531" s="27"/>
    </row>
    <row r="532" spans="9:9" ht="13.5" customHeight="1">
      <c r="I532" s="27"/>
    </row>
    <row r="533" spans="9:9" ht="13.5" customHeight="1">
      <c r="I533" s="27"/>
    </row>
    <row r="534" spans="9:9" ht="13.5" customHeight="1">
      <c r="I534" s="27"/>
    </row>
    <row r="535" spans="9:9" ht="13.5" customHeight="1">
      <c r="I535" s="27"/>
    </row>
    <row r="536" spans="9:9" ht="13.5" customHeight="1">
      <c r="I536" s="27"/>
    </row>
    <row r="537" spans="9:9" ht="13.5" customHeight="1">
      <c r="I537" s="27"/>
    </row>
    <row r="538" spans="9:9" ht="13.5" customHeight="1">
      <c r="I538" s="27"/>
    </row>
    <row r="539" spans="9:9" ht="13.5" customHeight="1">
      <c r="I539" s="27"/>
    </row>
    <row r="540" spans="9:9" ht="13.5" customHeight="1">
      <c r="I540" s="27"/>
    </row>
    <row r="541" spans="9:9" ht="13.5" customHeight="1">
      <c r="I541" s="27"/>
    </row>
    <row r="542" spans="9:9" ht="13.5" customHeight="1">
      <c r="I542" s="27"/>
    </row>
    <row r="543" spans="9:9" ht="13.5" customHeight="1">
      <c r="I543" s="27"/>
    </row>
    <row r="544" spans="9:9" ht="13.5" customHeight="1">
      <c r="I544" s="27"/>
    </row>
    <row r="545" spans="9:9" ht="13.5" customHeight="1">
      <c r="I545" s="27"/>
    </row>
    <row r="546" spans="9:9" ht="13.5" customHeight="1">
      <c r="I546" s="27"/>
    </row>
    <row r="547" spans="9:9" ht="13.5" customHeight="1">
      <c r="I547" s="27"/>
    </row>
    <row r="548" spans="9:9" ht="13.5" customHeight="1">
      <c r="I548" s="27"/>
    </row>
    <row r="549" spans="9:9" ht="13.5" customHeight="1">
      <c r="I549" s="27"/>
    </row>
    <row r="550" spans="9:9" ht="13.5" customHeight="1">
      <c r="I550" s="27"/>
    </row>
    <row r="551" spans="9:9" ht="13.5" customHeight="1">
      <c r="I551" s="27"/>
    </row>
    <row r="552" spans="9:9" ht="13.5" customHeight="1">
      <c r="I552" s="27"/>
    </row>
    <row r="553" spans="9:9" ht="13.5" customHeight="1">
      <c r="I553" s="27"/>
    </row>
    <row r="554" spans="9:9" ht="13.5" customHeight="1">
      <c r="I554" s="27"/>
    </row>
    <row r="555" spans="9:9" ht="13.5" customHeight="1">
      <c r="I555" s="27"/>
    </row>
    <row r="556" spans="9:9" ht="13.5" customHeight="1">
      <c r="I556" s="27"/>
    </row>
    <row r="557" spans="9:9" ht="13.5" customHeight="1">
      <c r="I557" s="27"/>
    </row>
    <row r="558" spans="9:9" ht="13.5" customHeight="1">
      <c r="I558" s="27"/>
    </row>
    <row r="559" spans="9:9" ht="13.5" customHeight="1">
      <c r="I559" s="27"/>
    </row>
    <row r="560" spans="9:9" ht="13.5" customHeight="1">
      <c r="I560" s="27"/>
    </row>
    <row r="561" spans="9:9" ht="13.5" customHeight="1">
      <c r="I561" s="27"/>
    </row>
    <row r="562" spans="9:9" ht="13.5" customHeight="1">
      <c r="I562" s="27"/>
    </row>
    <row r="563" spans="9:9" ht="13.5" customHeight="1">
      <c r="I563" s="27"/>
    </row>
    <row r="564" spans="9:9" ht="13.5" customHeight="1">
      <c r="I564" s="27"/>
    </row>
    <row r="565" spans="9:9" ht="13.5" customHeight="1">
      <c r="I565" s="27"/>
    </row>
    <row r="566" spans="9:9" ht="13.5" customHeight="1">
      <c r="I566" s="27"/>
    </row>
    <row r="567" spans="9:9" ht="13.5" customHeight="1">
      <c r="I567" s="27"/>
    </row>
    <row r="568" spans="9:9" ht="13.5" customHeight="1">
      <c r="I568" s="27"/>
    </row>
    <row r="569" spans="9:9" ht="13.5" customHeight="1">
      <c r="I569" s="27"/>
    </row>
    <row r="570" spans="9:9" ht="13.5" customHeight="1">
      <c r="I570" s="27"/>
    </row>
    <row r="571" spans="9:9" ht="13.5" customHeight="1">
      <c r="I571" s="27"/>
    </row>
    <row r="572" spans="9:9" ht="13.5" customHeight="1">
      <c r="I572" s="27"/>
    </row>
    <row r="573" spans="9:9" ht="13.5" customHeight="1">
      <c r="I573" s="27"/>
    </row>
    <row r="574" spans="9:9" ht="13.5" customHeight="1">
      <c r="I574" s="27"/>
    </row>
    <row r="575" spans="9:9" ht="13.5" customHeight="1">
      <c r="I575" s="27"/>
    </row>
    <row r="576" spans="9:9" ht="13.5" customHeight="1">
      <c r="I576" s="27"/>
    </row>
    <row r="577" spans="9:9" ht="13.5" customHeight="1">
      <c r="I577" s="27"/>
    </row>
    <row r="578" spans="9:9" ht="13.5" customHeight="1">
      <c r="I578" s="27"/>
    </row>
    <row r="579" spans="9:9" ht="13.5" customHeight="1">
      <c r="I579" s="27"/>
    </row>
    <row r="580" spans="9:9" ht="13.5" customHeight="1">
      <c r="I580" s="27"/>
    </row>
    <row r="581" spans="9:9" ht="13.5" customHeight="1">
      <c r="I581" s="27"/>
    </row>
    <row r="582" spans="9:9" ht="13.5" customHeight="1">
      <c r="I582" s="27"/>
    </row>
    <row r="583" spans="9:9" ht="13.5" customHeight="1">
      <c r="I583" s="27"/>
    </row>
    <row r="584" spans="9:9" ht="13.5" customHeight="1">
      <c r="I584" s="27"/>
    </row>
    <row r="585" spans="9:9" ht="13.5" customHeight="1">
      <c r="I585" s="27"/>
    </row>
    <row r="586" spans="9:9" ht="13.5" customHeight="1">
      <c r="I586" s="27"/>
    </row>
    <row r="587" spans="9:9" ht="13.5" customHeight="1">
      <c r="I587" s="27"/>
    </row>
    <row r="588" spans="9:9" ht="13.5" customHeight="1">
      <c r="I588" s="27"/>
    </row>
    <row r="589" spans="9:9" ht="13.5" customHeight="1">
      <c r="I589" s="27"/>
    </row>
    <row r="590" spans="9:9" ht="13.5" customHeight="1">
      <c r="I590" s="27"/>
    </row>
    <row r="591" spans="9:9" ht="13.5" customHeight="1">
      <c r="I591" s="27"/>
    </row>
    <row r="592" spans="9:9" ht="13.5" customHeight="1">
      <c r="I592" s="27"/>
    </row>
    <row r="593" spans="9:9" ht="13.5" customHeight="1">
      <c r="I593" s="27"/>
    </row>
    <row r="594" spans="9:9" ht="13.5" customHeight="1">
      <c r="I594" s="27"/>
    </row>
    <row r="595" spans="9:9" ht="13.5" customHeight="1">
      <c r="I595" s="27"/>
    </row>
    <row r="596" spans="9:9" ht="13.5" customHeight="1">
      <c r="I596" s="27"/>
    </row>
    <row r="597" spans="9:9" ht="13.5" customHeight="1">
      <c r="I597" s="27"/>
    </row>
    <row r="598" spans="9:9" ht="13.5" customHeight="1">
      <c r="I598" s="27"/>
    </row>
    <row r="599" spans="9:9" ht="13.5" customHeight="1">
      <c r="I599" s="27"/>
    </row>
    <row r="600" spans="9:9" ht="13.5" customHeight="1">
      <c r="I600" s="27"/>
    </row>
    <row r="601" spans="9:9" ht="13.5" customHeight="1">
      <c r="I601" s="27"/>
    </row>
    <row r="602" spans="9:9" ht="13.5" customHeight="1">
      <c r="I602" s="27"/>
    </row>
    <row r="603" spans="9:9" ht="13.5" customHeight="1">
      <c r="I603" s="27"/>
    </row>
    <row r="604" spans="9:9" ht="13.5" customHeight="1">
      <c r="I604" s="27"/>
    </row>
    <row r="605" spans="9:9" ht="13.5" customHeight="1">
      <c r="I605" s="27"/>
    </row>
    <row r="606" spans="9:9" ht="13.5" customHeight="1">
      <c r="I606" s="27"/>
    </row>
    <row r="607" spans="9:9" ht="13.5" customHeight="1">
      <c r="I607" s="27"/>
    </row>
    <row r="608" spans="9:9" ht="13.5" customHeight="1">
      <c r="I608" s="27"/>
    </row>
    <row r="609" spans="9:9" ht="13.5" customHeight="1">
      <c r="I609" s="27"/>
    </row>
    <row r="610" spans="9:9" ht="13.5" customHeight="1">
      <c r="I610" s="27"/>
    </row>
    <row r="611" spans="9:9" ht="13.5" customHeight="1">
      <c r="I611" s="27"/>
    </row>
    <row r="612" spans="9:9" ht="13.5" customHeight="1">
      <c r="I612" s="27"/>
    </row>
    <row r="613" spans="9:9" ht="13.5" customHeight="1">
      <c r="I613" s="27"/>
    </row>
    <row r="614" spans="9:9" ht="13.5" customHeight="1">
      <c r="I614" s="27"/>
    </row>
    <row r="615" spans="9:9" ht="13.5" customHeight="1">
      <c r="I615" s="27"/>
    </row>
    <row r="616" spans="9:9" ht="13.5" customHeight="1">
      <c r="I616" s="27"/>
    </row>
    <row r="617" spans="9:9" ht="13.5" customHeight="1">
      <c r="I617" s="27"/>
    </row>
    <row r="618" spans="9:9" ht="13.5" customHeight="1">
      <c r="I618" s="27"/>
    </row>
    <row r="619" spans="9:9" ht="13.5" customHeight="1">
      <c r="I619" s="27"/>
    </row>
    <row r="620" spans="9:9" ht="13.5" customHeight="1">
      <c r="I620" s="27"/>
    </row>
    <row r="621" spans="9:9" ht="13.5" customHeight="1">
      <c r="I621" s="27"/>
    </row>
    <row r="622" spans="9:9" ht="13.5" customHeight="1">
      <c r="I622" s="27"/>
    </row>
    <row r="623" spans="9:9" ht="13.5" customHeight="1">
      <c r="I623" s="27"/>
    </row>
    <row r="624" spans="9:9" ht="13.5" customHeight="1">
      <c r="I624" s="27"/>
    </row>
    <row r="625" spans="9:9" ht="13.5" customHeight="1">
      <c r="I625" s="27"/>
    </row>
    <row r="626" spans="9:9" ht="13.5" customHeight="1">
      <c r="I626" s="27"/>
    </row>
    <row r="627" spans="9:9" ht="13.5" customHeight="1">
      <c r="I627" s="27"/>
    </row>
    <row r="628" spans="9:9" ht="13.5" customHeight="1">
      <c r="I628" s="27"/>
    </row>
    <row r="629" spans="9:9" ht="13.5" customHeight="1">
      <c r="I629" s="27"/>
    </row>
    <row r="630" spans="9:9" ht="13.5" customHeight="1">
      <c r="I630" s="27"/>
    </row>
    <row r="631" spans="9:9" ht="13.5" customHeight="1">
      <c r="I631" s="27"/>
    </row>
    <row r="632" spans="9:9" ht="13.5" customHeight="1">
      <c r="I632" s="27"/>
    </row>
    <row r="633" spans="9:9" ht="13.5" customHeight="1">
      <c r="I633" s="27"/>
    </row>
    <row r="634" spans="9:9" ht="13.5" customHeight="1">
      <c r="I634" s="27"/>
    </row>
    <row r="635" spans="9:9" ht="13.5" customHeight="1">
      <c r="I635" s="27"/>
    </row>
    <row r="636" spans="9:9" ht="13.5" customHeight="1">
      <c r="I636" s="27"/>
    </row>
    <row r="637" spans="9:9" ht="13.5" customHeight="1">
      <c r="I637" s="27"/>
    </row>
    <row r="638" spans="9:9" ht="13.5" customHeight="1">
      <c r="I638" s="27"/>
    </row>
    <row r="639" spans="9:9" ht="13.5" customHeight="1">
      <c r="I639" s="27"/>
    </row>
    <row r="640" spans="9:9" ht="13.5" customHeight="1">
      <c r="I640" s="27"/>
    </row>
    <row r="641" spans="9:9" ht="13.5" customHeight="1">
      <c r="I641" s="27"/>
    </row>
    <row r="642" spans="9:9" ht="13.5" customHeight="1">
      <c r="I642" s="27"/>
    </row>
    <row r="643" spans="9:9" ht="13.5" customHeight="1">
      <c r="I643" s="27"/>
    </row>
    <row r="644" spans="9:9" ht="13.5" customHeight="1">
      <c r="I644" s="27"/>
    </row>
    <row r="645" spans="9:9" ht="13.5" customHeight="1">
      <c r="I645" s="27"/>
    </row>
    <row r="646" spans="9:9" ht="13.5" customHeight="1">
      <c r="I646" s="27"/>
    </row>
    <row r="647" spans="9:9" ht="13.5" customHeight="1">
      <c r="I647" s="27"/>
    </row>
    <row r="648" spans="9:9" ht="13.5" customHeight="1">
      <c r="I648" s="27"/>
    </row>
    <row r="649" spans="9:9" ht="13.5" customHeight="1">
      <c r="I649" s="27"/>
    </row>
    <row r="650" spans="9:9" ht="13.5" customHeight="1">
      <c r="I650" s="27"/>
    </row>
    <row r="651" spans="9:9" ht="13.5" customHeight="1">
      <c r="I651" s="27"/>
    </row>
    <row r="652" spans="9:9" ht="13.5" customHeight="1">
      <c r="I652" s="27"/>
    </row>
    <row r="653" spans="9:9" ht="13.5" customHeight="1">
      <c r="I653" s="27"/>
    </row>
    <row r="654" spans="9:9" ht="13.5" customHeight="1">
      <c r="I654" s="27"/>
    </row>
    <row r="655" spans="9:9" ht="13.5" customHeight="1">
      <c r="I655" s="27"/>
    </row>
    <row r="656" spans="9:9" ht="13.5" customHeight="1">
      <c r="I656" s="27"/>
    </row>
    <row r="657" spans="9:9" ht="13.5" customHeight="1">
      <c r="I657" s="27"/>
    </row>
    <row r="658" spans="9:9" ht="13.5" customHeight="1">
      <c r="I658" s="27"/>
    </row>
    <row r="659" spans="9:9" ht="13.5" customHeight="1">
      <c r="I659" s="27"/>
    </row>
    <row r="660" spans="9:9" ht="13.5" customHeight="1">
      <c r="I660" s="27"/>
    </row>
    <row r="661" spans="9:9" ht="13.5" customHeight="1">
      <c r="I661" s="27"/>
    </row>
    <row r="662" spans="9:9" ht="13.5" customHeight="1">
      <c r="I662" s="27"/>
    </row>
    <row r="663" spans="9:9" ht="13.5" customHeight="1">
      <c r="I663" s="27"/>
    </row>
    <row r="664" spans="9:9" ht="13.5" customHeight="1">
      <c r="I664" s="27"/>
    </row>
    <row r="665" spans="9:9" ht="13.5" customHeight="1">
      <c r="I665" s="27"/>
    </row>
    <row r="666" spans="9:9" ht="13.5" customHeight="1">
      <c r="I666" s="27"/>
    </row>
    <row r="667" spans="9:9" ht="13.5" customHeight="1">
      <c r="I667" s="27"/>
    </row>
    <row r="668" spans="9:9" ht="13.5" customHeight="1">
      <c r="I668" s="27"/>
    </row>
    <row r="669" spans="9:9" ht="13.5" customHeight="1">
      <c r="I669" s="27"/>
    </row>
    <row r="670" spans="9:9" ht="13.5" customHeight="1">
      <c r="I670" s="27"/>
    </row>
    <row r="671" spans="9:9" ht="13.5" customHeight="1">
      <c r="I671" s="27"/>
    </row>
    <row r="672" spans="9:9" ht="13.5" customHeight="1">
      <c r="I672" s="27"/>
    </row>
    <row r="673" spans="9:9" ht="13.5" customHeight="1">
      <c r="I673" s="27"/>
    </row>
    <row r="674" spans="9:9" ht="13.5" customHeight="1">
      <c r="I674" s="27"/>
    </row>
    <row r="675" spans="9:9" ht="13.5" customHeight="1">
      <c r="I675" s="27"/>
    </row>
    <row r="676" spans="9:9" ht="13.5" customHeight="1">
      <c r="I676" s="27"/>
    </row>
    <row r="677" spans="9:9" ht="13.5" customHeight="1">
      <c r="I677" s="27"/>
    </row>
    <row r="678" spans="9:9" ht="13.5" customHeight="1">
      <c r="I678" s="27"/>
    </row>
    <row r="679" spans="9:9" ht="13.5" customHeight="1">
      <c r="I679" s="27"/>
    </row>
    <row r="680" spans="9:9" ht="13.5" customHeight="1">
      <c r="I680" s="27"/>
    </row>
    <row r="681" spans="9:9" ht="13.5" customHeight="1">
      <c r="I681" s="27"/>
    </row>
    <row r="682" spans="9:9" ht="13.5" customHeight="1">
      <c r="I682" s="27"/>
    </row>
    <row r="683" spans="9:9" ht="13.5" customHeight="1">
      <c r="I683" s="27"/>
    </row>
    <row r="684" spans="9:9" ht="13.5" customHeight="1">
      <c r="I684" s="27"/>
    </row>
    <row r="685" spans="9:9" ht="13.5" customHeight="1">
      <c r="I685" s="27"/>
    </row>
    <row r="686" spans="9:9" ht="13.5" customHeight="1">
      <c r="I686" s="27"/>
    </row>
    <row r="687" spans="9:9" ht="13.5" customHeight="1">
      <c r="I687" s="27"/>
    </row>
    <row r="688" spans="9:9" ht="13.5" customHeight="1">
      <c r="I688" s="27"/>
    </row>
    <row r="689" spans="9:9" ht="13.5" customHeight="1">
      <c r="I689" s="27"/>
    </row>
    <row r="690" spans="9:9" ht="13.5" customHeight="1">
      <c r="I690" s="27"/>
    </row>
    <row r="691" spans="9:9" ht="13.5" customHeight="1">
      <c r="I691" s="27"/>
    </row>
    <row r="692" spans="9:9" ht="13.5" customHeight="1">
      <c r="I692" s="27"/>
    </row>
    <row r="693" spans="9:9" ht="13.5" customHeight="1">
      <c r="I693" s="27"/>
    </row>
    <row r="694" spans="9:9" ht="13.5" customHeight="1">
      <c r="I694" s="27"/>
    </row>
    <row r="695" spans="9:9" ht="13.5" customHeight="1">
      <c r="I695" s="27"/>
    </row>
    <row r="696" spans="9:9" ht="13.5" customHeight="1">
      <c r="I696" s="27"/>
    </row>
    <row r="697" spans="9:9" ht="13.5" customHeight="1">
      <c r="I697" s="27"/>
    </row>
    <row r="698" spans="9:9" ht="13.5" customHeight="1">
      <c r="I698" s="27"/>
    </row>
    <row r="699" spans="9:9" ht="13.5" customHeight="1">
      <c r="I699" s="27"/>
    </row>
    <row r="700" spans="9:9" ht="13.5" customHeight="1">
      <c r="I700" s="27"/>
    </row>
    <row r="701" spans="9:9" ht="13.5" customHeight="1">
      <c r="I701" s="27"/>
    </row>
    <row r="702" spans="9:9" ht="13.5" customHeight="1">
      <c r="I702" s="27"/>
    </row>
    <row r="703" spans="9:9" ht="13.5" customHeight="1">
      <c r="I703" s="27"/>
    </row>
    <row r="704" spans="9:9" ht="13.5" customHeight="1">
      <c r="I704" s="27"/>
    </row>
    <row r="705" spans="9:9" ht="13.5" customHeight="1">
      <c r="I705" s="27"/>
    </row>
    <row r="706" spans="9:9" ht="13.5" customHeight="1">
      <c r="I706" s="27"/>
    </row>
    <row r="707" spans="9:9" ht="13.5" customHeight="1">
      <c r="I707" s="27"/>
    </row>
    <row r="708" spans="9:9" ht="13.5" customHeight="1">
      <c r="I708" s="27"/>
    </row>
    <row r="709" spans="9:9" ht="13.5" customHeight="1">
      <c r="I709" s="27"/>
    </row>
    <row r="710" spans="9:9" ht="13.5" customHeight="1">
      <c r="I710" s="27"/>
    </row>
    <row r="711" spans="9:9" ht="13.5" customHeight="1">
      <c r="I711" s="27"/>
    </row>
    <row r="712" spans="9:9" ht="13.5" customHeight="1">
      <c r="I712" s="27"/>
    </row>
    <row r="713" spans="9:9" ht="13.5" customHeight="1">
      <c r="I713" s="27"/>
    </row>
    <row r="714" spans="9:9" ht="13.5" customHeight="1">
      <c r="I714" s="27"/>
    </row>
    <row r="715" spans="9:9" ht="13.5" customHeight="1">
      <c r="I715" s="27"/>
    </row>
    <row r="716" spans="9:9" ht="13.5" customHeight="1">
      <c r="I716" s="27"/>
    </row>
    <row r="717" spans="9:9" ht="13.5" customHeight="1">
      <c r="I717" s="27"/>
    </row>
    <row r="718" spans="9:9" ht="13.5" customHeight="1">
      <c r="I718" s="27"/>
    </row>
    <row r="719" spans="9:9" ht="13.5" customHeight="1">
      <c r="I719" s="27"/>
    </row>
    <row r="720" spans="9:9" ht="13.5" customHeight="1">
      <c r="I720" s="27"/>
    </row>
    <row r="721" spans="9:9" ht="13.5" customHeight="1">
      <c r="I721" s="27"/>
    </row>
    <row r="722" spans="9:9" ht="13.5" customHeight="1">
      <c r="I722" s="27"/>
    </row>
    <row r="723" spans="9:9" ht="13.5" customHeight="1">
      <c r="I723" s="27"/>
    </row>
    <row r="724" spans="9:9" ht="13.5" customHeight="1">
      <c r="I724" s="27"/>
    </row>
    <row r="725" spans="9:9" ht="13.5" customHeight="1">
      <c r="I725" s="27"/>
    </row>
    <row r="726" spans="9:9" ht="13.5" customHeight="1">
      <c r="I726" s="27"/>
    </row>
    <row r="727" spans="9:9" ht="13.5" customHeight="1">
      <c r="I727" s="27"/>
    </row>
    <row r="728" spans="9:9" ht="13.5" customHeight="1">
      <c r="I728" s="27"/>
    </row>
    <row r="729" spans="9:9" ht="13.5" customHeight="1">
      <c r="I729" s="27"/>
    </row>
    <row r="730" spans="9:9" ht="13.5" customHeight="1">
      <c r="I730" s="27"/>
    </row>
    <row r="731" spans="9:9" ht="13.5" customHeight="1">
      <c r="I731" s="27"/>
    </row>
    <row r="732" spans="9:9" ht="13.5" customHeight="1">
      <c r="I732" s="27"/>
    </row>
    <row r="733" spans="9:9" ht="13.5" customHeight="1">
      <c r="I733" s="27"/>
    </row>
    <row r="734" spans="9:9" ht="13.5" customHeight="1">
      <c r="I734" s="27"/>
    </row>
    <row r="735" spans="9:9" ht="13.5" customHeight="1">
      <c r="I735" s="27"/>
    </row>
    <row r="736" spans="9:9" ht="13.5" customHeight="1">
      <c r="I736" s="27"/>
    </row>
    <row r="737" spans="9:9" ht="13.5" customHeight="1">
      <c r="I737" s="27"/>
    </row>
    <row r="738" spans="9:9" ht="13.5" customHeight="1">
      <c r="I738" s="27"/>
    </row>
    <row r="739" spans="9:9" ht="13.5" customHeight="1">
      <c r="I739" s="27"/>
    </row>
    <row r="740" spans="9:9" ht="13.5" customHeight="1">
      <c r="I740" s="27"/>
    </row>
    <row r="741" spans="9:9" ht="13.5" customHeight="1">
      <c r="I741" s="27"/>
    </row>
    <row r="742" spans="9:9" ht="13.5" customHeight="1">
      <c r="I742" s="27"/>
    </row>
    <row r="743" spans="9:9" ht="13.5" customHeight="1">
      <c r="I743" s="27"/>
    </row>
    <row r="744" spans="9:9" ht="13.5" customHeight="1">
      <c r="I744" s="27"/>
    </row>
    <row r="745" spans="9:9" ht="13.5" customHeight="1">
      <c r="I745" s="27"/>
    </row>
    <row r="746" spans="9:9" ht="13.5" customHeight="1">
      <c r="I746" s="27"/>
    </row>
    <row r="747" spans="9:9" ht="13.5" customHeight="1">
      <c r="I747" s="27"/>
    </row>
    <row r="748" spans="9:9" ht="13.5" customHeight="1">
      <c r="I748" s="27"/>
    </row>
    <row r="749" spans="9:9" ht="13.5" customHeight="1">
      <c r="I749" s="27"/>
    </row>
    <row r="750" spans="9:9" ht="13.5" customHeight="1">
      <c r="I750" s="27"/>
    </row>
    <row r="751" spans="9:9" ht="13.5" customHeight="1">
      <c r="I751" s="27"/>
    </row>
    <row r="752" spans="9:9" ht="13.5" customHeight="1">
      <c r="I752" s="27"/>
    </row>
    <row r="753" spans="9:9" ht="13.5" customHeight="1">
      <c r="I753" s="27"/>
    </row>
    <row r="754" spans="9:9" ht="13.5" customHeight="1">
      <c r="I754" s="27"/>
    </row>
    <row r="755" spans="9:9" ht="13.5" customHeight="1">
      <c r="I755" s="27"/>
    </row>
    <row r="756" spans="9:9" ht="13.5" customHeight="1">
      <c r="I756" s="27"/>
    </row>
    <row r="757" spans="9:9" ht="13.5" customHeight="1">
      <c r="I757" s="27"/>
    </row>
    <row r="758" spans="9:9" ht="13.5" customHeight="1">
      <c r="I758" s="27"/>
    </row>
    <row r="759" spans="9:9" ht="13.5" customHeight="1">
      <c r="I759" s="27"/>
    </row>
    <row r="760" spans="9:9" ht="13.5" customHeight="1">
      <c r="I760" s="27"/>
    </row>
    <row r="761" spans="9:9" ht="13.5" customHeight="1">
      <c r="I761" s="27"/>
    </row>
    <row r="762" spans="9:9" ht="13.5" customHeight="1">
      <c r="I762" s="27"/>
    </row>
    <row r="763" spans="9:9" ht="13.5" customHeight="1">
      <c r="I763" s="27"/>
    </row>
    <row r="764" spans="9:9" ht="13.5" customHeight="1">
      <c r="I764" s="27"/>
    </row>
    <row r="765" spans="9:9" ht="13.5" customHeight="1">
      <c r="I765" s="27"/>
    </row>
    <row r="766" spans="9:9" ht="13.5" customHeight="1">
      <c r="I766" s="27"/>
    </row>
    <row r="767" spans="9:9" ht="13.5" customHeight="1">
      <c r="I767" s="27"/>
    </row>
    <row r="768" spans="9:9" ht="13.5" customHeight="1">
      <c r="I768" s="27"/>
    </row>
    <row r="769" spans="9:9" ht="13.5" customHeight="1">
      <c r="I769" s="27"/>
    </row>
    <row r="770" spans="9:9" ht="13.5" customHeight="1">
      <c r="I770" s="27"/>
    </row>
    <row r="771" spans="9:9" ht="13.5" customHeight="1">
      <c r="I771" s="27"/>
    </row>
    <row r="772" spans="9:9" ht="13.5" customHeight="1">
      <c r="I772" s="27"/>
    </row>
    <row r="773" spans="9:9" ht="13.5" customHeight="1">
      <c r="I773" s="27"/>
    </row>
    <row r="774" spans="9:9" ht="13.5" customHeight="1">
      <c r="I774" s="27"/>
    </row>
    <row r="775" spans="9:9" ht="13.5" customHeight="1">
      <c r="I775" s="27"/>
    </row>
    <row r="776" spans="9:9" ht="13.5" customHeight="1">
      <c r="I776" s="27"/>
    </row>
    <row r="777" spans="9:9" ht="13.5" customHeight="1">
      <c r="I777" s="27"/>
    </row>
    <row r="778" spans="9:9" ht="13.5" customHeight="1">
      <c r="I778" s="27"/>
    </row>
    <row r="779" spans="9:9" ht="13.5" customHeight="1">
      <c r="I779" s="27"/>
    </row>
    <row r="780" spans="9:9" ht="13.5" customHeight="1">
      <c r="I780" s="27"/>
    </row>
    <row r="781" spans="9:9" ht="13.5" customHeight="1">
      <c r="I781" s="27"/>
    </row>
    <row r="782" spans="9:9" ht="13.5" customHeight="1">
      <c r="I782" s="27"/>
    </row>
    <row r="783" spans="9:9" ht="13.5" customHeight="1">
      <c r="I783" s="27"/>
    </row>
    <row r="784" spans="9:9" ht="13.5" customHeight="1">
      <c r="I784" s="27"/>
    </row>
    <row r="785" spans="9:9" ht="13.5" customHeight="1">
      <c r="I785" s="27"/>
    </row>
    <row r="786" spans="9:9" ht="13.5" customHeight="1">
      <c r="I786" s="27"/>
    </row>
    <row r="787" spans="9:9" ht="13.5" customHeight="1">
      <c r="I787" s="27"/>
    </row>
    <row r="788" spans="9:9" ht="13.5" customHeight="1">
      <c r="I788" s="27"/>
    </row>
    <row r="789" spans="9:9" ht="13.5" customHeight="1">
      <c r="I789" s="27"/>
    </row>
    <row r="790" spans="9:9" ht="13.5" customHeight="1">
      <c r="I790" s="27"/>
    </row>
    <row r="791" spans="9:9" ht="13.5" customHeight="1">
      <c r="I791" s="27"/>
    </row>
    <row r="792" spans="9:9" ht="13.5" customHeight="1">
      <c r="I792" s="27"/>
    </row>
    <row r="793" spans="9:9" ht="13.5" customHeight="1">
      <c r="I793" s="27"/>
    </row>
    <row r="794" spans="9:9" ht="13.5" customHeight="1">
      <c r="I794" s="27"/>
    </row>
    <row r="795" spans="9:9" ht="13.5" customHeight="1">
      <c r="I795" s="27"/>
    </row>
    <row r="796" spans="9:9" ht="13.5" customHeight="1">
      <c r="I796" s="27"/>
    </row>
    <row r="797" spans="9:9" ht="13.5" customHeight="1">
      <c r="I797" s="27"/>
    </row>
    <row r="798" spans="9:9" ht="13.5" customHeight="1">
      <c r="I798" s="27"/>
    </row>
    <row r="799" spans="9:9" ht="13.5" customHeight="1">
      <c r="I799" s="27"/>
    </row>
    <row r="800" spans="9:9" ht="13.5" customHeight="1">
      <c r="I800" s="27"/>
    </row>
    <row r="801" spans="9:9" ht="13.5" customHeight="1">
      <c r="I801" s="27"/>
    </row>
    <row r="802" spans="9:9" ht="13.5" customHeight="1">
      <c r="I802" s="27"/>
    </row>
    <row r="803" spans="9:9" ht="13.5" customHeight="1">
      <c r="I803" s="27"/>
    </row>
    <row r="804" spans="9:9" ht="13.5" customHeight="1">
      <c r="I804" s="27"/>
    </row>
    <row r="805" spans="9:9" ht="13.5" customHeight="1">
      <c r="I805" s="27"/>
    </row>
    <row r="806" spans="9:9" ht="13.5" customHeight="1">
      <c r="I806" s="27"/>
    </row>
    <row r="807" spans="9:9" ht="13.5" customHeight="1">
      <c r="I807" s="27"/>
    </row>
    <row r="808" spans="9:9" ht="13.5" customHeight="1">
      <c r="I808" s="27"/>
    </row>
    <row r="809" spans="9:9" ht="13.5" customHeight="1">
      <c r="I809" s="27"/>
    </row>
    <row r="810" spans="9:9" ht="13.5" customHeight="1">
      <c r="I810" s="27"/>
    </row>
    <row r="811" spans="9:9" ht="13.5" customHeight="1">
      <c r="I811" s="27"/>
    </row>
    <row r="812" spans="9:9" ht="13.5" customHeight="1">
      <c r="I812" s="27"/>
    </row>
    <row r="813" spans="9:9" ht="13.5" customHeight="1">
      <c r="I813" s="27"/>
    </row>
    <row r="814" spans="9:9" ht="13.5" customHeight="1">
      <c r="I814" s="27"/>
    </row>
    <row r="815" spans="9:9" ht="13.5" customHeight="1">
      <c r="I815" s="27"/>
    </row>
    <row r="816" spans="9:9" ht="13.5" customHeight="1">
      <c r="I816" s="27"/>
    </row>
    <row r="817" spans="9:9" ht="13.5" customHeight="1">
      <c r="I817" s="27"/>
    </row>
    <row r="818" spans="9:9" ht="13.5" customHeight="1">
      <c r="I818" s="27"/>
    </row>
    <row r="819" spans="9:9" ht="13.5" customHeight="1">
      <c r="I819" s="27"/>
    </row>
    <row r="820" spans="9:9" ht="13.5" customHeight="1">
      <c r="I820" s="27"/>
    </row>
    <row r="821" spans="9:9" ht="13.5" customHeight="1">
      <c r="I821" s="27"/>
    </row>
    <row r="822" spans="9:9" ht="13.5" customHeight="1">
      <c r="I822" s="27"/>
    </row>
    <row r="823" spans="9:9" ht="13.5" customHeight="1">
      <c r="I823" s="27"/>
    </row>
    <row r="824" spans="9:9" ht="13.5" customHeight="1">
      <c r="I824" s="27"/>
    </row>
    <row r="825" spans="9:9" ht="13.5" customHeight="1">
      <c r="I825" s="27"/>
    </row>
    <row r="826" spans="9:9" ht="13.5" customHeight="1">
      <c r="I826" s="27"/>
    </row>
    <row r="827" spans="9:9" ht="13.5" customHeight="1">
      <c r="I827" s="27"/>
    </row>
    <row r="828" spans="9:9" ht="13.5" customHeight="1">
      <c r="I828" s="27"/>
    </row>
    <row r="829" spans="9:9" ht="13.5" customHeight="1">
      <c r="I829" s="27"/>
    </row>
    <row r="830" spans="9:9" ht="13.5" customHeight="1">
      <c r="I830" s="27"/>
    </row>
    <row r="831" spans="9:9" ht="13.5" customHeight="1">
      <c r="I831" s="27"/>
    </row>
    <row r="832" spans="9:9" ht="13.5" customHeight="1">
      <c r="I832" s="27"/>
    </row>
    <row r="833" spans="9:9" ht="13.5" customHeight="1">
      <c r="I833" s="27"/>
    </row>
    <row r="834" spans="9:9" ht="13.5" customHeight="1">
      <c r="I834" s="27"/>
    </row>
    <row r="835" spans="9:9" ht="13.5" customHeight="1">
      <c r="I835" s="27"/>
    </row>
    <row r="836" spans="9:9" ht="13.5" customHeight="1">
      <c r="I836" s="27"/>
    </row>
    <row r="837" spans="9:9" ht="13.5" customHeight="1">
      <c r="I837" s="27"/>
    </row>
    <row r="838" spans="9:9" ht="13.5" customHeight="1">
      <c r="I838" s="27"/>
    </row>
    <row r="839" spans="9:9" ht="13.5" customHeight="1">
      <c r="I839" s="27"/>
    </row>
    <row r="840" spans="9:9" ht="13.5" customHeight="1">
      <c r="I840" s="27"/>
    </row>
    <row r="841" spans="9:9" ht="13.5" customHeight="1">
      <c r="I841" s="27"/>
    </row>
    <row r="842" spans="9:9" ht="13.5" customHeight="1">
      <c r="I842" s="27"/>
    </row>
    <row r="843" spans="9:9" ht="13.5" customHeight="1">
      <c r="I843" s="27"/>
    </row>
    <row r="844" spans="9:9" ht="13.5" customHeight="1">
      <c r="I844" s="27"/>
    </row>
    <row r="845" spans="9:9" ht="13.5" customHeight="1">
      <c r="I845" s="27"/>
    </row>
    <row r="846" spans="9:9" ht="13.5" customHeight="1">
      <c r="I846" s="27"/>
    </row>
    <row r="847" spans="9:9" ht="13.5" customHeight="1">
      <c r="I847" s="27"/>
    </row>
    <row r="848" spans="9:9" ht="13.5" customHeight="1">
      <c r="I848" s="27"/>
    </row>
    <row r="849" spans="9:9" ht="13.5" customHeight="1">
      <c r="I849" s="27"/>
    </row>
    <row r="850" spans="9:9" ht="13.5" customHeight="1">
      <c r="I850" s="27"/>
    </row>
    <row r="851" spans="9:9" ht="13.5" customHeight="1">
      <c r="I851" s="27"/>
    </row>
    <row r="852" spans="9:9" ht="13.5" customHeight="1">
      <c r="I852" s="27"/>
    </row>
    <row r="853" spans="9:9" ht="13.5" customHeight="1">
      <c r="I853" s="27"/>
    </row>
    <row r="854" spans="9:9" ht="13.5" customHeight="1">
      <c r="I854" s="27"/>
    </row>
    <row r="855" spans="9:9" ht="13.5" customHeight="1">
      <c r="I855" s="27"/>
    </row>
    <row r="856" spans="9:9" ht="13.5" customHeight="1">
      <c r="I856" s="27"/>
    </row>
    <row r="857" spans="9:9" ht="13.5" customHeight="1">
      <c r="I857" s="27"/>
    </row>
    <row r="858" spans="9:9" ht="13.5" customHeight="1">
      <c r="I858" s="27"/>
    </row>
    <row r="859" spans="9:9" ht="13.5" customHeight="1">
      <c r="I859" s="27"/>
    </row>
    <row r="860" spans="9:9" ht="13.5" customHeight="1">
      <c r="I860" s="27"/>
    </row>
    <row r="861" spans="9:9" ht="13.5" customHeight="1">
      <c r="I861" s="27"/>
    </row>
    <row r="862" spans="9:9" ht="13.5" customHeight="1">
      <c r="I862" s="27"/>
    </row>
    <row r="863" spans="9:9" ht="13.5" customHeight="1">
      <c r="I863" s="27"/>
    </row>
    <row r="864" spans="9:9" ht="13.5" customHeight="1">
      <c r="I864" s="27"/>
    </row>
    <row r="865" spans="9:9" ht="13.5" customHeight="1">
      <c r="I865" s="27"/>
    </row>
    <row r="866" spans="9:9" ht="13.5" customHeight="1">
      <c r="I866" s="27"/>
    </row>
    <row r="867" spans="9:9" ht="13.5" customHeight="1">
      <c r="I867" s="27"/>
    </row>
    <row r="868" spans="9:9" ht="13.5" customHeight="1">
      <c r="I868" s="27"/>
    </row>
    <row r="869" spans="9:9" ht="13.5" customHeight="1">
      <c r="I869" s="27"/>
    </row>
    <row r="870" spans="9:9" ht="13.5" customHeight="1">
      <c r="I870" s="27"/>
    </row>
    <row r="871" spans="9:9" ht="13.5" customHeight="1">
      <c r="I871" s="27"/>
    </row>
    <row r="872" spans="9:9" ht="13.5" customHeight="1">
      <c r="I872" s="27"/>
    </row>
    <row r="873" spans="9:9" ht="13.5" customHeight="1">
      <c r="I873" s="27"/>
    </row>
    <row r="874" spans="9:9" ht="13.5" customHeight="1">
      <c r="I874" s="27"/>
    </row>
    <row r="875" spans="9:9" ht="13.5" customHeight="1">
      <c r="I875" s="27"/>
    </row>
    <row r="876" spans="9:9" ht="13.5" customHeight="1">
      <c r="I876" s="27"/>
    </row>
    <row r="877" spans="9:9" ht="13.5" customHeight="1">
      <c r="I877" s="27"/>
    </row>
    <row r="878" spans="9:9" ht="13.5" customHeight="1">
      <c r="I878" s="27"/>
    </row>
    <row r="879" spans="9:9" ht="13.5" customHeight="1">
      <c r="I879" s="27"/>
    </row>
    <row r="880" spans="9:9" ht="13.5" customHeight="1">
      <c r="I880" s="27"/>
    </row>
    <row r="881" spans="9:9" ht="13.5" customHeight="1">
      <c r="I881" s="27"/>
    </row>
    <row r="882" spans="9:9" ht="13.5" customHeight="1">
      <c r="I882" s="27"/>
    </row>
    <row r="883" spans="9:9" ht="13.5" customHeight="1">
      <c r="I883" s="27"/>
    </row>
    <row r="884" spans="9:9" ht="13.5" customHeight="1">
      <c r="I884" s="27"/>
    </row>
    <row r="885" spans="9:9" ht="13.5" customHeight="1">
      <c r="I885" s="27"/>
    </row>
    <row r="886" spans="9:9" ht="13.5" customHeight="1">
      <c r="I886" s="27"/>
    </row>
    <row r="887" spans="9:9" ht="13.5" customHeight="1">
      <c r="I887" s="27"/>
    </row>
    <row r="888" spans="9:9" ht="13.5" customHeight="1">
      <c r="I888" s="27"/>
    </row>
    <row r="889" spans="9:9" ht="13.5" customHeight="1">
      <c r="I889" s="27"/>
    </row>
    <row r="890" spans="9:9" ht="13.5" customHeight="1">
      <c r="I890" s="27"/>
    </row>
    <row r="891" spans="9:9" ht="13.5" customHeight="1">
      <c r="I891" s="27"/>
    </row>
    <row r="892" spans="9:9" ht="13.5" customHeight="1">
      <c r="I892" s="27"/>
    </row>
    <row r="893" spans="9:9" ht="13.5" customHeight="1">
      <c r="I893" s="27"/>
    </row>
    <row r="894" spans="9:9" ht="13.5" customHeight="1">
      <c r="I894" s="27"/>
    </row>
    <row r="895" spans="9:9" ht="13.5" customHeight="1">
      <c r="I895" s="27"/>
    </row>
    <row r="896" spans="9:9" ht="13.5" customHeight="1">
      <c r="I896" s="27"/>
    </row>
    <row r="897" spans="9:9" ht="13.5" customHeight="1">
      <c r="I897" s="27"/>
    </row>
    <row r="898" spans="9:9" ht="13.5" customHeight="1">
      <c r="I898" s="27"/>
    </row>
    <row r="899" spans="9:9" ht="13.5" customHeight="1">
      <c r="I899" s="27"/>
    </row>
    <row r="900" spans="9:9" ht="13.5" customHeight="1">
      <c r="I900" s="27"/>
    </row>
    <row r="901" spans="9:9" ht="13.5" customHeight="1">
      <c r="I901" s="27"/>
    </row>
    <row r="902" spans="9:9" ht="13.5" customHeight="1">
      <c r="I902" s="27"/>
    </row>
    <row r="903" spans="9:9" ht="13.5" customHeight="1">
      <c r="I903" s="27"/>
    </row>
    <row r="904" spans="9:9" ht="13.5" customHeight="1">
      <c r="I904" s="27"/>
    </row>
    <row r="905" spans="9:9" ht="13.5" customHeight="1">
      <c r="I905" s="27"/>
    </row>
    <row r="906" spans="9:9" ht="13.5" customHeight="1">
      <c r="I906" s="27"/>
    </row>
    <row r="907" spans="9:9" ht="13.5" customHeight="1">
      <c r="I907" s="27"/>
    </row>
    <row r="908" spans="9:9" ht="13.5" customHeight="1">
      <c r="I908" s="27"/>
    </row>
    <row r="909" spans="9:9" ht="13.5" customHeight="1">
      <c r="I909" s="27"/>
    </row>
    <row r="910" spans="9:9" ht="13.5" customHeight="1">
      <c r="I910" s="27"/>
    </row>
    <row r="911" spans="9:9" ht="13.5" customHeight="1">
      <c r="I911" s="27"/>
    </row>
    <row r="912" spans="9:9" ht="13.5" customHeight="1">
      <c r="I912" s="27"/>
    </row>
    <row r="913" spans="9:9" ht="13.5" customHeight="1">
      <c r="I913" s="27"/>
    </row>
    <row r="914" spans="9:9" ht="13.5" customHeight="1">
      <c r="I914" s="27"/>
    </row>
    <row r="915" spans="9:9" ht="13.5" customHeight="1">
      <c r="I915" s="27"/>
    </row>
    <row r="916" spans="9:9" ht="13.5" customHeight="1">
      <c r="I916" s="27"/>
    </row>
    <row r="917" spans="9:9" ht="13.5" customHeight="1">
      <c r="I917" s="27"/>
    </row>
    <row r="918" spans="9:9" ht="13.5" customHeight="1">
      <c r="I918" s="27"/>
    </row>
    <row r="919" spans="9:9" ht="13.5" customHeight="1">
      <c r="I919" s="27"/>
    </row>
    <row r="920" spans="9:9" ht="13.5" customHeight="1">
      <c r="I920" s="27"/>
    </row>
    <row r="921" spans="9:9" ht="13.5" customHeight="1">
      <c r="I921" s="27"/>
    </row>
    <row r="922" spans="9:9" ht="13.5" customHeight="1">
      <c r="I922" s="27"/>
    </row>
    <row r="923" spans="9:9" ht="13.5" customHeight="1">
      <c r="I923" s="27"/>
    </row>
    <row r="924" spans="9:9" ht="13.5" customHeight="1">
      <c r="I924" s="27"/>
    </row>
    <row r="925" spans="9:9" ht="13.5" customHeight="1">
      <c r="I925" s="27"/>
    </row>
    <row r="926" spans="9:9" ht="13.5" customHeight="1">
      <c r="I926" s="27"/>
    </row>
    <row r="927" spans="9:9" ht="13.5" customHeight="1">
      <c r="I927" s="27"/>
    </row>
    <row r="928" spans="9:9" ht="13.5" customHeight="1">
      <c r="I928" s="27"/>
    </row>
    <row r="929" spans="9:9" ht="13.5" customHeight="1">
      <c r="I929" s="27"/>
    </row>
    <row r="930" spans="9:9" ht="13.5" customHeight="1">
      <c r="I930" s="27"/>
    </row>
    <row r="931" spans="9:9" ht="13.5" customHeight="1">
      <c r="I931" s="27"/>
    </row>
    <row r="932" spans="9:9" ht="13.5" customHeight="1">
      <c r="I932" s="27"/>
    </row>
    <row r="933" spans="9:9" ht="13.5" customHeight="1">
      <c r="I933" s="27"/>
    </row>
    <row r="934" spans="9:9" ht="13.5" customHeight="1">
      <c r="I934" s="27"/>
    </row>
    <row r="935" spans="9:9" ht="13.5" customHeight="1">
      <c r="I935" s="27"/>
    </row>
    <row r="936" spans="9:9" ht="13.5" customHeight="1">
      <c r="I936" s="27"/>
    </row>
    <row r="937" spans="9:9" ht="13.5" customHeight="1">
      <c r="I937" s="27"/>
    </row>
    <row r="938" spans="9:9" ht="13.5" customHeight="1">
      <c r="I938" s="27"/>
    </row>
    <row r="939" spans="9:9" ht="13.5" customHeight="1">
      <c r="I939" s="27"/>
    </row>
    <row r="940" spans="9:9" ht="13.5" customHeight="1">
      <c r="I940" s="27"/>
    </row>
    <row r="941" spans="9:9" ht="13.5" customHeight="1">
      <c r="I941" s="27"/>
    </row>
    <row r="942" spans="9:9" ht="13.5" customHeight="1">
      <c r="I942" s="27"/>
    </row>
    <row r="943" spans="9:9" ht="13.5" customHeight="1">
      <c r="I943" s="27"/>
    </row>
    <row r="944" spans="9:9" ht="13.5" customHeight="1">
      <c r="I944" s="27"/>
    </row>
    <row r="945" spans="9:9" ht="13.5" customHeight="1">
      <c r="I945" s="27"/>
    </row>
    <row r="946" spans="9:9" ht="13.5" customHeight="1">
      <c r="I946" s="27"/>
    </row>
    <row r="947" spans="9:9" ht="13.5" customHeight="1">
      <c r="I947" s="27"/>
    </row>
    <row r="948" spans="9:9" ht="13.5" customHeight="1">
      <c r="I948" s="27"/>
    </row>
    <row r="949" spans="9:9" ht="13.5" customHeight="1">
      <c r="I949" s="27"/>
    </row>
    <row r="950" spans="9:9" ht="13.5" customHeight="1">
      <c r="I950" s="27"/>
    </row>
    <row r="951" spans="9:9" ht="13.5" customHeight="1">
      <c r="I951" s="27"/>
    </row>
    <row r="952" spans="9:9" ht="13.5" customHeight="1">
      <c r="I952" s="27"/>
    </row>
    <row r="953" spans="9:9" ht="13.5" customHeight="1">
      <c r="I953" s="27"/>
    </row>
    <row r="954" spans="9:9" ht="13.5" customHeight="1">
      <c r="I954" s="27"/>
    </row>
    <row r="955" spans="9:9" ht="13.5" customHeight="1">
      <c r="I955" s="27"/>
    </row>
    <row r="956" spans="9:9" ht="13.5" customHeight="1">
      <c r="I956" s="27"/>
    </row>
    <row r="957" spans="9:9" ht="13.5" customHeight="1">
      <c r="I957" s="27"/>
    </row>
    <row r="958" spans="9:9" ht="13.5" customHeight="1">
      <c r="I958" s="27"/>
    </row>
  </sheetData>
  <conditionalFormatting sqref="A2:D10">
    <cfRule type="cellIs" dxfId="41" priority="1" operator="equal">
      <formula>0</formula>
    </cfRule>
  </conditionalFormatting>
  <conditionalFormatting sqref="H2:H10 K2:K10 E2:G11 I2:J11 L3:M10">
    <cfRule type="cellIs" dxfId="40" priority="2" operator="equal">
      <formula>0</formula>
    </cfRule>
  </conditionalFormatting>
  <dataValidations count="1">
    <dataValidation type="list" allowBlank="1" showErrorMessage="1" sqref="B2:B11" xr:uid="{00000000-0002-0000-0000-000000000000}">
      <formula1>$W$1:$W$3</formula1>
    </dataValidation>
  </dataValidations>
  <pageMargins left="0.7" right="0.7" top="0.75" bottom="0.75" header="0" footer="0"/>
  <pageSetup orientation="landscape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EH187"/>
  <sheetViews>
    <sheetView workbookViewId="0">
      <pane xSplit="3" ySplit="4" topLeftCell="D5" activePane="bottomRight" state="frozen"/>
      <selection pane="bottomRight" activeCell="D5" sqref="D5"/>
      <selection pane="bottomLeft" activeCell="A5" sqref="A5"/>
      <selection pane="topRight" activeCell="D1" sqref="D1"/>
    </sheetView>
  </sheetViews>
  <sheetFormatPr defaultColWidth="12.625" defaultRowHeight="15" customHeight="1" outlineLevelRow="1" outlineLevelCol="2"/>
  <cols>
    <col min="1" max="1" width="2.375" customWidth="1"/>
    <col min="3" max="3" width="40.125" customWidth="1"/>
    <col min="4" max="4" width="12.625" outlineLevel="1"/>
    <col min="5" max="5" width="10.875" customWidth="1" outlineLevel="1"/>
    <col min="6" max="16" width="10.875" customWidth="1" outlineLevel="2"/>
    <col min="17" max="17" width="10.875" customWidth="1" outlineLevel="1"/>
    <col min="18" max="20" width="10.875" customWidth="1" outlineLevel="2"/>
    <col min="21" max="28" width="6.5" customWidth="1" outlineLevel="2"/>
    <col min="29" max="29" width="6.5" customWidth="1" outlineLevel="1" collapsed="1"/>
    <col min="30" max="40" width="6.5" hidden="1" customWidth="1" outlineLevel="2"/>
    <col min="41" max="41" width="6.5" customWidth="1" outlineLevel="1" collapsed="1"/>
    <col min="42" max="52" width="6.5" hidden="1" customWidth="1" outlineLevel="2"/>
    <col min="53" max="53" width="6.5" customWidth="1" outlineLevel="1" collapsed="1"/>
    <col min="54" max="64" width="6.5" hidden="1" customWidth="1" outlineLevel="2"/>
    <col min="65" max="65" width="6.5" customWidth="1" outlineLevel="1" collapsed="1"/>
    <col min="66" max="76" width="6.5" hidden="1" customWidth="1" outlineLevel="2"/>
    <col min="79" max="79" width="12.625" collapsed="1"/>
    <col min="80" max="82" width="12.625" hidden="1" outlineLevel="1"/>
  </cols>
  <sheetData>
    <row r="1" spans="1:138">
      <c r="A1" s="222"/>
      <c r="B1" s="357" t="s">
        <v>199</v>
      </c>
      <c r="C1" s="358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</row>
    <row r="2" spans="1:138">
      <c r="A2" s="505"/>
      <c r="B2" s="567" t="s">
        <v>200</v>
      </c>
      <c r="C2" s="597"/>
      <c r="D2" s="505"/>
      <c r="E2" s="559">
        <v>45292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9"/>
      <c r="Q2" s="558">
        <v>2025</v>
      </c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9"/>
      <c r="AC2" s="558">
        <v>2026</v>
      </c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9"/>
      <c r="AO2" s="559">
        <v>46388</v>
      </c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9"/>
      <c r="BA2" s="559">
        <v>46753</v>
      </c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9"/>
      <c r="BM2" s="559">
        <v>47119</v>
      </c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9"/>
      <c r="BY2" s="560" t="s">
        <v>201</v>
      </c>
      <c r="BZ2" s="597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</row>
    <row r="3" spans="1:138">
      <c r="A3" s="505"/>
      <c r="B3" s="588"/>
      <c r="C3" s="597"/>
      <c r="D3" s="505"/>
      <c r="E3" s="226" t="str">
        <f>IFERROR(VLOOKUP(TEXT(E4,"mm.yyyy"),HMG!$B$2:$C$1001, 2, FALSE),"")</f>
        <v>zapis KS</v>
      </c>
      <c r="F3" s="226" t="str">
        <f>IFERROR(VLOOKUP(TEXT(F4,"mm.yyyy"),HMG!$B$2:$C$1001, 2, FALSE),"")</f>
        <v/>
      </c>
      <c r="G3" s="226" t="str">
        <f>IFERROR(VLOOKUP(TEXT(G4,"mm.yyyy"),HMG!$B$2:$C$1001, 2, FALSE),"")</f>
        <v/>
      </c>
      <c r="H3" s="226" t="str">
        <f>IFERROR(VLOOKUP(TEXT(H4,"mm.yyyy"),HMG!$B$2:$C$1001, 2, FALSE),"")</f>
        <v/>
      </c>
      <c r="I3" s="226" t="str">
        <f>IFERROR(VLOOKUP(TEXT(I4,"mm.yyyy"),HMG!$B$2:$C$1001, 2, FALSE),"")</f>
        <v/>
      </c>
      <c r="J3" s="226" t="str">
        <f>IFERROR(VLOOKUP(TEXT(J4,"mm.yyyy"),HMG!$B$2:$C$1001, 2, FALSE),"")</f>
        <v/>
      </c>
      <c r="K3" s="226" t="str">
        <f>IFERROR(VLOOKUP(TEXT(K4,"mm.yyyy"),HMG!$B$2:$C$1001, 2, FALSE),"")</f>
        <v/>
      </c>
      <c r="L3" s="226" t="str">
        <f>IFERROR(VLOOKUP(TEXT(L4,"mm.yyyy"),HMG!$B$2:$C$1001, 2, FALSE),"")</f>
        <v/>
      </c>
      <c r="M3" s="226" t="str">
        <f>IFERROR(VLOOKUP(TEXT(M4,"mm.yyyy"),HMG!$B$2:$C$1001, 2, FALSE),"")</f>
        <v/>
      </c>
      <c r="N3" s="226" t="str">
        <f>IFERROR(VLOOKUP(TEXT(N4,"mm.yyyy"),HMG!$B$2:$C$1001, 2, FALSE),"")</f>
        <v/>
      </c>
      <c r="O3" s="226" t="str">
        <f>IFERROR(VLOOKUP(TEXT(O4,"mm.yyyy"),HMG!$B$2:$C$1001, 2, FALSE),"")</f>
        <v/>
      </c>
      <c r="P3" s="226" t="str">
        <f>IFERROR(VLOOKUP(TEXT(P4,"mm.yyyy"),HMG!$B$2:$C$1001, 2, FALSE),"")</f>
        <v/>
      </c>
      <c r="Q3" s="226" t="str">
        <f>IFERROR(VLOOKUP(TEXT(Q4,"mm.yyyy"),HMG!$B$2:$C$1001, 2, FALSE),"")</f>
        <v>zapis KS</v>
      </c>
      <c r="R3" s="226" t="str">
        <f>IFERROR(VLOOKUP(TEXT(R4,"mm.yyyy"),HMG!$B$2:$C$1001, 2, FALSE),"")</f>
        <v/>
      </c>
      <c r="S3" s="226" t="str">
        <f>IFERROR(VLOOKUP(TEXT(S4,"mm.yyyy"),HMG!$B$2:$C$1001, 2, FALSE),"")</f>
        <v/>
      </c>
      <c r="T3" s="226" t="str">
        <f>IFERROR(VLOOKUP(TEXT(T4,"mm.yyyy"),HMG!$B$2:$C$1001, 2, FALSE),"")</f>
        <v/>
      </c>
      <c r="U3" s="226" t="str">
        <f>IFERROR(VLOOKUP(TEXT(U4,"mm.yyyy"),HMG!$B$2:$C$1001, 2, FALSE),"")</f>
        <v/>
      </c>
      <c r="V3" s="226" t="str">
        <f>IFERROR(VLOOKUP(TEXT(V4,"mm.yyyy"),HMG!$B$2:$C$1001, 2, FALSE),"")</f>
        <v/>
      </c>
      <c r="W3" s="226" t="str">
        <f>IFERROR(VLOOKUP(TEXT(W4,"mm.yyyy"),HMG!$B$2:$C$1001, 2, FALSE),"")</f>
        <v/>
      </c>
      <c r="X3" s="226" t="str">
        <f>IFERROR(VLOOKUP(TEXT(X4,"mm.yyyy"),HMG!$B$2:$C$1001, 2, FALSE),"")</f>
        <v/>
      </c>
      <c r="Y3" s="226" t="str">
        <f>IFERROR(VLOOKUP(TEXT(Y4,"mm.yyyy"),HMG!$B$2:$C$1001, 2, FALSE),"")</f>
        <v/>
      </c>
      <c r="Z3" s="226" t="str">
        <f>IFERROR(VLOOKUP(TEXT(Z4,"mm.yyyy"),HMG!$B$2:$C$1001, 2, FALSE),"")</f>
        <v/>
      </c>
      <c r="AA3" s="226" t="str">
        <f>IFERROR(VLOOKUP(TEXT(AA4,"mm.yyyy"),HMG!$B$2:$C$1001, 2, FALSE),"")</f>
        <v/>
      </c>
      <c r="AB3" s="226" t="str">
        <f>IFERROR(VLOOKUP(TEXT(AB4,"mm.yyyy"),HMG!$B$2:$C$1001, 2, FALSE),"")</f>
        <v/>
      </c>
      <c r="AC3" s="226" t="str">
        <f>IFERROR(VLOOKUP(TEXT(AC4,"mm.yyyy"),HMG!$B$2:$C$1001, 2, FALSE),"")</f>
        <v>zapis KS</v>
      </c>
      <c r="AD3" s="226" t="str">
        <f>IFERROR(VLOOKUP(TEXT(AD4,"mm.yyyy"),HMG!$B$2:$C$1001, 2, FALSE),"")</f>
        <v/>
      </c>
      <c r="AE3" s="226" t="str">
        <f>IFERROR(VLOOKUP(TEXT(AE4,"mm.yyyy"),HMG!$B$2:$C$1001, 2, FALSE),"")</f>
        <v/>
      </c>
      <c r="AF3" s="226" t="str">
        <f>IFERROR(VLOOKUP(TEXT(AF4,"mm.yyyy"),HMG!$B$2:$C$1001, 2, FALSE),"")</f>
        <v/>
      </c>
      <c r="AG3" s="226" t="str">
        <f>IFERROR(VLOOKUP(TEXT(AG4,"mm.yyyy"),HMG!$B$2:$C$1001, 2, FALSE),"")</f>
        <v/>
      </c>
      <c r="AH3" s="226" t="str">
        <f>IFERROR(VLOOKUP(TEXT(AH4,"mm.yyyy"),HMG!$B$2:$C$1001, 2, FALSE),"")</f>
        <v/>
      </c>
      <c r="AI3" s="226" t="str">
        <f>IFERROR(VLOOKUP(TEXT(AI4,"mm.yyyy"),HMG!$B$2:$C$1001, 2, FALSE),"")</f>
        <v/>
      </c>
      <c r="AJ3" s="226" t="str">
        <f>IFERROR(VLOOKUP(TEXT(AJ4,"mm.yyyy"),HMG!$B$2:$C$1001, 2, FALSE),"")</f>
        <v/>
      </c>
      <c r="AK3" s="226" t="str">
        <f>IFERROR(VLOOKUP(TEXT(AK4,"mm.yyyy"),HMG!$B$2:$C$1001, 2, FALSE),"")</f>
        <v/>
      </c>
      <c r="AL3" s="226" t="str">
        <f>IFERROR(VLOOKUP(TEXT(AL4,"mm.yyyy"),HMG!$B$2:$C$1001, 2, FALSE),"")</f>
        <v/>
      </c>
      <c r="AM3" s="226" t="str">
        <f>IFERROR(VLOOKUP(TEXT(AM4,"mm.yyyy"),HMG!$B$2:$C$1001, 2, FALSE),"")</f>
        <v/>
      </c>
      <c r="AN3" s="226" t="str">
        <f>IFERROR(VLOOKUP(TEXT(AN4,"mm.yyyy"),HMG!$B$2:$C$1001, 2, FALSE),"")</f>
        <v/>
      </c>
      <c r="AO3" s="226" t="str">
        <f>IFERROR(VLOOKUP(TEXT(AO4,"mm.yyyy"),HMG!$B$2:$C$1001, 2, FALSE),"")</f>
        <v>zapis KS</v>
      </c>
      <c r="AP3" s="226" t="str">
        <f>IFERROR(VLOOKUP(TEXT(AP4,"mm.yyyy"),HMG!$B$2:$C$1001, 2, FALSE),"")</f>
        <v/>
      </c>
      <c r="AQ3" s="226" t="str">
        <f>IFERROR(VLOOKUP(TEXT(AQ4,"mm.yyyy"),HMG!$B$2:$C$1001, 2, FALSE),"")</f>
        <v/>
      </c>
      <c r="AR3" s="226" t="str">
        <f>IFERROR(VLOOKUP(TEXT(AR4,"mm.yyyy"),HMG!$B$2:$C$1001, 2, FALSE),"")</f>
        <v/>
      </c>
      <c r="AS3" s="226" t="str">
        <f>IFERROR(VLOOKUP(TEXT(AS4,"mm.yyyy"),HMG!$B$2:$C$1001, 2, FALSE),"")</f>
        <v/>
      </c>
      <c r="AT3" s="226" t="str">
        <f>IFERROR(VLOOKUP(TEXT(AT4,"mm.yyyy"),HMG!$B$2:$C$1001, 2, FALSE),"")</f>
        <v/>
      </c>
      <c r="AU3" s="226" t="str">
        <f>IFERROR(VLOOKUP(TEXT(AU4,"mm.yyyy"),HMG!$B$2:$C$1001, 2, FALSE),"")</f>
        <v/>
      </c>
      <c r="AV3" s="226" t="str">
        <f>IFERROR(VLOOKUP(TEXT(AV4,"mm.yyyy"),HMG!$B$2:$C$1001, 2, FALSE),"")</f>
        <v/>
      </c>
      <c r="AW3" s="226" t="str">
        <f>IFERROR(VLOOKUP(TEXT(AW4,"mm.yyyy"),HMG!$B$2:$C$1001, 2, FALSE),"")</f>
        <v/>
      </c>
      <c r="AX3" s="226" t="str">
        <f>IFERROR(VLOOKUP(TEXT(AX4,"mm.yyyy"),HMG!$B$2:$C$1001, 2, FALSE),"")</f>
        <v/>
      </c>
      <c r="AY3" s="226" t="str">
        <f>IFERROR(VLOOKUP(TEXT(AY4,"mm.yyyy"),HMG!$B$2:$C$1001, 2, FALSE),"")</f>
        <v/>
      </c>
      <c r="AZ3" s="226" t="str">
        <f>IFERROR(VLOOKUP(TEXT(AZ4,"mm.yyyy"),HMG!$B$2:$C$1001, 2, FALSE),"")</f>
        <v/>
      </c>
      <c r="BA3" s="226" t="str">
        <f>IFERROR(VLOOKUP(TEXT(BA4,"mm.yyyy"),HMG!$B$2:$C$1001, 2, FALSE),"")</f>
        <v>zapis KS</v>
      </c>
      <c r="BB3" s="226" t="str">
        <f>IFERROR(VLOOKUP(TEXT(BB4,"mm.yyyy"),HMG!$B$2:$C$1001, 2, FALSE),"")</f>
        <v/>
      </c>
      <c r="BC3" s="226" t="str">
        <f>IFERROR(VLOOKUP(TEXT(BC4,"mm.yyyy"),HMG!$B$2:$C$1001, 2, FALSE),"")</f>
        <v/>
      </c>
      <c r="BD3" s="226" t="str">
        <f>IFERROR(VLOOKUP(TEXT(BD4,"mm.yyyy"),HMG!$B$2:$C$1001, 2, FALSE),"")</f>
        <v/>
      </c>
      <c r="BE3" s="226" t="str">
        <f>IFERROR(VLOOKUP(TEXT(BE4,"mm.yyyy"),HMG!$B$2:$C$1001, 2, FALSE),"")</f>
        <v/>
      </c>
      <c r="BF3" s="226" t="str">
        <f>IFERROR(VLOOKUP(TEXT(BF4,"mm.yyyy"),HMG!$B$2:$C$1001, 2, FALSE),"")</f>
        <v/>
      </c>
      <c r="BG3" s="226" t="str">
        <f>IFERROR(VLOOKUP(TEXT(BG4,"mm.yyyy"),HMG!$B$2:$C$1001, 2, FALSE),"")</f>
        <v/>
      </c>
      <c r="BH3" s="226" t="str">
        <f>IFERROR(VLOOKUP(TEXT(BH4,"mm.yyyy"),HMG!$B$2:$C$1001, 2, FALSE),"")</f>
        <v/>
      </c>
      <c r="BI3" s="226" t="str">
        <f>IFERROR(VLOOKUP(TEXT(BI4,"mm.yyyy"),HMG!$B$2:$C$1001, 2, FALSE),"")</f>
        <v/>
      </c>
      <c r="BJ3" s="226" t="str">
        <f>IFERROR(VLOOKUP(TEXT(BJ4,"mm.yyyy"),HMG!$B$2:$C$1001, 2, FALSE),"")</f>
        <v/>
      </c>
      <c r="BK3" s="226" t="str">
        <f>IFERROR(VLOOKUP(TEXT(BK4,"mm.yyyy"),HMG!$B$2:$C$1001, 2, FALSE),"")</f>
        <v/>
      </c>
      <c r="BL3" s="226" t="str">
        <f>IFERROR(VLOOKUP(TEXT(BL4,"mm.yyyy"),HMG!$B$2:$C$1001, 2, FALSE),"")</f>
        <v/>
      </c>
      <c r="BM3" s="226" t="str">
        <f>IFERROR(VLOOKUP(TEXT(BM4,"mm.yyyy"),HMG!$B$2:$C$1001, 2, FALSE),"")</f>
        <v>zapis KS</v>
      </c>
      <c r="BN3" s="226" t="str">
        <f>IFERROR(VLOOKUP(TEXT(BN4,"mm.yyyy"),HMG!$B$2:$C$1001, 2, FALSE),"")</f>
        <v/>
      </c>
      <c r="BO3" s="226" t="str">
        <f>IFERROR(VLOOKUP(TEXT(BO4,"mm.yyyy"),HMG!$B$2:$C$1001, 2, FALSE),"")</f>
        <v/>
      </c>
      <c r="BP3" s="226" t="str">
        <f>IFERROR(VLOOKUP(TEXT(BP4,"mm.yyyy"),HMG!$B$2:$C$1001, 2, FALSE),"")</f>
        <v/>
      </c>
      <c r="BQ3" s="226" t="str">
        <f>IFERROR(VLOOKUP(TEXT(BQ4,"mm.yyyy"),HMG!$B$2:$C$1001, 2, FALSE),"")</f>
        <v/>
      </c>
      <c r="BR3" s="226" t="str">
        <f>IFERROR(VLOOKUP(TEXT(BR4,"mm.yyyy"),HMG!$B$2:$C$1001, 2, FALSE),"")</f>
        <v/>
      </c>
      <c r="BS3" s="226" t="str">
        <f>IFERROR(VLOOKUP(TEXT(BS4,"mm.yyyy"),HMG!$B$2:$C$1001, 2, FALSE),"")</f>
        <v/>
      </c>
      <c r="BT3" s="226" t="str">
        <f>IFERROR(VLOOKUP(TEXT(BT4,"mm.yyyy"),HMG!$B$2:$C$1001, 2, FALSE),"")</f>
        <v/>
      </c>
      <c r="BU3" s="226" t="str">
        <f>IFERROR(VLOOKUP(TEXT(BU4,"mm.yyyy"),HMG!$B$2:$C$1001, 2, FALSE),"")</f>
        <v/>
      </c>
      <c r="BV3" s="226" t="str">
        <f>IFERROR(VLOOKUP(TEXT(BV4,"mm.yyyy"),HMG!$B$2:$C$1001, 2, FALSE),"")</f>
        <v/>
      </c>
      <c r="BW3" s="226" t="str">
        <f>IFERROR(VLOOKUP(TEXT(BW4,"mm.yyyy"),HMG!$B$2:$C$1001, 2, FALSE),"")</f>
        <v/>
      </c>
      <c r="BX3" s="226" t="str">
        <f>IFERROR(VLOOKUP(TEXT(BX4,"mm.yyyy"),HMG!$B$2:$C$1001, 2, FALSE),"")</f>
        <v/>
      </c>
      <c r="BY3" s="588"/>
      <c r="BZ3" s="597"/>
      <c r="CA3" s="222"/>
      <c r="CB3" s="222" t="s">
        <v>202</v>
      </c>
      <c r="CC3" s="222" t="s">
        <v>203</v>
      </c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2"/>
      <c r="CV3" s="222"/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</row>
    <row r="4" spans="1:138">
      <c r="A4" s="505"/>
      <c r="B4" s="591"/>
      <c r="C4" s="592"/>
      <c r="D4" s="506"/>
      <c r="E4" s="227">
        <v>45292</v>
      </c>
      <c r="F4" s="227">
        <v>45323</v>
      </c>
      <c r="G4" s="227">
        <v>45352</v>
      </c>
      <c r="H4" s="227">
        <v>45383</v>
      </c>
      <c r="I4" s="227">
        <v>45413</v>
      </c>
      <c r="J4" s="227">
        <v>45444</v>
      </c>
      <c r="K4" s="227">
        <v>45474</v>
      </c>
      <c r="L4" s="227">
        <v>45505</v>
      </c>
      <c r="M4" s="227">
        <v>45536</v>
      </c>
      <c r="N4" s="227">
        <v>45566</v>
      </c>
      <c r="O4" s="227">
        <v>45597</v>
      </c>
      <c r="P4" s="227">
        <v>45627</v>
      </c>
      <c r="Q4" s="227">
        <v>45658</v>
      </c>
      <c r="R4" s="227">
        <v>45689</v>
      </c>
      <c r="S4" s="227">
        <v>45717</v>
      </c>
      <c r="T4" s="227">
        <v>45748</v>
      </c>
      <c r="U4" s="227">
        <v>45778</v>
      </c>
      <c r="V4" s="227">
        <v>45809</v>
      </c>
      <c r="W4" s="227">
        <v>45839</v>
      </c>
      <c r="X4" s="227">
        <v>45870</v>
      </c>
      <c r="Y4" s="227">
        <v>45901</v>
      </c>
      <c r="Z4" s="227">
        <v>45931</v>
      </c>
      <c r="AA4" s="227">
        <v>45962</v>
      </c>
      <c r="AB4" s="227">
        <v>45992</v>
      </c>
      <c r="AC4" s="227">
        <v>46023</v>
      </c>
      <c r="AD4" s="227">
        <v>46054</v>
      </c>
      <c r="AE4" s="227">
        <v>46082</v>
      </c>
      <c r="AF4" s="227">
        <v>46113</v>
      </c>
      <c r="AG4" s="227">
        <v>46143</v>
      </c>
      <c r="AH4" s="227">
        <v>46174</v>
      </c>
      <c r="AI4" s="227">
        <v>46204</v>
      </c>
      <c r="AJ4" s="227">
        <v>46235</v>
      </c>
      <c r="AK4" s="227">
        <v>46266</v>
      </c>
      <c r="AL4" s="227">
        <v>46296</v>
      </c>
      <c r="AM4" s="227">
        <v>46327</v>
      </c>
      <c r="AN4" s="227">
        <v>46357</v>
      </c>
      <c r="AO4" s="227">
        <v>46388</v>
      </c>
      <c r="AP4" s="227">
        <v>46419</v>
      </c>
      <c r="AQ4" s="227">
        <v>46447</v>
      </c>
      <c r="AR4" s="227">
        <v>46478</v>
      </c>
      <c r="AS4" s="227">
        <v>46508</v>
      </c>
      <c r="AT4" s="227">
        <v>46539</v>
      </c>
      <c r="AU4" s="227">
        <v>46569</v>
      </c>
      <c r="AV4" s="227">
        <v>46600</v>
      </c>
      <c r="AW4" s="227">
        <v>46631</v>
      </c>
      <c r="AX4" s="227">
        <v>46661</v>
      </c>
      <c r="AY4" s="227">
        <v>46692</v>
      </c>
      <c r="AZ4" s="227">
        <v>46722</v>
      </c>
      <c r="BA4" s="227">
        <v>46753</v>
      </c>
      <c r="BB4" s="227">
        <v>46784</v>
      </c>
      <c r="BC4" s="227">
        <v>46813</v>
      </c>
      <c r="BD4" s="227">
        <v>46844</v>
      </c>
      <c r="BE4" s="227">
        <v>46874</v>
      </c>
      <c r="BF4" s="227">
        <v>46905</v>
      </c>
      <c r="BG4" s="227">
        <v>46935</v>
      </c>
      <c r="BH4" s="227">
        <v>46966</v>
      </c>
      <c r="BI4" s="227">
        <v>46997</v>
      </c>
      <c r="BJ4" s="227">
        <v>47027</v>
      </c>
      <c r="BK4" s="227">
        <v>47058</v>
      </c>
      <c r="BL4" s="227">
        <v>47088</v>
      </c>
      <c r="BM4" s="227">
        <v>47119</v>
      </c>
      <c r="BN4" s="227">
        <v>47150</v>
      </c>
      <c r="BO4" s="227">
        <v>47178</v>
      </c>
      <c r="BP4" s="227">
        <v>47209</v>
      </c>
      <c r="BQ4" s="227">
        <v>47239</v>
      </c>
      <c r="BR4" s="227">
        <v>47270</v>
      </c>
      <c r="BS4" s="227">
        <v>47300</v>
      </c>
      <c r="BT4" s="227">
        <v>47331</v>
      </c>
      <c r="BU4" s="227">
        <v>47362</v>
      </c>
      <c r="BV4" s="227">
        <v>47392</v>
      </c>
      <c r="BW4" s="227">
        <v>47423</v>
      </c>
      <c r="BX4" s="227">
        <v>47453</v>
      </c>
      <c r="BY4" s="591"/>
      <c r="BZ4" s="592"/>
      <c r="CA4" s="222"/>
      <c r="CB4" s="222" t="s">
        <v>63</v>
      </c>
      <c r="CC4" s="222"/>
      <c r="CD4" s="222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2"/>
      <c r="CV4" s="222"/>
      <c r="CW4" s="222"/>
      <c r="CX4" s="222"/>
      <c r="CY4" s="222"/>
      <c r="CZ4" s="222"/>
      <c r="DA4" s="222"/>
      <c r="DB4" s="222"/>
      <c r="DC4" s="222"/>
      <c r="DD4" s="222"/>
      <c r="DE4" s="222"/>
      <c r="DF4" s="222"/>
      <c r="DG4" s="222"/>
      <c r="DH4" s="222"/>
      <c r="DI4" s="222"/>
      <c r="DJ4" s="222"/>
      <c r="DK4" s="222"/>
      <c r="DL4" s="222"/>
      <c r="DM4" s="222"/>
      <c r="DN4" s="222"/>
      <c r="DO4" s="222"/>
      <c r="DP4" s="222"/>
      <c r="DQ4" s="222"/>
      <c r="DR4" s="222"/>
      <c r="DS4" s="222"/>
      <c r="DT4" s="222"/>
      <c r="DU4" s="222"/>
      <c r="DV4" s="222"/>
      <c r="DW4" s="222"/>
      <c r="DX4" s="222"/>
      <c r="DY4" s="222"/>
      <c r="DZ4" s="222"/>
      <c r="EA4" s="222"/>
      <c r="EB4" s="222"/>
      <c r="EC4" s="222"/>
      <c r="ED4" s="222"/>
      <c r="EE4" s="222"/>
      <c r="EF4" s="222"/>
      <c r="EG4" s="222"/>
      <c r="EH4" s="222"/>
    </row>
    <row r="5" spans="1:138">
      <c r="A5" s="505"/>
      <c r="B5" s="568" t="s">
        <v>204</v>
      </c>
      <c r="C5" s="228" t="s">
        <v>205</v>
      </c>
      <c r="D5" s="229" t="s">
        <v>206</v>
      </c>
      <c r="E5" s="230"/>
      <c r="F5" s="231"/>
      <c r="G5" s="231"/>
      <c r="H5" s="231">
        <f>16365002</f>
        <v>16365002</v>
      </c>
      <c r="I5" s="231"/>
      <c r="J5" s="231"/>
      <c r="K5" s="231"/>
      <c r="L5" s="231"/>
      <c r="M5" s="231"/>
      <c r="N5" s="231"/>
      <c r="O5" s="231">
        <v>3000000</v>
      </c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2"/>
      <c r="BY5" s="233">
        <f t="shared" ref="BY5:BY15" si="0">SUM(E5:BX5)</f>
        <v>19365002</v>
      </c>
      <c r="BZ5" s="561">
        <f>SUM(BY5:BY8)</f>
        <v>22465002</v>
      </c>
      <c r="CA5" s="222"/>
      <c r="CB5" s="233">
        <f t="shared" ref="CB5:CB15" si="1">SUM(H5:CA5)</f>
        <v>61195006</v>
      </c>
      <c r="CC5" s="561">
        <f>SUM(CB5:CB8)</f>
        <v>128715673</v>
      </c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</row>
    <row r="6" spans="1:138">
      <c r="A6" s="505"/>
      <c r="B6" s="600"/>
      <c r="C6" s="228" t="s">
        <v>207</v>
      </c>
      <c r="D6" s="229" t="s">
        <v>206</v>
      </c>
      <c r="E6" s="231"/>
      <c r="F6" s="231"/>
      <c r="G6" s="231"/>
      <c r="H6" s="231"/>
      <c r="I6" s="231">
        <v>1000000</v>
      </c>
      <c r="J6" s="231"/>
      <c r="K6" s="231"/>
      <c r="L6" s="231"/>
      <c r="M6" s="231"/>
      <c r="N6" s="231"/>
      <c r="O6" s="231"/>
      <c r="P6" s="231">
        <v>2100000</v>
      </c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28"/>
      <c r="BY6" s="233">
        <f t="shared" si="0"/>
        <v>3100000</v>
      </c>
      <c r="BZ6" s="597"/>
      <c r="CA6" s="222">
        <f>9870667</f>
        <v>9870667</v>
      </c>
      <c r="CB6" s="233">
        <f t="shared" si="1"/>
        <v>16070667</v>
      </c>
      <c r="CC6" s="597"/>
      <c r="CD6" s="222"/>
      <c r="CE6" s="222"/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</row>
    <row r="7" spans="1:138">
      <c r="A7" s="505"/>
      <c r="B7" s="600"/>
      <c r="C7" s="234" t="s">
        <v>208</v>
      </c>
      <c r="D7" s="229" t="s">
        <v>206</v>
      </c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28"/>
      <c r="BY7" s="233">
        <f t="shared" si="0"/>
        <v>0</v>
      </c>
      <c r="BZ7" s="597"/>
      <c r="CA7" s="222">
        <f>2100000*24.5</f>
        <v>51450000</v>
      </c>
      <c r="CB7" s="233">
        <f t="shared" si="1"/>
        <v>51450000</v>
      </c>
      <c r="CC7" s="597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</row>
    <row r="8" spans="1:138">
      <c r="A8" s="505"/>
      <c r="B8" s="601"/>
      <c r="C8" s="234" t="s">
        <v>209</v>
      </c>
      <c r="D8" s="235" t="s">
        <v>206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4"/>
      <c r="BY8" s="237">
        <f t="shared" si="0"/>
        <v>0</v>
      </c>
      <c r="BZ8" s="592"/>
      <c r="CA8" s="222"/>
      <c r="CB8" s="237">
        <f t="shared" si="1"/>
        <v>0</v>
      </c>
      <c r="CC8" s="592"/>
      <c r="CD8" s="222"/>
      <c r="CE8" s="222"/>
      <c r="CF8" s="222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</row>
    <row r="9" spans="1:138">
      <c r="A9" s="505"/>
      <c r="B9" s="568" t="s">
        <v>210</v>
      </c>
      <c r="C9" s="232" t="s">
        <v>211</v>
      </c>
      <c r="D9" s="229" t="s">
        <v>206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2"/>
      <c r="BY9" s="233">
        <f t="shared" si="0"/>
        <v>0</v>
      </c>
      <c r="BZ9" s="561">
        <f>SUM(BY9:BY11)</f>
        <v>51450000</v>
      </c>
      <c r="CA9" s="222"/>
      <c r="CB9" s="233">
        <f t="shared" si="1"/>
        <v>51450000</v>
      </c>
      <c r="CC9" s="561">
        <f>SUM(CB9:CB11)</f>
        <v>154350000</v>
      </c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</row>
    <row r="10" spans="1:138">
      <c r="A10" s="505"/>
      <c r="B10" s="600"/>
      <c r="C10" s="232" t="s">
        <v>326</v>
      </c>
      <c r="D10" s="229" t="s">
        <v>206</v>
      </c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28"/>
      <c r="BY10" s="233">
        <f t="shared" si="0"/>
        <v>0</v>
      </c>
      <c r="BZ10" s="597"/>
      <c r="CA10" s="222"/>
      <c r="CB10" s="233">
        <f t="shared" si="1"/>
        <v>0</v>
      </c>
      <c r="CC10" s="597"/>
      <c r="CD10" s="222"/>
      <c r="CE10" s="222">
        <f>BY5+BY11</f>
        <v>70815002</v>
      </c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</row>
    <row r="11" spans="1:138">
      <c r="A11" s="505"/>
      <c r="B11" s="599"/>
      <c r="C11" s="234" t="s">
        <v>213</v>
      </c>
      <c r="D11" s="235" t="s">
        <v>206</v>
      </c>
      <c r="E11" s="236"/>
      <c r="F11" s="236"/>
      <c r="G11" s="236"/>
      <c r="H11" s="236"/>
      <c r="I11" s="236"/>
      <c r="J11" s="236"/>
      <c r="K11" s="236">
        <f>22000000</f>
        <v>22000000</v>
      </c>
      <c r="L11" s="236"/>
      <c r="M11" s="236">
        <f>CA7-K11</f>
        <v>29450000</v>
      </c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9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4"/>
      <c r="BY11" s="237">
        <f t="shared" si="0"/>
        <v>51450000</v>
      </c>
      <c r="BZ11" s="602"/>
      <c r="CA11" s="241"/>
      <c r="CB11" s="237">
        <f t="shared" si="1"/>
        <v>102900000</v>
      </c>
      <c r="CC11" s="602"/>
      <c r="CD11" s="241"/>
      <c r="CE11" s="241">
        <f>BY11/CE10</f>
        <v>0.72654096655959988</v>
      </c>
      <c r="CF11" s="241">
        <f>BY11/2100000</f>
        <v>24.5</v>
      </c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</row>
    <row r="12" spans="1:138">
      <c r="A12" s="505"/>
      <c r="B12" s="568" t="s">
        <v>214</v>
      </c>
      <c r="C12" s="228" t="s">
        <v>215</v>
      </c>
      <c r="D12" s="229" t="s">
        <v>206</v>
      </c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>
        <f>SUM(Rentroll!$M$2:$M$4)</f>
        <v>613130.50199999986</v>
      </c>
      <c r="R12" s="230">
        <f>SUM(Rentroll!$M$2:$M$4)</f>
        <v>613130.50199999986</v>
      </c>
      <c r="S12" s="230">
        <f>SUM(Rentroll!$M$2:$M$4)</f>
        <v>613130.50199999986</v>
      </c>
      <c r="T12" s="230">
        <f>SUM(Rentroll!$M$2:$M$4)</f>
        <v>613130.50199999986</v>
      </c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2"/>
      <c r="BY12" s="233">
        <f t="shared" si="0"/>
        <v>2452522.0079999994</v>
      </c>
      <c r="BZ12" s="561">
        <f>SUM(BY12:BY15)</f>
        <v>146511019.28724289</v>
      </c>
      <c r="CA12" s="222"/>
      <c r="CB12" s="233">
        <f t="shared" si="1"/>
        <v>151416063.30324289</v>
      </c>
      <c r="CC12" s="561">
        <f>SUM(CB12:CB15)</f>
        <v>439533057.86172867</v>
      </c>
      <c r="CD12" s="222"/>
      <c r="CE12" s="238">
        <f>BY5/CE10</f>
        <v>0.27345903344040012</v>
      </c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</row>
    <row r="13" spans="1:138">
      <c r="A13" s="505"/>
      <c r="B13" s="600"/>
      <c r="C13" s="228" t="s">
        <v>216</v>
      </c>
      <c r="D13" s="229" t="s">
        <v>206</v>
      </c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>
        <f>Businessplan_prodej!J25</f>
        <v>138882598.15999994</v>
      </c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2"/>
      <c r="BY13" s="233">
        <f t="shared" si="0"/>
        <v>138882598.15999994</v>
      </c>
      <c r="BZ13" s="597"/>
      <c r="CA13" s="222"/>
      <c r="CB13" s="233">
        <f t="shared" si="1"/>
        <v>277765196.31999987</v>
      </c>
      <c r="CC13" s="597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</row>
    <row r="14" spans="1:138">
      <c r="A14" s="505"/>
      <c r="B14" s="600"/>
      <c r="C14" s="228" t="s">
        <v>7</v>
      </c>
      <c r="D14" s="229" t="s">
        <v>217</v>
      </c>
      <c r="E14" s="231"/>
      <c r="F14" s="231"/>
      <c r="G14" s="231"/>
      <c r="H14" s="231"/>
      <c r="I14" s="231"/>
      <c r="J14" s="231"/>
      <c r="K14" s="231">
        <f t="shared" ref="K14:O14" si="2">-(SUM(I17,I23,I37)-SUM(I17,I23,I37)/1.21)</f>
        <v>619922.46284627263</v>
      </c>
      <c r="L14" s="231">
        <f t="shared" si="2"/>
        <v>124393.88471074379</v>
      </c>
      <c r="M14" s="231">
        <f t="shared" si="2"/>
        <v>188183.48471074377</v>
      </c>
      <c r="N14" s="231">
        <f t="shared" si="2"/>
        <v>80293.88471074379</v>
      </c>
      <c r="O14" s="231">
        <f t="shared" si="2"/>
        <v>80293.88471074379</v>
      </c>
      <c r="P14" s="231">
        <f>-O15+4000000-(SUM(M17,M23,M37)-SUM(M17,M23,M37)/1.21)</f>
        <v>-759706.11528925621</v>
      </c>
      <c r="Q14" s="231">
        <f>-(SUM(M17,M23,M37)-SUM(M17,M23,M37)/1.21)</f>
        <v>80293.88471074379</v>
      </c>
      <c r="R14" s="231">
        <f>-(SUM(Rentroll!$H$2:$H$4)+Rentroll!$K$2)-(SUM(M17,M23,M37)-SUM(M17,M23,M37)/1.21)</f>
        <v>-25925.417289256206</v>
      </c>
      <c r="S14" s="231">
        <f>-(SUM(Rentroll!$H$2:$H$4)+Rentroll!$K$2)-(SUM(M17,M23,M37)-SUM(M17,M23,M37)/1.21)</f>
        <v>-25925.417289256206</v>
      </c>
      <c r="T14" s="231">
        <f>-(SUM(Rentroll!$H$2:$H$4)+Rentroll!$K$2)-(SUM(N17,N23,N37)-SUM(N17,N23,N37)/1.21)</f>
        <v>-25925.417289256206</v>
      </c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28"/>
      <c r="BY14" s="233">
        <f t="shared" si="0"/>
        <v>335899.11924296676</v>
      </c>
      <c r="BZ14" s="597"/>
      <c r="CA14" s="222"/>
      <c r="CB14" s="233">
        <f t="shared" si="1"/>
        <v>671798.23848593351</v>
      </c>
      <c r="CC14" s="597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</row>
    <row r="15" spans="1:138">
      <c r="A15" s="505"/>
      <c r="B15" s="599"/>
      <c r="C15" s="234" t="s">
        <v>218</v>
      </c>
      <c r="D15" s="235" t="s">
        <v>217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>
        <f>4000000*1.21</f>
        <v>4840000</v>
      </c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4"/>
      <c r="BY15" s="237">
        <f t="shared" si="0"/>
        <v>4840000</v>
      </c>
      <c r="BZ15" s="602"/>
      <c r="CA15" s="222"/>
      <c r="CB15" s="237">
        <f t="shared" si="1"/>
        <v>9680000</v>
      </c>
      <c r="CC15" s="60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</row>
    <row r="16" spans="1:138" ht="15.95">
      <c r="A16" s="505"/>
      <c r="B16" s="569" t="s">
        <v>219</v>
      </c>
      <c r="C16" s="592"/>
      <c r="D16" s="242"/>
      <c r="E16" s="243">
        <f t="shared" ref="E16:BX16" si="3">SUM(E5:E15)</f>
        <v>0</v>
      </c>
      <c r="F16" s="243">
        <f t="shared" si="3"/>
        <v>0</v>
      </c>
      <c r="G16" s="243">
        <f t="shared" si="3"/>
        <v>0</v>
      </c>
      <c r="H16" s="243">
        <f t="shared" si="3"/>
        <v>16365002</v>
      </c>
      <c r="I16" s="243">
        <f t="shared" si="3"/>
        <v>1000000</v>
      </c>
      <c r="J16" s="243">
        <f t="shared" si="3"/>
        <v>0</v>
      </c>
      <c r="K16" s="243">
        <f t="shared" si="3"/>
        <v>22619922.462846272</v>
      </c>
      <c r="L16" s="243">
        <f t="shared" si="3"/>
        <v>124393.88471074379</v>
      </c>
      <c r="M16" s="243">
        <f t="shared" si="3"/>
        <v>29638183.484710746</v>
      </c>
      <c r="N16" s="243">
        <f t="shared" si="3"/>
        <v>80293.88471074379</v>
      </c>
      <c r="O16" s="243">
        <f t="shared" si="3"/>
        <v>7920293.884710744</v>
      </c>
      <c r="P16" s="243">
        <f t="shared" si="3"/>
        <v>1340293.8847107438</v>
      </c>
      <c r="Q16" s="243">
        <f t="shared" si="3"/>
        <v>693424.38671074365</v>
      </c>
      <c r="R16" s="243">
        <f t="shared" si="3"/>
        <v>587205.08471074363</v>
      </c>
      <c r="S16" s="243">
        <f t="shared" si="3"/>
        <v>587205.08471074363</v>
      </c>
      <c r="T16" s="243">
        <f t="shared" si="3"/>
        <v>139469803.24471068</v>
      </c>
      <c r="U16" s="243">
        <f t="shared" si="3"/>
        <v>0</v>
      </c>
      <c r="V16" s="243">
        <f t="shared" si="3"/>
        <v>0</v>
      </c>
      <c r="W16" s="243">
        <f t="shared" si="3"/>
        <v>0</v>
      </c>
      <c r="X16" s="243">
        <f t="shared" si="3"/>
        <v>0</v>
      </c>
      <c r="Y16" s="243">
        <f t="shared" si="3"/>
        <v>0</v>
      </c>
      <c r="Z16" s="243">
        <f t="shared" si="3"/>
        <v>0</v>
      </c>
      <c r="AA16" s="243">
        <f t="shared" si="3"/>
        <v>0</v>
      </c>
      <c r="AB16" s="243">
        <f t="shared" si="3"/>
        <v>0</v>
      </c>
      <c r="AC16" s="243">
        <f t="shared" si="3"/>
        <v>0</v>
      </c>
      <c r="AD16" s="243">
        <f t="shared" si="3"/>
        <v>0</v>
      </c>
      <c r="AE16" s="243">
        <f t="shared" si="3"/>
        <v>0</v>
      </c>
      <c r="AF16" s="243">
        <f t="shared" si="3"/>
        <v>0</v>
      </c>
      <c r="AG16" s="243">
        <f t="shared" si="3"/>
        <v>0</v>
      </c>
      <c r="AH16" s="243">
        <f t="shared" si="3"/>
        <v>0</v>
      </c>
      <c r="AI16" s="243">
        <f t="shared" si="3"/>
        <v>0</v>
      </c>
      <c r="AJ16" s="243">
        <f t="shared" si="3"/>
        <v>0</v>
      </c>
      <c r="AK16" s="243">
        <f t="shared" si="3"/>
        <v>0</v>
      </c>
      <c r="AL16" s="243">
        <f t="shared" si="3"/>
        <v>0</v>
      </c>
      <c r="AM16" s="243">
        <f t="shared" si="3"/>
        <v>0</v>
      </c>
      <c r="AN16" s="243">
        <f t="shared" si="3"/>
        <v>0</v>
      </c>
      <c r="AO16" s="243">
        <f t="shared" si="3"/>
        <v>0</v>
      </c>
      <c r="AP16" s="243">
        <f t="shared" si="3"/>
        <v>0</v>
      </c>
      <c r="AQ16" s="243">
        <f t="shared" si="3"/>
        <v>0</v>
      </c>
      <c r="AR16" s="243">
        <f t="shared" si="3"/>
        <v>0</v>
      </c>
      <c r="AS16" s="243">
        <f t="shared" si="3"/>
        <v>0</v>
      </c>
      <c r="AT16" s="243">
        <f t="shared" si="3"/>
        <v>0</v>
      </c>
      <c r="AU16" s="243">
        <f t="shared" si="3"/>
        <v>0</v>
      </c>
      <c r="AV16" s="243">
        <f t="shared" si="3"/>
        <v>0</v>
      </c>
      <c r="AW16" s="243">
        <f t="shared" si="3"/>
        <v>0</v>
      </c>
      <c r="AX16" s="243">
        <f t="shared" si="3"/>
        <v>0</v>
      </c>
      <c r="AY16" s="243">
        <f t="shared" si="3"/>
        <v>0</v>
      </c>
      <c r="AZ16" s="243">
        <f t="shared" si="3"/>
        <v>0</v>
      </c>
      <c r="BA16" s="243">
        <f t="shared" si="3"/>
        <v>0</v>
      </c>
      <c r="BB16" s="243">
        <f t="shared" si="3"/>
        <v>0</v>
      </c>
      <c r="BC16" s="243">
        <f t="shared" si="3"/>
        <v>0</v>
      </c>
      <c r="BD16" s="243">
        <f t="shared" si="3"/>
        <v>0</v>
      </c>
      <c r="BE16" s="243">
        <f t="shared" si="3"/>
        <v>0</v>
      </c>
      <c r="BF16" s="243">
        <f t="shared" si="3"/>
        <v>0</v>
      </c>
      <c r="BG16" s="243">
        <f t="shared" si="3"/>
        <v>0</v>
      </c>
      <c r="BH16" s="243">
        <f t="shared" si="3"/>
        <v>0</v>
      </c>
      <c r="BI16" s="243">
        <f t="shared" si="3"/>
        <v>0</v>
      </c>
      <c r="BJ16" s="243">
        <f t="shared" si="3"/>
        <v>0</v>
      </c>
      <c r="BK16" s="243">
        <f t="shared" si="3"/>
        <v>0</v>
      </c>
      <c r="BL16" s="243">
        <f t="shared" si="3"/>
        <v>0</v>
      </c>
      <c r="BM16" s="243">
        <f t="shared" si="3"/>
        <v>0</v>
      </c>
      <c r="BN16" s="243">
        <f t="shared" si="3"/>
        <v>0</v>
      </c>
      <c r="BO16" s="243">
        <f t="shared" si="3"/>
        <v>0</v>
      </c>
      <c r="BP16" s="243">
        <f t="shared" si="3"/>
        <v>0</v>
      </c>
      <c r="BQ16" s="243">
        <f t="shared" si="3"/>
        <v>0</v>
      </c>
      <c r="BR16" s="243">
        <f t="shared" si="3"/>
        <v>0</v>
      </c>
      <c r="BS16" s="243">
        <f t="shared" si="3"/>
        <v>0</v>
      </c>
      <c r="BT16" s="243">
        <f t="shared" si="3"/>
        <v>0</v>
      </c>
      <c r="BU16" s="243">
        <f t="shared" si="3"/>
        <v>0</v>
      </c>
      <c r="BV16" s="243">
        <f t="shared" si="3"/>
        <v>0</v>
      </c>
      <c r="BW16" s="243">
        <f t="shared" si="3"/>
        <v>0</v>
      </c>
      <c r="BX16" s="243">
        <f t="shared" si="3"/>
        <v>0</v>
      </c>
      <c r="BY16" s="563">
        <f>BZ5+BZ9+BZ12</f>
        <v>220426021.28724289</v>
      </c>
      <c r="BZ16" s="592"/>
      <c r="CA16" s="222"/>
      <c r="CB16" s="563">
        <f>CC5+CC9+CC12</f>
        <v>722598730.86172867</v>
      </c>
      <c r="CC16" s="59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</row>
    <row r="17" spans="1:138" ht="15.95">
      <c r="A17" s="505"/>
      <c r="B17" s="570" t="s">
        <v>220</v>
      </c>
      <c r="C17" s="244" t="s">
        <v>221</v>
      </c>
      <c r="D17" s="245"/>
      <c r="E17" s="246">
        <f t="shared" ref="E17:BY17" si="4">SUM(E18:E22)</f>
        <v>0</v>
      </c>
      <c r="F17" s="246">
        <f t="shared" si="4"/>
        <v>0</v>
      </c>
      <c r="G17" s="246">
        <f t="shared" si="4"/>
        <v>0</v>
      </c>
      <c r="H17" s="246">
        <f t="shared" si="4"/>
        <v>-10620712</v>
      </c>
      <c r="I17" s="246">
        <f t="shared" si="4"/>
        <v>-836061.6</v>
      </c>
      <c r="J17" s="246">
        <f t="shared" si="4"/>
        <v>0</v>
      </c>
      <c r="K17" s="246">
        <f t="shared" si="4"/>
        <v>0</v>
      </c>
      <c r="L17" s="246">
        <f t="shared" si="4"/>
        <v>0</v>
      </c>
      <c r="M17" s="246">
        <f t="shared" si="4"/>
        <v>0</v>
      </c>
      <c r="N17" s="246">
        <f t="shared" si="4"/>
        <v>0</v>
      </c>
      <c r="O17" s="246">
        <f t="shared" si="4"/>
        <v>0</v>
      </c>
      <c r="P17" s="246">
        <f t="shared" si="4"/>
        <v>0</v>
      </c>
      <c r="Q17" s="246">
        <f t="shared" si="4"/>
        <v>0</v>
      </c>
      <c r="R17" s="246">
        <f t="shared" si="4"/>
        <v>0</v>
      </c>
      <c r="S17" s="246">
        <f t="shared" si="4"/>
        <v>0</v>
      </c>
      <c r="T17" s="246">
        <f t="shared" si="4"/>
        <v>0</v>
      </c>
      <c r="U17" s="246">
        <f t="shared" si="4"/>
        <v>0</v>
      </c>
      <c r="V17" s="246">
        <f t="shared" si="4"/>
        <v>0</v>
      </c>
      <c r="W17" s="246">
        <f t="shared" si="4"/>
        <v>0</v>
      </c>
      <c r="X17" s="246">
        <f t="shared" si="4"/>
        <v>0</v>
      </c>
      <c r="Y17" s="246">
        <f t="shared" si="4"/>
        <v>0</v>
      </c>
      <c r="Z17" s="246">
        <f t="shared" si="4"/>
        <v>0</v>
      </c>
      <c r="AA17" s="246">
        <f t="shared" si="4"/>
        <v>0</v>
      </c>
      <c r="AB17" s="246">
        <f t="shared" si="4"/>
        <v>0</v>
      </c>
      <c r="AC17" s="246">
        <f t="shared" si="4"/>
        <v>0</v>
      </c>
      <c r="AD17" s="246">
        <f t="shared" si="4"/>
        <v>0</v>
      </c>
      <c r="AE17" s="246">
        <f t="shared" si="4"/>
        <v>0</v>
      </c>
      <c r="AF17" s="246">
        <f t="shared" si="4"/>
        <v>0</v>
      </c>
      <c r="AG17" s="246">
        <f t="shared" si="4"/>
        <v>0</v>
      </c>
      <c r="AH17" s="246">
        <f t="shared" si="4"/>
        <v>0</v>
      </c>
      <c r="AI17" s="246">
        <f t="shared" si="4"/>
        <v>0</v>
      </c>
      <c r="AJ17" s="246">
        <f t="shared" si="4"/>
        <v>0</v>
      </c>
      <c r="AK17" s="246">
        <f t="shared" si="4"/>
        <v>0</v>
      </c>
      <c r="AL17" s="246">
        <f t="shared" si="4"/>
        <v>0</v>
      </c>
      <c r="AM17" s="246">
        <f t="shared" si="4"/>
        <v>0</v>
      </c>
      <c r="AN17" s="246">
        <f t="shared" si="4"/>
        <v>0</v>
      </c>
      <c r="AO17" s="246">
        <f t="shared" si="4"/>
        <v>0</v>
      </c>
      <c r="AP17" s="246">
        <f t="shared" si="4"/>
        <v>0</v>
      </c>
      <c r="AQ17" s="246">
        <f t="shared" si="4"/>
        <v>0</v>
      </c>
      <c r="AR17" s="246">
        <f t="shared" si="4"/>
        <v>0</v>
      </c>
      <c r="AS17" s="246">
        <f t="shared" si="4"/>
        <v>0</v>
      </c>
      <c r="AT17" s="246">
        <f t="shared" si="4"/>
        <v>0</v>
      </c>
      <c r="AU17" s="246">
        <f t="shared" si="4"/>
        <v>0</v>
      </c>
      <c r="AV17" s="246">
        <f t="shared" si="4"/>
        <v>0</v>
      </c>
      <c r="AW17" s="246">
        <f t="shared" si="4"/>
        <v>0</v>
      </c>
      <c r="AX17" s="246">
        <f t="shared" si="4"/>
        <v>0</v>
      </c>
      <c r="AY17" s="246">
        <f t="shared" si="4"/>
        <v>0</v>
      </c>
      <c r="AZ17" s="246">
        <f t="shared" si="4"/>
        <v>0</v>
      </c>
      <c r="BA17" s="246">
        <f t="shared" si="4"/>
        <v>0</v>
      </c>
      <c r="BB17" s="246">
        <f t="shared" si="4"/>
        <v>0</v>
      </c>
      <c r="BC17" s="246">
        <f t="shared" si="4"/>
        <v>0</v>
      </c>
      <c r="BD17" s="246">
        <f t="shared" si="4"/>
        <v>0</v>
      </c>
      <c r="BE17" s="246">
        <f t="shared" si="4"/>
        <v>0</v>
      </c>
      <c r="BF17" s="246">
        <f t="shared" si="4"/>
        <v>0</v>
      </c>
      <c r="BG17" s="246">
        <f t="shared" si="4"/>
        <v>0</v>
      </c>
      <c r="BH17" s="246">
        <f t="shared" si="4"/>
        <v>0</v>
      </c>
      <c r="BI17" s="246">
        <f t="shared" si="4"/>
        <v>0</v>
      </c>
      <c r="BJ17" s="246">
        <f t="shared" si="4"/>
        <v>0</v>
      </c>
      <c r="BK17" s="246">
        <f t="shared" si="4"/>
        <v>0</v>
      </c>
      <c r="BL17" s="246">
        <f t="shared" si="4"/>
        <v>0</v>
      </c>
      <c r="BM17" s="246">
        <f t="shared" si="4"/>
        <v>0</v>
      </c>
      <c r="BN17" s="246">
        <f t="shared" si="4"/>
        <v>0</v>
      </c>
      <c r="BO17" s="246">
        <f t="shared" si="4"/>
        <v>0</v>
      </c>
      <c r="BP17" s="246">
        <f t="shared" si="4"/>
        <v>0</v>
      </c>
      <c r="BQ17" s="246">
        <f t="shared" si="4"/>
        <v>0</v>
      </c>
      <c r="BR17" s="246">
        <f t="shared" si="4"/>
        <v>0</v>
      </c>
      <c r="BS17" s="246">
        <f t="shared" si="4"/>
        <v>0</v>
      </c>
      <c r="BT17" s="246">
        <f t="shared" si="4"/>
        <v>0</v>
      </c>
      <c r="BU17" s="246">
        <f t="shared" si="4"/>
        <v>0</v>
      </c>
      <c r="BV17" s="246">
        <f t="shared" si="4"/>
        <v>0</v>
      </c>
      <c r="BW17" s="246">
        <f t="shared" si="4"/>
        <v>0</v>
      </c>
      <c r="BX17" s="246">
        <f t="shared" si="4"/>
        <v>0</v>
      </c>
      <c r="BY17" s="247">
        <f t="shared" si="4"/>
        <v>-11456773.6</v>
      </c>
      <c r="BZ17" s="562">
        <f>BY17+BY23+BY26+BY34+BY37+BY47+BY53+BY61+BY85</f>
        <v>-82152792.524692014</v>
      </c>
      <c r="CA17" s="222"/>
      <c r="CB17" s="248" t="e">
        <f t="array" aca="1" ref="CB17" ca="1">SUM(INDEX(E17:BX17, , 1):INDEX(E17:BX17, ,MATCH($CB$4, $E$3:$BX$3,0) ))</f>
        <v>#N/A</v>
      </c>
      <c r="CC17" s="562" t="e">
        <f ca="1">CB17+CB23+CB26+CB34+CB37+CB47+CB53+CB61+CB85</f>
        <v>#N/A</v>
      </c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</row>
    <row r="18" spans="1:138" ht="15.95" outlineLevel="1">
      <c r="A18" s="505"/>
      <c r="B18" s="600"/>
      <c r="C18" s="249" t="s">
        <v>327</v>
      </c>
      <c r="D18" s="250" t="s">
        <v>223</v>
      </c>
      <c r="E18" s="251"/>
      <c r="F18" s="251"/>
      <c r="G18" s="251"/>
      <c r="H18" s="251">
        <f>-8458812-2161900</f>
        <v>-10620712</v>
      </c>
      <c r="I18" s="251">
        <f>-(245000+189000+100000+138000+18960)*1.21</f>
        <v>-836061.6</v>
      </c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3">
        <f t="shared" ref="BY18:BY22" si="5">SUM(E18:BX18)</f>
        <v>-11456773.6</v>
      </c>
      <c r="BZ18" s="597"/>
      <c r="CA18" s="222"/>
      <c r="CB18" s="248" t="e">
        <f t="shared" ref="CB18:CB22" ca="1" si="6">SUM(INDEX(AC18:BX18, , 1):INDEX(AC18:BX18, ,MATCH($CB$4, $E$3:$BX$3,0) ))</f>
        <v>#N/A</v>
      </c>
      <c r="CC18" s="597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</row>
    <row r="19" spans="1:138" ht="15.95" outlineLevel="1">
      <c r="A19" s="505"/>
      <c r="B19" s="600"/>
      <c r="C19" s="249" t="s">
        <v>224</v>
      </c>
      <c r="D19" s="250" t="s">
        <v>223</v>
      </c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3">
        <f t="shared" si="5"/>
        <v>0</v>
      </c>
      <c r="BZ19" s="597"/>
      <c r="CA19" s="222"/>
      <c r="CB19" s="248" t="e">
        <f t="shared" ca="1" si="6"/>
        <v>#N/A</v>
      </c>
      <c r="CC19" s="597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</row>
    <row r="20" spans="1:138" ht="15.95" outlineLevel="1">
      <c r="A20" s="505"/>
      <c r="B20" s="600"/>
      <c r="C20" s="249" t="s">
        <v>225</v>
      </c>
      <c r="D20" s="250" t="s">
        <v>223</v>
      </c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3">
        <f t="shared" si="5"/>
        <v>0</v>
      </c>
      <c r="BZ20" s="597"/>
      <c r="CA20" s="222"/>
      <c r="CB20" s="248" t="e">
        <f t="shared" ca="1" si="6"/>
        <v>#N/A</v>
      </c>
      <c r="CC20" s="597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</row>
    <row r="21" spans="1:138" ht="15.95" outlineLevel="1">
      <c r="A21" s="505"/>
      <c r="B21" s="600"/>
      <c r="C21" s="249" t="s">
        <v>226</v>
      </c>
      <c r="D21" s="250" t="s">
        <v>223</v>
      </c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3">
        <f t="shared" si="5"/>
        <v>0</v>
      </c>
      <c r="BZ21" s="597"/>
      <c r="CA21" s="222"/>
      <c r="CB21" s="248" t="e">
        <f t="shared" ca="1" si="6"/>
        <v>#N/A</v>
      </c>
      <c r="CC21" s="597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</row>
    <row r="22" spans="1:138" ht="15.95" outlineLevel="1">
      <c r="A22" s="505"/>
      <c r="B22" s="600"/>
      <c r="C22" s="249" t="s">
        <v>227</v>
      </c>
      <c r="D22" s="254" t="s">
        <v>223</v>
      </c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3">
        <f t="shared" si="5"/>
        <v>0</v>
      </c>
      <c r="BZ22" s="597"/>
      <c r="CA22" s="222"/>
      <c r="CB22" s="248" t="e">
        <f t="shared" ca="1" si="6"/>
        <v>#N/A</v>
      </c>
      <c r="CC22" s="597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</row>
    <row r="23" spans="1:138" ht="15.95">
      <c r="A23" s="505"/>
      <c r="B23" s="600"/>
      <c r="C23" s="244" t="s">
        <v>228</v>
      </c>
      <c r="D23" s="245"/>
      <c r="E23" s="246">
        <f t="shared" ref="E23:BY23" si="7">SUM(E24:E25)</f>
        <v>0</v>
      </c>
      <c r="F23" s="246">
        <f t="shared" si="7"/>
        <v>0</v>
      </c>
      <c r="G23" s="246">
        <f t="shared" si="7"/>
        <v>0</v>
      </c>
      <c r="H23" s="246">
        <f t="shared" si="7"/>
        <v>0</v>
      </c>
      <c r="I23" s="246">
        <f t="shared" si="7"/>
        <v>-366025</v>
      </c>
      <c r="J23" s="246">
        <f t="shared" si="7"/>
        <v>0</v>
      </c>
      <c r="K23" s="246">
        <f t="shared" si="7"/>
        <v>-367549.6</v>
      </c>
      <c r="L23" s="246">
        <f t="shared" si="7"/>
        <v>0</v>
      </c>
      <c r="M23" s="246">
        <f t="shared" si="7"/>
        <v>0</v>
      </c>
      <c r="N23" s="246">
        <f t="shared" si="7"/>
        <v>0</v>
      </c>
      <c r="O23" s="246">
        <f t="shared" si="7"/>
        <v>0</v>
      </c>
      <c r="P23" s="246">
        <f t="shared" si="7"/>
        <v>0</v>
      </c>
      <c r="Q23" s="246">
        <f t="shared" si="7"/>
        <v>0</v>
      </c>
      <c r="R23" s="246">
        <f t="shared" si="7"/>
        <v>0</v>
      </c>
      <c r="S23" s="246">
        <f t="shared" si="7"/>
        <v>0</v>
      </c>
      <c r="T23" s="246">
        <f t="shared" si="7"/>
        <v>0</v>
      </c>
      <c r="U23" s="246">
        <f t="shared" si="7"/>
        <v>0</v>
      </c>
      <c r="V23" s="246">
        <f t="shared" si="7"/>
        <v>0</v>
      </c>
      <c r="W23" s="246">
        <f t="shared" si="7"/>
        <v>0</v>
      </c>
      <c r="X23" s="246">
        <f t="shared" si="7"/>
        <v>0</v>
      </c>
      <c r="Y23" s="246">
        <f t="shared" si="7"/>
        <v>0</v>
      </c>
      <c r="Z23" s="246">
        <f t="shared" si="7"/>
        <v>0</v>
      </c>
      <c r="AA23" s="246">
        <f t="shared" si="7"/>
        <v>0</v>
      </c>
      <c r="AB23" s="246">
        <f t="shared" si="7"/>
        <v>0</v>
      </c>
      <c r="AC23" s="246">
        <f t="shared" si="7"/>
        <v>0</v>
      </c>
      <c r="AD23" s="246">
        <f t="shared" si="7"/>
        <v>0</v>
      </c>
      <c r="AE23" s="246">
        <f t="shared" si="7"/>
        <v>0</v>
      </c>
      <c r="AF23" s="246">
        <f t="shared" si="7"/>
        <v>0</v>
      </c>
      <c r="AG23" s="246">
        <f t="shared" si="7"/>
        <v>0</v>
      </c>
      <c r="AH23" s="246">
        <f t="shared" si="7"/>
        <v>0</v>
      </c>
      <c r="AI23" s="246">
        <f t="shared" si="7"/>
        <v>0</v>
      </c>
      <c r="AJ23" s="246">
        <f t="shared" si="7"/>
        <v>0</v>
      </c>
      <c r="AK23" s="246">
        <f t="shared" si="7"/>
        <v>0</v>
      </c>
      <c r="AL23" s="246">
        <f t="shared" si="7"/>
        <v>0</v>
      </c>
      <c r="AM23" s="246">
        <f t="shared" si="7"/>
        <v>0</v>
      </c>
      <c r="AN23" s="246">
        <f t="shared" si="7"/>
        <v>0</v>
      </c>
      <c r="AO23" s="246">
        <f t="shared" si="7"/>
        <v>0</v>
      </c>
      <c r="AP23" s="246">
        <f t="shared" si="7"/>
        <v>0</v>
      </c>
      <c r="AQ23" s="246">
        <f t="shared" si="7"/>
        <v>0</v>
      </c>
      <c r="AR23" s="246">
        <f t="shared" si="7"/>
        <v>0</v>
      </c>
      <c r="AS23" s="246">
        <f t="shared" si="7"/>
        <v>0</v>
      </c>
      <c r="AT23" s="246">
        <f t="shared" si="7"/>
        <v>0</v>
      </c>
      <c r="AU23" s="246">
        <f t="shared" si="7"/>
        <v>0</v>
      </c>
      <c r="AV23" s="246">
        <f t="shared" si="7"/>
        <v>0</v>
      </c>
      <c r="AW23" s="246">
        <f t="shared" si="7"/>
        <v>0</v>
      </c>
      <c r="AX23" s="246">
        <f t="shared" si="7"/>
        <v>0</v>
      </c>
      <c r="AY23" s="246">
        <f t="shared" si="7"/>
        <v>0</v>
      </c>
      <c r="AZ23" s="246">
        <f t="shared" si="7"/>
        <v>0</v>
      </c>
      <c r="BA23" s="246">
        <f t="shared" si="7"/>
        <v>0</v>
      </c>
      <c r="BB23" s="246">
        <f t="shared" si="7"/>
        <v>0</v>
      </c>
      <c r="BC23" s="246">
        <f t="shared" si="7"/>
        <v>0</v>
      </c>
      <c r="BD23" s="246">
        <f t="shared" si="7"/>
        <v>0</v>
      </c>
      <c r="BE23" s="246">
        <f t="shared" si="7"/>
        <v>0</v>
      </c>
      <c r="BF23" s="246">
        <f t="shared" si="7"/>
        <v>0</v>
      </c>
      <c r="BG23" s="246">
        <f t="shared" si="7"/>
        <v>0</v>
      </c>
      <c r="BH23" s="246">
        <f t="shared" si="7"/>
        <v>0</v>
      </c>
      <c r="BI23" s="246">
        <f t="shared" si="7"/>
        <v>0</v>
      </c>
      <c r="BJ23" s="246">
        <f t="shared" si="7"/>
        <v>0</v>
      </c>
      <c r="BK23" s="246">
        <f t="shared" si="7"/>
        <v>0</v>
      </c>
      <c r="BL23" s="246">
        <f t="shared" si="7"/>
        <v>0</v>
      </c>
      <c r="BM23" s="246">
        <f t="shared" si="7"/>
        <v>0</v>
      </c>
      <c r="BN23" s="246">
        <f t="shared" si="7"/>
        <v>0</v>
      </c>
      <c r="BO23" s="246">
        <f t="shared" si="7"/>
        <v>0</v>
      </c>
      <c r="BP23" s="246">
        <f t="shared" si="7"/>
        <v>0</v>
      </c>
      <c r="BQ23" s="246">
        <f t="shared" si="7"/>
        <v>0</v>
      </c>
      <c r="BR23" s="246">
        <f t="shared" si="7"/>
        <v>0</v>
      </c>
      <c r="BS23" s="246">
        <f t="shared" si="7"/>
        <v>0</v>
      </c>
      <c r="BT23" s="246">
        <f t="shared" si="7"/>
        <v>0</v>
      </c>
      <c r="BU23" s="246">
        <f t="shared" si="7"/>
        <v>0</v>
      </c>
      <c r="BV23" s="246">
        <f t="shared" si="7"/>
        <v>0</v>
      </c>
      <c r="BW23" s="246">
        <f t="shared" si="7"/>
        <v>0</v>
      </c>
      <c r="BX23" s="246">
        <f t="shared" si="7"/>
        <v>0</v>
      </c>
      <c r="BY23" s="247">
        <f t="shared" si="7"/>
        <v>-733574.6</v>
      </c>
      <c r="BZ23" s="597"/>
      <c r="CA23" s="222"/>
      <c r="CB23" s="248" t="e">
        <f t="array" aca="1" ref="CB23" ca="1">SUM(INDEX(E23:BX23, , 1):INDEX(E23:BX23, ,MATCH($CB$4, $E$3:$BX$3,0) ))</f>
        <v>#N/A</v>
      </c>
      <c r="CC23" s="597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</row>
    <row r="24" spans="1:138" ht="15.95" outlineLevel="1">
      <c r="A24" s="505"/>
      <c r="B24" s="600"/>
      <c r="C24" s="249" t="s">
        <v>229</v>
      </c>
      <c r="D24" s="254" t="s">
        <v>223</v>
      </c>
      <c r="E24" s="255"/>
      <c r="F24" s="255"/>
      <c r="G24" s="255"/>
      <c r="H24" s="255"/>
      <c r="I24" s="255">
        <f>-302500*1.21</f>
        <v>-366025</v>
      </c>
      <c r="J24" s="255"/>
      <c r="K24" s="255">
        <f>-152500*1.21</f>
        <v>-184525</v>
      </c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7">
        <f t="shared" ref="BY24:BY25" si="8">SUM(E24:BX24)</f>
        <v>-550550</v>
      </c>
      <c r="BZ24" s="597"/>
      <c r="CA24" s="222"/>
      <c r="CB24" s="248" t="e">
        <f t="shared" ref="CB24:CB25" ca="1" si="9">SUM(INDEX(AC24:BX24, , 1):INDEX(AC24:BX24, ,MATCH(#REF!, $E$3:$BX$3,0) ))</f>
        <v>#REF!</v>
      </c>
      <c r="CC24" s="597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</row>
    <row r="25" spans="1:138" ht="15.95" outlineLevel="1">
      <c r="A25" s="505"/>
      <c r="B25" s="600"/>
      <c r="C25" s="249" t="s">
        <v>230</v>
      </c>
      <c r="D25" s="254" t="s">
        <v>223</v>
      </c>
      <c r="E25" s="255"/>
      <c r="F25" s="255"/>
      <c r="G25" s="255"/>
      <c r="H25" s="255"/>
      <c r="I25" s="255"/>
      <c r="J25" s="255"/>
      <c r="K25" s="255">
        <f>-Businessplan_prodej!$F$22*1.21</f>
        <v>-183024.6</v>
      </c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7">
        <f t="shared" si="8"/>
        <v>-183024.6</v>
      </c>
      <c r="BZ25" s="597"/>
      <c r="CA25" s="222"/>
      <c r="CB25" s="248" t="e">
        <f t="shared" ca="1" si="9"/>
        <v>#REF!</v>
      </c>
      <c r="CC25" s="597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</row>
    <row r="26" spans="1:138" ht="15.95">
      <c r="A26" s="505"/>
      <c r="B26" s="600"/>
      <c r="C26" s="244" t="s">
        <v>231</v>
      </c>
      <c r="D26" s="245"/>
      <c r="E26" s="246">
        <f t="shared" ref="E26:BX26" si="10">SUM(E27:E33)</f>
        <v>0</v>
      </c>
      <c r="F26" s="246">
        <f t="shared" si="10"/>
        <v>0</v>
      </c>
      <c r="G26" s="246">
        <f t="shared" si="10"/>
        <v>0</v>
      </c>
      <c r="H26" s="246">
        <f t="shared" si="10"/>
        <v>-182738.16666666666</v>
      </c>
      <c r="I26" s="246">
        <f t="shared" si="10"/>
        <v>-180318.16666666666</v>
      </c>
      <c r="J26" s="246">
        <f t="shared" si="10"/>
        <v>-180318.16666666666</v>
      </c>
      <c r="K26" s="246">
        <f t="shared" si="10"/>
        <v>-7211499.166666667</v>
      </c>
      <c r="L26" s="246">
        <f t="shared" si="10"/>
        <v>-7211499.166666667</v>
      </c>
      <c r="M26" s="246">
        <f t="shared" si="10"/>
        <v>-21273860.166666668</v>
      </c>
      <c r="N26" s="246">
        <f t="shared" si="10"/>
        <v>-8788976</v>
      </c>
      <c r="O26" s="246">
        <f t="shared" si="10"/>
        <v>-8788977</v>
      </c>
      <c r="P26" s="246">
        <f t="shared" si="10"/>
        <v>-5859318</v>
      </c>
      <c r="Q26" s="246">
        <f t="shared" si="10"/>
        <v>0</v>
      </c>
      <c r="R26" s="246">
        <f t="shared" si="10"/>
        <v>0</v>
      </c>
      <c r="S26" s="246">
        <f t="shared" si="10"/>
        <v>0</v>
      </c>
      <c r="T26" s="246">
        <f t="shared" si="10"/>
        <v>0</v>
      </c>
      <c r="U26" s="246">
        <f t="shared" si="10"/>
        <v>0</v>
      </c>
      <c r="V26" s="246">
        <f t="shared" si="10"/>
        <v>0</v>
      </c>
      <c r="W26" s="246">
        <f t="shared" si="10"/>
        <v>0</v>
      </c>
      <c r="X26" s="246">
        <f t="shared" si="10"/>
        <v>0</v>
      </c>
      <c r="Y26" s="246">
        <f t="shared" si="10"/>
        <v>0</v>
      </c>
      <c r="Z26" s="246">
        <f t="shared" si="10"/>
        <v>0</v>
      </c>
      <c r="AA26" s="246">
        <f t="shared" si="10"/>
        <v>0</v>
      </c>
      <c r="AB26" s="246">
        <f t="shared" si="10"/>
        <v>0</v>
      </c>
      <c r="AC26" s="246">
        <f t="shared" si="10"/>
        <v>0</v>
      </c>
      <c r="AD26" s="246">
        <f t="shared" si="10"/>
        <v>0</v>
      </c>
      <c r="AE26" s="246">
        <f t="shared" si="10"/>
        <v>0</v>
      </c>
      <c r="AF26" s="246">
        <f t="shared" si="10"/>
        <v>0</v>
      </c>
      <c r="AG26" s="246">
        <f t="shared" si="10"/>
        <v>0</v>
      </c>
      <c r="AH26" s="246">
        <f t="shared" si="10"/>
        <v>0</v>
      </c>
      <c r="AI26" s="246">
        <f t="shared" si="10"/>
        <v>0</v>
      </c>
      <c r="AJ26" s="246">
        <f t="shared" si="10"/>
        <v>0</v>
      </c>
      <c r="AK26" s="246">
        <f t="shared" si="10"/>
        <v>0</v>
      </c>
      <c r="AL26" s="246">
        <f t="shared" si="10"/>
        <v>0</v>
      </c>
      <c r="AM26" s="246">
        <f t="shared" si="10"/>
        <v>0</v>
      </c>
      <c r="AN26" s="246">
        <f t="shared" si="10"/>
        <v>0</v>
      </c>
      <c r="AO26" s="246">
        <f t="shared" si="10"/>
        <v>0</v>
      </c>
      <c r="AP26" s="246">
        <f t="shared" si="10"/>
        <v>0</v>
      </c>
      <c r="AQ26" s="246">
        <f t="shared" si="10"/>
        <v>0</v>
      </c>
      <c r="AR26" s="246">
        <f t="shared" si="10"/>
        <v>0</v>
      </c>
      <c r="AS26" s="246">
        <f t="shared" si="10"/>
        <v>0</v>
      </c>
      <c r="AT26" s="246">
        <f t="shared" si="10"/>
        <v>0</v>
      </c>
      <c r="AU26" s="246">
        <f t="shared" si="10"/>
        <v>0</v>
      </c>
      <c r="AV26" s="246">
        <f t="shared" si="10"/>
        <v>0</v>
      </c>
      <c r="AW26" s="246">
        <f t="shared" si="10"/>
        <v>0</v>
      </c>
      <c r="AX26" s="246">
        <f t="shared" si="10"/>
        <v>0</v>
      </c>
      <c r="AY26" s="246">
        <f t="shared" si="10"/>
        <v>0</v>
      </c>
      <c r="AZ26" s="246">
        <f t="shared" si="10"/>
        <v>0</v>
      </c>
      <c r="BA26" s="246">
        <f t="shared" si="10"/>
        <v>0</v>
      </c>
      <c r="BB26" s="246">
        <f t="shared" si="10"/>
        <v>0</v>
      </c>
      <c r="BC26" s="246">
        <f t="shared" si="10"/>
        <v>0</v>
      </c>
      <c r="BD26" s="246">
        <f t="shared" si="10"/>
        <v>0</v>
      </c>
      <c r="BE26" s="246">
        <f t="shared" si="10"/>
        <v>0</v>
      </c>
      <c r="BF26" s="246">
        <f t="shared" si="10"/>
        <v>0</v>
      </c>
      <c r="BG26" s="246">
        <f t="shared" si="10"/>
        <v>0</v>
      </c>
      <c r="BH26" s="246">
        <f t="shared" si="10"/>
        <v>0</v>
      </c>
      <c r="BI26" s="246">
        <f t="shared" si="10"/>
        <v>0</v>
      </c>
      <c r="BJ26" s="246">
        <f t="shared" si="10"/>
        <v>0</v>
      </c>
      <c r="BK26" s="246">
        <f t="shared" si="10"/>
        <v>0</v>
      </c>
      <c r="BL26" s="246">
        <f t="shared" si="10"/>
        <v>0</v>
      </c>
      <c r="BM26" s="246">
        <f t="shared" si="10"/>
        <v>0</v>
      </c>
      <c r="BN26" s="246">
        <f t="shared" si="10"/>
        <v>0</v>
      </c>
      <c r="BO26" s="246">
        <f t="shared" si="10"/>
        <v>0</v>
      </c>
      <c r="BP26" s="246">
        <f t="shared" si="10"/>
        <v>0</v>
      </c>
      <c r="BQ26" s="246">
        <f t="shared" si="10"/>
        <v>0</v>
      </c>
      <c r="BR26" s="246">
        <f t="shared" si="10"/>
        <v>0</v>
      </c>
      <c r="BS26" s="246">
        <f t="shared" si="10"/>
        <v>0</v>
      </c>
      <c r="BT26" s="246">
        <f t="shared" si="10"/>
        <v>0</v>
      </c>
      <c r="BU26" s="246">
        <f t="shared" si="10"/>
        <v>0</v>
      </c>
      <c r="BV26" s="246">
        <f t="shared" si="10"/>
        <v>0</v>
      </c>
      <c r="BW26" s="246">
        <f t="shared" si="10"/>
        <v>0</v>
      </c>
      <c r="BX26" s="246">
        <f t="shared" si="10"/>
        <v>0</v>
      </c>
      <c r="BY26" s="248">
        <f>SUM(BY27:BY33)</f>
        <v>-59677504</v>
      </c>
      <c r="BZ26" s="597"/>
      <c r="CA26" s="222"/>
      <c r="CB26" s="248" t="e">
        <f t="array" aca="1" ref="CB26" ca="1">SUM(INDEX(E26:BX26, , 1):INDEX(E26:BX26, ,MATCH($CB$4, $E$3:$BX$3,0) ))</f>
        <v>#N/A</v>
      </c>
      <c r="CC26" s="597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</row>
    <row r="27" spans="1:138" ht="15.95" outlineLevel="1">
      <c r="A27" s="505"/>
      <c r="B27" s="600"/>
      <c r="C27" s="249" t="s">
        <v>232</v>
      </c>
      <c r="D27" s="250" t="s">
        <v>223</v>
      </c>
      <c r="E27" s="251"/>
      <c r="F27" s="251"/>
      <c r="G27" s="251"/>
      <c r="H27" s="251"/>
      <c r="I27" s="251"/>
      <c r="J27" s="251"/>
      <c r="K27" s="251">
        <f t="shared" ref="K27:L27" si="11">-7031181</f>
        <v>-7031181</v>
      </c>
      <c r="L27" s="251">
        <f t="shared" si="11"/>
        <v>-7031181</v>
      </c>
      <c r="M27" s="251">
        <f>-6445249-5859317-5859317-2929659</f>
        <v>-21093542</v>
      </c>
      <c r="N27" s="251">
        <f>-2929659-5859317</f>
        <v>-8788976</v>
      </c>
      <c r="O27" s="251">
        <f>-2929659-2929659-2929659</f>
        <v>-8788977</v>
      </c>
      <c r="P27" s="251">
        <f>-2929659-2929659</f>
        <v>-5859318</v>
      </c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60"/>
      <c r="BY27" s="261">
        <f t="shared" ref="BY27:BY33" si="12">SUM(E27:BX27)</f>
        <v>-58593175</v>
      </c>
      <c r="BZ27" s="597"/>
      <c r="CA27" s="222"/>
      <c r="CB27" s="248" t="e">
        <f t="shared" ref="CB27:CB33" ca="1" si="13">SUM(INDEX(AC27:BX27, , 1):INDEX(AC27:BX27, ,MATCH(#REF!, $E$3:$BX$3,0) ))</f>
        <v>#REF!</v>
      </c>
      <c r="CC27" s="597"/>
      <c r="CD27" s="222"/>
      <c r="CE27" s="222"/>
      <c r="CF27" s="222"/>
      <c r="CG27" s="222"/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</row>
    <row r="28" spans="1:138" ht="15.95" outlineLevel="1">
      <c r="A28" s="505"/>
      <c r="B28" s="600"/>
      <c r="C28" s="249" t="s">
        <v>233</v>
      </c>
      <c r="D28" s="250" t="s">
        <v>223</v>
      </c>
      <c r="E28" s="251"/>
      <c r="F28" s="251"/>
      <c r="G28" s="251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60"/>
      <c r="BY28" s="262">
        <f t="shared" si="12"/>
        <v>0</v>
      </c>
      <c r="BZ28" s="597"/>
      <c r="CA28" s="222"/>
      <c r="CB28" s="248" t="e">
        <f t="shared" ca="1" si="13"/>
        <v>#REF!</v>
      </c>
      <c r="CC28" s="597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</row>
    <row r="29" spans="1:138" ht="15.95" outlineLevel="1">
      <c r="A29" s="505"/>
      <c r="B29" s="600"/>
      <c r="C29" s="249" t="s">
        <v>234</v>
      </c>
      <c r="D29" s="250" t="s">
        <v>223</v>
      </c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60"/>
      <c r="BY29" s="262">
        <f t="shared" si="12"/>
        <v>0</v>
      </c>
      <c r="BZ29" s="597"/>
      <c r="CA29" s="222"/>
      <c r="CB29" s="248" t="e">
        <f t="shared" ca="1" si="13"/>
        <v>#REF!</v>
      </c>
      <c r="CC29" s="597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</row>
    <row r="30" spans="1:138" ht="15.95" outlineLevel="1">
      <c r="A30" s="505"/>
      <c r="B30" s="600"/>
      <c r="C30" s="249" t="s">
        <v>235</v>
      </c>
      <c r="D30" s="250" t="s">
        <v>223</v>
      </c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60"/>
      <c r="BY30" s="262">
        <f t="shared" si="12"/>
        <v>0</v>
      </c>
      <c r="BZ30" s="597"/>
      <c r="CA30" s="222"/>
      <c r="CB30" s="248" t="e">
        <f t="shared" ca="1" si="13"/>
        <v>#REF!</v>
      </c>
      <c r="CC30" s="597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</row>
    <row r="31" spans="1:138" ht="15.95" outlineLevel="1">
      <c r="A31" s="505"/>
      <c r="B31" s="600"/>
      <c r="C31" s="249" t="s">
        <v>236</v>
      </c>
      <c r="D31" s="250" t="s">
        <v>223</v>
      </c>
      <c r="E31" s="251"/>
      <c r="F31" s="251"/>
      <c r="G31" s="251"/>
      <c r="H31" s="251">
        <f>-2420</f>
        <v>-2420</v>
      </c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60"/>
      <c r="BY31" s="262">
        <f t="shared" si="12"/>
        <v>-2420</v>
      </c>
      <c r="BZ31" s="597"/>
      <c r="CA31" s="222"/>
      <c r="CB31" s="248" t="e">
        <f t="shared" ca="1" si="13"/>
        <v>#REF!</v>
      </c>
      <c r="CC31" s="597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</row>
    <row r="32" spans="1:138" ht="15.95" outlineLevel="1">
      <c r="A32" s="505"/>
      <c r="B32" s="600"/>
      <c r="C32" s="263" t="s">
        <v>237</v>
      </c>
      <c r="D32" s="250" t="s">
        <v>223</v>
      </c>
      <c r="E32" s="251"/>
      <c r="F32" s="251"/>
      <c r="G32" s="251"/>
      <c r="H32" s="251">
        <f>-Businessplan_prodej!$F$39/6</f>
        <v>-180318.16666666666</v>
      </c>
      <c r="I32" s="251">
        <f>-Businessplan_prodej!$F$39/6</f>
        <v>-180318.16666666666</v>
      </c>
      <c r="J32" s="251">
        <f>-Businessplan_prodej!$F$39/6</f>
        <v>-180318.16666666666</v>
      </c>
      <c r="K32" s="251">
        <f>-Businessplan_prodej!$F$39/6</f>
        <v>-180318.16666666666</v>
      </c>
      <c r="L32" s="251">
        <f>-Businessplan_prodej!$F$39/6</f>
        <v>-180318.16666666666</v>
      </c>
      <c r="M32" s="251">
        <f>-Businessplan_prodej!$F$39/6</f>
        <v>-180318.16666666666</v>
      </c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60"/>
      <c r="BY32" s="262">
        <f t="shared" si="12"/>
        <v>-1081909</v>
      </c>
      <c r="BZ32" s="597"/>
      <c r="CA32" s="222"/>
      <c r="CB32" s="248" t="e">
        <f t="shared" ca="1" si="13"/>
        <v>#REF!</v>
      </c>
      <c r="CC32" s="597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</row>
    <row r="33" spans="1:138" ht="15.95" outlineLevel="1">
      <c r="A33" s="505"/>
      <c r="B33" s="600"/>
      <c r="C33" s="249" t="s">
        <v>238</v>
      </c>
      <c r="D33" s="254" t="s">
        <v>223</v>
      </c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60"/>
      <c r="BY33" s="264">
        <f t="shared" si="12"/>
        <v>0</v>
      </c>
      <c r="BZ33" s="597"/>
      <c r="CA33" s="222"/>
      <c r="CB33" s="248" t="e">
        <f t="shared" ca="1" si="13"/>
        <v>#REF!</v>
      </c>
      <c r="CC33" s="597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</row>
    <row r="34" spans="1:138" ht="15.95">
      <c r="A34" s="505"/>
      <c r="B34" s="600"/>
      <c r="C34" s="244" t="s">
        <v>239</v>
      </c>
      <c r="D34" s="245"/>
      <c r="E34" s="246">
        <f t="shared" ref="E34:BX34" si="14">SUM(E35:E36)</f>
        <v>0</v>
      </c>
      <c r="F34" s="246">
        <f t="shared" si="14"/>
        <v>0</v>
      </c>
      <c r="G34" s="246">
        <f t="shared" si="14"/>
        <v>0</v>
      </c>
      <c r="H34" s="246">
        <f t="shared" si="14"/>
        <v>0</v>
      </c>
      <c r="I34" s="246">
        <f t="shared" si="14"/>
        <v>0</v>
      </c>
      <c r="J34" s="246">
        <f t="shared" si="14"/>
        <v>0</v>
      </c>
      <c r="K34" s="246">
        <f t="shared" si="14"/>
        <v>0</v>
      </c>
      <c r="L34" s="246">
        <f t="shared" si="14"/>
        <v>0</v>
      </c>
      <c r="M34" s="246">
        <f t="shared" si="14"/>
        <v>0</v>
      </c>
      <c r="N34" s="246">
        <f t="shared" si="14"/>
        <v>0</v>
      </c>
      <c r="O34" s="246">
        <f t="shared" si="14"/>
        <v>0</v>
      </c>
      <c r="P34" s="246">
        <f t="shared" si="14"/>
        <v>0</v>
      </c>
      <c r="Q34" s="246">
        <f t="shared" si="14"/>
        <v>0</v>
      </c>
      <c r="R34" s="246">
        <f t="shared" si="14"/>
        <v>0</v>
      </c>
      <c r="S34" s="246">
        <f t="shared" si="14"/>
        <v>0</v>
      </c>
      <c r="T34" s="246">
        <f t="shared" si="14"/>
        <v>0</v>
      </c>
      <c r="U34" s="246">
        <f t="shared" si="14"/>
        <v>0</v>
      </c>
      <c r="V34" s="246">
        <f t="shared" si="14"/>
        <v>0</v>
      </c>
      <c r="W34" s="246">
        <f t="shared" si="14"/>
        <v>0</v>
      </c>
      <c r="X34" s="246">
        <f t="shared" si="14"/>
        <v>0</v>
      </c>
      <c r="Y34" s="246">
        <f t="shared" si="14"/>
        <v>0</v>
      </c>
      <c r="Z34" s="246">
        <f t="shared" si="14"/>
        <v>0</v>
      </c>
      <c r="AA34" s="246">
        <f t="shared" si="14"/>
        <v>0</v>
      </c>
      <c r="AB34" s="246">
        <f t="shared" si="14"/>
        <v>0</v>
      </c>
      <c r="AC34" s="246">
        <f t="shared" si="14"/>
        <v>0</v>
      </c>
      <c r="AD34" s="246">
        <f t="shared" si="14"/>
        <v>0</v>
      </c>
      <c r="AE34" s="246">
        <f t="shared" si="14"/>
        <v>0</v>
      </c>
      <c r="AF34" s="246">
        <f t="shared" si="14"/>
        <v>0</v>
      </c>
      <c r="AG34" s="246">
        <f t="shared" si="14"/>
        <v>0</v>
      </c>
      <c r="AH34" s="246">
        <f t="shared" si="14"/>
        <v>0</v>
      </c>
      <c r="AI34" s="246">
        <f t="shared" si="14"/>
        <v>0</v>
      </c>
      <c r="AJ34" s="246">
        <f t="shared" si="14"/>
        <v>0</v>
      </c>
      <c r="AK34" s="246">
        <f t="shared" si="14"/>
        <v>0</v>
      </c>
      <c r="AL34" s="246">
        <f t="shared" si="14"/>
        <v>0</v>
      </c>
      <c r="AM34" s="246">
        <f t="shared" si="14"/>
        <v>0</v>
      </c>
      <c r="AN34" s="246">
        <f t="shared" si="14"/>
        <v>0</v>
      </c>
      <c r="AO34" s="246">
        <f t="shared" si="14"/>
        <v>0</v>
      </c>
      <c r="AP34" s="246">
        <f t="shared" si="14"/>
        <v>0</v>
      </c>
      <c r="AQ34" s="246">
        <f t="shared" si="14"/>
        <v>0</v>
      </c>
      <c r="AR34" s="246">
        <f t="shared" si="14"/>
        <v>0</v>
      </c>
      <c r="AS34" s="246">
        <f t="shared" si="14"/>
        <v>0</v>
      </c>
      <c r="AT34" s="246">
        <f t="shared" si="14"/>
        <v>0</v>
      </c>
      <c r="AU34" s="246">
        <f t="shared" si="14"/>
        <v>0</v>
      </c>
      <c r="AV34" s="246">
        <f t="shared" si="14"/>
        <v>0</v>
      </c>
      <c r="AW34" s="246">
        <f t="shared" si="14"/>
        <v>0</v>
      </c>
      <c r="AX34" s="246">
        <f t="shared" si="14"/>
        <v>0</v>
      </c>
      <c r="AY34" s="246">
        <f t="shared" si="14"/>
        <v>0</v>
      </c>
      <c r="AZ34" s="246">
        <f t="shared" si="14"/>
        <v>0</v>
      </c>
      <c r="BA34" s="246">
        <f t="shared" si="14"/>
        <v>0</v>
      </c>
      <c r="BB34" s="246">
        <f t="shared" si="14"/>
        <v>0</v>
      </c>
      <c r="BC34" s="246">
        <f t="shared" si="14"/>
        <v>0</v>
      </c>
      <c r="BD34" s="246">
        <f t="shared" si="14"/>
        <v>0</v>
      </c>
      <c r="BE34" s="246">
        <f t="shared" si="14"/>
        <v>0</v>
      </c>
      <c r="BF34" s="246">
        <f t="shared" si="14"/>
        <v>0</v>
      </c>
      <c r="BG34" s="246">
        <f t="shared" si="14"/>
        <v>0</v>
      </c>
      <c r="BH34" s="246">
        <f t="shared" si="14"/>
        <v>0</v>
      </c>
      <c r="BI34" s="246">
        <f t="shared" si="14"/>
        <v>0</v>
      </c>
      <c r="BJ34" s="246">
        <f t="shared" si="14"/>
        <v>0</v>
      </c>
      <c r="BK34" s="246">
        <f t="shared" si="14"/>
        <v>0</v>
      </c>
      <c r="BL34" s="246">
        <f t="shared" si="14"/>
        <v>0</v>
      </c>
      <c r="BM34" s="246">
        <f t="shared" si="14"/>
        <v>0</v>
      </c>
      <c r="BN34" s="246">
        <f t="shared" si="14"/>
        <v>0</v>
      </c>
      <c r="BO34" s="246">
        <f t="shared" si="14"/>
        <v>0</v>
      </c>
      <c r="BP34" s="246">
        <f t="shared" si="14"/>
        <v>0</v>
      </c>
      <c r="BQ34" s="246">
        <f t="shared" si="14"/>
        <v>0</v>
      </c>
      <c r="BR34" s="246">
        <f t="shared" si="14"/>
        <v>0</v>
      </c>
      <c r="BS34" s="246">
        <f t="shared" si="14"/>
        <v>0</v>
      </c>
      <c r="BT34" s="246">
        <f t="shared" si="14"/>
        <v>0</v>
      </c>
      <c r="BU34" s="246">
        <f t="shared" si="14"/>
        <v>0</v>
      </c>
      <c r="BV34" s="246">
        <f t="shared" si="14"/>
        <v>0</v>
      </c>
      <c r="BW34" s="246">
        <f t="shared" si="14"/>
        <v>0</v>
      </c>
      <c r="BX34" s="246">
        <f t="shared" si="14"/>
        <v>0</v>
      </c>
      <c r="BY34" s="248">
        <f>SUM(BY35:BY36)</f>
        <v>0</v>
      </c>
      <c r="BZ34" s="597"/>
      <c r="CA34" s="222"/>
      <c r="CB34" s="248" t="e">
        <f t="array" aca="1" ref="CB34" ca="1">SUM(INDEX(E34:BX34, , 1):INDEX(E34:BX34, ,MATCH($CB$4, $E$3:$BX$3,0) ))</f>
        <v>#N/A</v>
      </c>
      <c r="CC34" s="597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</row>
    <row r="35" spans="1:138" ht="15.95" outlineLevel="1">
      <c r="A35" s="505"/>
      <c r="B35" s="600"/>
      <c r="C35" s="249" t="s">
        <v>240</v>
      </c>
      <c r="D35" s="250" t="s">
        <v>223</v>
      </c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66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60"/>
      <c r="BY35" s="261">
        <f t="shared" ref="BY35:BY36" si="15">SUM(E35:BX35)</f>
        <v>0</v>
      </c>
      <c r="BZ35" s="597"/>
      <c r="CA35" s="222"/>
      <c r="CB35" s="248" t="e">
        <f t="shared" ref="CB35:CB36" ca="1" si="16">SUM(INDEX(AC35:BX35, , 1):INDEX(AC35:BX35, ,MATCH(#REF!, $E$3:$BX$3,0) ))</f>
        <v>#REF!</v>
      </c>
      <c r="CC35" s="597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</row>
    <row r="36" spans="1:138" ht="15.95" outlineLevel="1">
      <c r="A36" s="505"/>
      <c r="B36" s="600"/>
      <c r="C36" s="249" t="s">
        <v>241</v>
      </c>
      <c r="D36" s="254" t="s">
        <v>223</v>
      </c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66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60"/>
      <c r="BY36" s="264">
        <f t="shared" si="15"/>
        <v>0</v>
      </c>
      <c r="BZ36" s="597"/>
      <c r="CA36" s="222"/>
      <c r="CB36" s="248" t="e">
        <f t="shared" ca="1" si="16"/>
        <v>#REF!</v>
      </c>
      <c r="CC36" s="597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</row>
    <row r="37" spans="1:138" ht="15.95">
      <c r="A37" s="505"/>
      <c r="B37" s="600"/>
      <c r="C37" s="244" t="s">
        <v>242</v>
      </c>
      <c r="D37" s="245"/>
      <c r="E37" s="246">
        <f t="shared" ref="E37:BX37" si="17">SUM(E38:E46)</f>
        <v>0</v>
      </c>
      <c r="F37" s="246">
        <f t="shared" si="17"/>
        <v>0</v>
      </c>
      <c r="G37" s="246">
        <f t="shared" si="17"/>
        <v>0</v>
      </c>
      <c r="H37" s="246">
        <f t="shared" si="17"/>
        <v>-113225.2</v>
      </c>
      <c r="I37" s="246">
        <f t="shared" si="17"/>
        <v>-2369847.5906856665</v>
      </c>
      <c r="J37" s="246">
        <f t="shared" si="17"/>
        <v>-716745.71666666667</v>
      </c>
      <c r="K37" s="246">
        <f t="shared" si="17"/>
        <v>-716745.71666666667</v>
      </c>
      <c r="L37" s="246">
        <f t="shared" si="17"/>
        <v>-462645.71666666662</v>
      </c>
      <c r="M37" s="246">
        <f t="shared" si="17"/>
        <v>-462645.71666666662</v>
      </c>
      <c r="N37" s="246">
        <f t="shared" si="17"/>
        <v>-462645.71666666662</v>
      </c>
      <c r="O37" s="246">
        <f t="shared" si="17"/>
        <v>-568684.60467299982</v>
      </c>
      <c r="P37" s="246">
        <f t="shared" si="17"/>
        <v>-52986.956666666672</v>
      </c>
      <c r="Q37" s="246">
        <f t="shared" si="17"/>
        <v>-29429.416666666672</v>
      </c>
      <c r="R37" s="246">
        <f t="shared" si="17"/>
        <v>-29429.416666666672</v>
      </c>
      <c r="S37" s="246">
        <f t="shared" si="17"/>
        <v>-29429.416666666672</v>
      </c>
      <c r="T37" s="246">
        <f t="shared" si="17"/>
        <v>-88323.266666666663</v>
      </c>
      <c r="U37" s="246">
        <f t="shared" si="17"/>
        <v>0</v>
      </c>
      <c r="V37" s="246">
        <f t="shared" si="17"/>
        <v>0</v>
      </c>
      <c r="W37" s="246">
        <f t="shared" si="17"/>
        <v>0</v>
      </c>
      <c r="X37" s="246">
        <f t="shared" si="17"/>
        <v>0</v>
      </c>
      <c r="Y37" s="246">
        <f t="shared" si="17"/>
        <v>0</v>
      </c>
      <c r="Z37" s="246">
        <f t="shared" si="17"/>
        <v>0</v>
      </c>
      <c r="AA37" s="246">
        <f t="shared" si="17"/>
        <v>0</v>
      </c>
      <c r="AB37" s="246">
        <f t="shared" si="17"/>
        <v>0</v>
      </c>
      <c r="AC37" s="246">
        <f t="shared" si="17"/>
        <v>0</v>
      </c>
      <c r="AD37" s="246">
        <f t="shared" si="17"/>
        <v>0</v>
      </c>
      <c r="AE37" s="246">
        <f t="shared" si="17"/>
        <v>0</v>
      </c>
      <c r="AF37" s="246">
        <f t="shared" si="17"/>
        <v>0</v>
      </c>
      <c r="AG37" s="246">
        <f t="shared" si="17"/>
        <v>0</v>
      </c>
      <c r="AH37" s="246">
        <f t="shared" si="17"/>
        <v>0</v>
      </c>
      <c r="AI37" s="246">
        <f t="shared" si="17"/>
        <v>0</v>
      </c>
      <c r="AJ37" s="246">
        <f t="shared" si="17"/>
        <v>0</v>
      </c>
      <c r="AK37" s="246">
        <f t="shared" si="17"/>
        <v>0</v>
      </c>
      <c r="AL37" s="246">
        <f t="shared" si="17"/>
        <v>0</v>
      </c>
      <c r="AM37" s="246">
        <f t="shared" si="17"/>
        <v>0</v>
      </c>
      <c r="AN37" s="246">
        <f t="shared" si="17"/>
        <v>0</v>
      </c>
      <c r="AO37" s="246">
        <f t="shared" si="17"/>
        <v>0</v>
      </c>
      <c r="AP37" s="246">
        <f t="shared" si="17"/>
        <v>0</v>
      </c>
      <c r="AQ37" s="246">
        <f t="shared" si="17"/>
        <v>0</v>
      </c>
      <c r="AR37" s="246">
        <f t="shared" si="17"/>
        <v>0</v>
      </c>
      <c r="AS37" s="246">
        <f t="shared" si="17"/>
        <v>0</v>
      </c>
      <c r="AT37" s="246">
        <f t="shared" si="17"/>
        <v>0</v>
      </c>
      <c r="AU37" s="246">
        <f t="shared" si="17"/>
        <v>0</v>
      </c>
      <c r="AV37" s="246">
        <f t="shared" si="17"/>
        <v>0</v>
      </c>
      <c r="AW37" s="246">
        <f t="shared" si="17"/>
        <v>0</v>
      </c>
      <c r="AX37" s="246">
        <f t="shared" si="17"/>
        <v>0</v>
      </c>
      <c r="AY37" s="246">
        <f t="shared" si="17"/>
        <v>0</v>
      </c>
      <c r="AZ37" s="246">
        <f t="shared" si="17"/>
        <v>0</v>
      </c>
      <c r="BA37" s="246">
        <f t="shared" si="17"/>
        <v>0</v>
      </c>
      <c r="BB37" s="246">
        <f t="shared" si="17"/>
        <v>0</v>
      </c>
      <c r="BC37" s="246">
        <f t="shared" si="17"/>
        <v>0</v>
      </c>
      <c r="BD37" s="246">
        <f t="shared" si="17"/>
        <v>0</v>
      </c>
      <c r="BE37" s="246">
        <f t="shared" si="17"/>
        <v>0</v>
      </c>
      <c r="BF37" s="246">
        <f t="shared" si="17"/>
        <v>0</v>
      </c>
      <c r="BG37" s="246">
        <f t="shared" si="17"/>
        <v>0</v>
      </c>
      <c r="BH37" s="246">
        <f t="shared" si="17"/>
        <v>0</v>
      </c>
      <c r="BI37" s="246">
        <f t="shared" si="17"/>
        <v>0</v>
      </c>
      <c r="BJ37" s="246">
        <f t="shared" si="17"/>
        <v>0</v>
      </c>
      <c r="BK37" s="246">
        <f t="shared" si="17"/>
        <v>0</v>
      </c>
      <c r="BL37" s="246">
        <f t="shared" si="17"/>
        <v>0</v>
      </c>
      <c r="BM37" s="246">
        <f t="shared" si="17"/>
        <v>0</v>
      </c>
      <c r="BN37" s="246">
        <f t="shared" si="17"/>
        <v>0</v>
      </c>
      <c r="BO37" s="246">
        <f t="shared" si="17"/>
        <v>0</v>
      </c>
      <c r="BP37" s="246">
        <f t="shared" si="17"/>
        <v>0</v>
      </c>
      <c r="BQ37" s="246">
        <f t="shared" si="17"/>
        <v>0</v>
      </c>
      <c r="BR37" s="246">
        <f t="shared" si="17"/>
        <v>0</v>
      </c>
      <c r="BS37" s="246">
        <f t="shared" si="17"/>
        <v>0</v>
      </c>
      <c r="BT37" s="246">
        <f t="shared" si="17"/>
        <v>0</v>
      </c>
      <c r="BU37" s="246">
        <f t="shared" si="17"/>
        <v>0</v>
      </c>
      <c r="BV37" s="246">
        <f t="shared" si="17"/>
        <v>0</v>
      </c>
      <c r="BW37" s="246">
        <f t="shared" si="17"/>
        <v>0</v>
      </c>
      <c r="BX37" s="246">
        <f t="shared" si="17"/>
        <v>0</v>
      </c>
      <c r="BY37" s="248">
        <f>SUM(BY38:BY46)</f>
        <v>-6102784.4520253334</v>
      </c>
      <c r="BZ37" s="597"/>
      <c r="CA37" s="222"/>
      <c r="CB37" s="248" t="e">
        <f t="array" aca="1" ref="CB37" ca="1">SUM(INDEX(E37:BX37, , 1):INDEX(E37:BX37, ,MATCH($CB$4, $E$3:$BX$3,0) ))</f>
        <v>#N/A</v>
      </c>
      <c r="CC37" s="597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</row>
    <row r="38" spans="1:138" ht="15.95" outlineLevel="1">
      <c r="A38" s="505"/>
      <c r="B38" s="600"/>
      <c r="C38" s="263" t="s">
        <v>170</v>
      </c>
      <c r="D38" s="250" t="s">
        <v>223</v>
      </c>
      <c r="E38" s="255"/>
      <c r="F38" s="255"/>
      <c r="G38" s="255"/>
      <c r="H38" s="255"/>
      <c r="I38" s="255">
        <f>-Businessplan_prodej!$F$57/3*1.21</f>
        <v>-254100</v>
      </c>
      <c r="J38" s="255">
        <f>-Businessplan_prodej!$F$57/3*1.21</f>
        <v>-254100</v>
      </c>
      <c r="K38" s="255">
        <f>-Businessplan_prodej!$F$57/3*1.21</f>
        <v>-254100</v>
      </c>
      <c r="L38" s="255"/>
      <c r="M38" s="255"/>
      <c r="N38" s="255"/>
      <c r="O38" s="255"/>
      <c r="P38" s="255"/>
      <c r="Q38" s="255"/>
      <c r="R38" s="255"/>
      <c r="S38" s="268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67"/>
      <c r="BY38" s="261">
        <f t="shared" ref="BY38:BY46" si="18">SUM(E38:BX38)</f>
        <v>-762300</v>
      </c>
      <c r="BZ38" s="597"/>
      <c r="CA38" s="222"/>
      <c r="CB38" s="248" t="e">
        <f t="shared" ref="CB38:CB40" ca="1" si="19">SUM(INDEX(AC38:BX38, , 1):INDEX(AC38:BX38, ,MATCH(#REF!, $E$3:$BX$3,0) ))</f>
        <v>#REF!</v>
      </c>
      <c r="CC38" s="597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</row>
    <row r="39" spans="1:138" ht="15.95" outlineLevel="1">
      <c r="A39" s="505"/>
      <c r="B39" s="600"/>
      <c r="C39" s="263" t="s">
        <v>171</v>
      </c>
      <c r="D39" s="250" t="s">
        <v>223</v>
      </c>
      <c r="E39" s="255"/>
      <c r="F39" s="255"/>
      <c r="G39" s="255"/>
      <c r="H39" s="255"/>
      <c r="I39" s="255">
        <f>-Businessplan_prodej!$F$59*1.21/6</f>
        <v>-234437.5</v>
      </c>
      <c r="J39" s="255">
        <f>-Businessplan_prodej!$F$59*1.21/6</f>
        <v>-234437.5</v>
      </c>
      <c r="K39" s="255">
        <f>-Businessplan_prodej!$F$59*1.21/6</f>
        <v>-234437.5</v>
      </c>
      <c r="L39" s="255">
        <f>-Businessplan_prodej!$F$59*1.21/6</f>
        <v>-234437.5</v>
      </c>
      <c r="M39" s="255">
        <f>-Businessplan_prodej!$F$59*1.21/6</f>
        <v>-234437.5</v>
      </c>
      <c r="N39" s="255">
        <f>-Businessplan_prodej!$F$59*1.21/6</f>
        <v>-234437.5</v>
      </c>
      <c r="O39" s="255"/>
      <c r="P39" s="255"/>
      <c r="Q39" s="255"/>
      <c r="R39" s="255"/>
      <c r="S39" s="268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67"/>
      <c r="BY39" s="262">
        <f t="shared" si="18"/>
        <v>-1406625</v>
      </c>
      <c r="BZ39" s="597"/>
      <c r="CA39" s="222"/>
      <c r="CB39" s="248" t="e">
        <f t="shared" ca="1" si="19"/>
        <v>#REF!</v>
      </c>
      <c r="CC39" s="597"/>
      <c r="CD39" s="222"/>
      <c r="CE39" s="222">
        <f>BY39/1.21</f>
        <v>-1162500</v>
      </c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</row>
    <row r="40" spans="1:138" ht="15.95" outlineLevel="1">
      <c r="A40" s="505"/>
      <c r="B40" s="600"/>
      <c r="C40" s="263" t="s">
        <v>172</v>
      </c>
      <c r="D40" s="250" t="s">
        <v>223</v>
      </c>
      <c r="E40" s="255"/>
      <c r="F40" s="255"/>
      <c r="G40" s="255"/>
      <c r="H40" s="255"/>
      <c r="I40" s="255">
        <f>-Businessplan_prodej!$F$62*1.21/6</f>
        <v>-172013.6</v>
      </c>
      <c r="J40" s="255">
        <f>-Businessplan_prodej!$F$62*1.21/6</f>
        <v>-172013.6</v>
      </c>
      <c r="K40" s="255">
        <f>-Businessplan_prodej!$F$62*1.21/6</f>
        <v>-172013.6</v>
      </c>
      <c r="L40" s="255">
        <f>-Businessplan_prodej!$F$62*1.21/6</f>
        <v>-172013.6</v>
      </c>
      <c r="M40" s="255">
        <f>-Businessplan_prodej!$F$62*1.21/6</f>
        <v>-172013.6</v>
      </c>
      <c r="N40" s="255">
        <f>-Businessplan_prodej!$F$62*1.21/6</f>
        <v>-172013.6</v>
      </c>
      <c r="O40" s="255"/>
      <c r="P40" s="255"/>
      <c r="Q40" s="255"/>
      <c r="R40" s="255"/>
      <c r="S40" s="268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67"/>
      <c r="BY40" s="262">
        <f t="shared" si="18"/>
        <v>-1032081.6</v>
      </c>
      <c r="BZ40" s="597"/>
      <c r="CA40" s="222"/>
      <c r="CB40" s="248" t="e">
        <f t="shared" ca="1" si="19"/>
        <v>#REF!</v>
      </c>
      <c r="CC40" s="597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</row>
    <row r="41" spans="1:138" ht="15.95" outlineLevel="1">
      <c r="A41" s="505"/>
      <c r="B41" s="600"/>
      <c r="C41" s="263" t="s">
        <v>176</v>
      </c>
      <c r="D41" s="250" t="s">
        <v>223</v>
      </c>
      <c r="E41" s="255"/>
      <c r="F41" s="255"/>
      <c r="G41" s="255"/>
      <c r="H41" s="255"/>
      <c r="I41" s="255">
        <f>-Businessplan_prodej!$F$66*1.21/6</f>
        <v>-26765.199999999997</v>
      </c>
      <c r="J41" s="255">
        <f>-Businessplan_prodej!$F$66*1.21/6</f>
        <v>-26765.199999999997</v>
      </c>
      <c r="K41" s="255">
        <f>-Businessplan_prodej!$F$66*1.21/6</f>
        <v>-26765.199999999997</v>
      </c>
      <c r="L41" s="255">
        <f>-Businessplan_prodej!$F$66*1.21/6</f>
        <v>-26765.199999999997</v>
      </c>
      <c r="M41" s="255">
        <f>-Businessplan_prodej!$F$66*1.21/6</f>
        <v>-26765.199999999997</v>
      </c>
      <c r="N41" s="255">
        <f>-Businessplan_prodej!$F$66*1.21/6</f>
        <v>-26765.199999999997</v>
      </c>
      <c r="O41" s="255"/>
      <c r="P41" s="255"/>
      <c r="Q41" s="255"/>
      <c r="R41" s="255"/>
      <c r="S41" s="268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67"/>
      <c r="BY41" s="262">
        <f t="shared" si="18"/>
        <v>-160591.20000000001</v>
      </c>
      <c r="BZ41" s="597"/>
      <c r="CA41" s="222"/>
      <c r="CB41" s="248"/>
      <c r="CC41" s="597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</row>
    <row r="42" spans="1:138" ht="15.95" outlineLevel="1">
      <c r="A42" s="505"/>
      <c r="B42" s="600"/>
      <c r="C42" s="249" t="s">
        <v>177</v>
      </c>
      <c r="D42" s="250" t="s">
        <v>223</v>
      </c>
      <c r="E42" s="251"/>
      <c r="F42" s="251"/>
      <c r="G42" s="251"/>
      <c r="H42" s="251">
        <f>-11364-25000</f>
        <v>-36364</v>
      </c>
      <c r="I42" s="251">
        <f>-Businessplan_prodej!$F$67/12*1.21</f>
        <v>-10376.583333333334</v>
      </c>
      <c r="J42" s="251">
        <f>-Businessplan_prodej!$F$67/12*1.21</f>
        <v>-10376.583333333334</v>
      </c>
      <c r="K42" s="251">
        <f>-Businessplan_prodej!$F$67/12*1.21</f>
        <v>-10376.583333333334</v>
      </c>
      <c r="L42" s="251">
        <f>-Businessplan_prodej!$F$67/12*1.21</f>
        <v>-10376.583333333334</v>
      </c>
      <c r="M42" s="251">
        <f>-Businessplan_prodej!$F$67/12*1.21</f>
        <v>-10376.583333333334</v>
      </c>
      <c r="N42" s="251">
        <f>-Businessplan_prodej!$F$67/12*1.21</f>
        <v>-10376.583333333334</v>
      </c>
      <c r="O42" s="251">
        <f>-Businessplan_prodej!$F$67/12*1.21</f>
        <v>-10376.583333333334</v>
      </c>
      <c r="P42" s="251">
        <f>-Businessplan_prodej!$F$67/12*1.21</f>
        <v>-10376.583333333334</v>
      </c>
      <c r="Q42" s="251">
        <f>-Businessplan_prodej!$F$67/12*1.21</f>
        <v>-10376.583333333334</v>
      </c>
      <c r="R42" s="251">
        <f>-Businessplan_prodej!$F$67/12*1.21</f>
        <v>-10376.583333333334</v>
      </c>
      <c r="S42" s="251">
        <f>-Businessplan_prodej!$F$67/12*1.21</f>
        <v>-10376.583333333334</v>
      </c>
      <c r="T42" s="251">
        <f>-Businessplan_prodej!$F$67/12*1.21</f>
        <v>-10376.583333333334</v>
      </c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  <c r="AS42" s="251"/>
      <c r="AT42" s="251"/>
      <c r="AU42" s="251"/>
      <c r="AV42" s="251"/>
      <c r="AW42" s="251"/>
      <c r="AX42" s="251"/>
      <c r="AY42" s="251"/>
      <c r="AZ42" s="251"/>
      <c r="BA42" s="251"/>
      <c r="BB42" s="251"/>
      <c r="BC42" s="251"/>
      <c r="BD42" s="251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60"/>
      <c r="BY42" s="262">
        <f t="shared" si="18"/>
        <v>-160883</v>
      </c>
      <c r="BZ42" s="597"/>
      <c r="CA42" s="222"/>
      <c r="CB42" s="248" t="e">
        <f t="shared" ref="CB42:CB43" ca="1" si="20">SUM(INDEX(AC42:BX42, , 1):INDEX(AC42:BX42, ,MATCH(#REF!, $E$3:$BX$3,0) ))</f>
        <v>#REF!</v>
      </c>
      <c r="CC42" s="597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</row>
    <row r="43" spans="1:138" ht="15.95" outlineLevel="1">
      <c r="A43" s="505"/>
      <c r="B43" s="600"/>
      <c r="C43" s="249" t="s">
        <v>178</v>
      </c>
      <c r="D43" s="250" t="s">
        <v>223</v>
      </c>
      <c r="E43" s="251"/>
      <c r="F43" s="251"/>
      <c r="G43" s="251"/>
      <c r="H43" s="251">
        <f>-1000-65673</f>
        <v>-66673</v>
      </c>
      <c r="I43" s="251">
        <f>-Businessplan_prodej!$F$68/12*1.21</f>
        <v>-19052.833333333336</v>
      </c>
      <c r="J43" s="251">
        <f>-Businessplan_prodej!$F$68/12*1.21</f>
        <v>-19052.833333333336</v>
      </c>
      <c r="K43" s="251">
        <f>-Businessplan_prodej!$F$68/12*1.21</f>
        <v>-19052.833333333336</v>
      </c>
      <c r="L43" s="251">
        <f>-Businessplan_prodej!$F$68/12*1.21</f>
        <v>-19052.833333333336</v>
      </c>
      <c r="M43" s="251">
        <f>-Businessplan_prodej!$F$68/12*1.21</f>
        <v>-19052.833333333336</v>
      </c>
      <c r="N43" s="251">
        <f>-Businessplan_prodej!$F$68/12*1.21</f>
        <v>-19052.833333333336</v>
      </c>
      <c r="O43" s="251">
        <f>-Businessplan_prodej!$F$68/12*1.21</f>
        <v>-19052.833333333336</v>
      </c>
      <c r="P43" s="251">
        <f>-Businessplan_prodej!$F$68/12*1.21</f>
        <v>-19052.833333333336</v>
      </c>
      <c r="Q43" s="251">
        <f>-Businessplan_prodej!$F$68/12*1.21</f>
        <v>-19052.833333333336</v>
      </c>
      <c r="R43" s="251">
        <f>-Businessplan_prodej!$F$68/12*1.21</f>
        <v>-19052.833333333336</v>
      </c>
      <c r="S43" s="251">
        <f>-Businessplan_prodej!$F$68/12*1.21</f>
        <v>-19052.833333333336</v>
      </c>
      <c r="T43" s="251">
        <f>-Businessplan_prodej!$F$68/12*1.21</f>
        <v>-19052.833333333336</v>
      </c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60"/>
      <c r="BY43" s="262">
        <f t="shared" si="18"/>
        <v>-295307.00000000006</v>
      </c>
      <c r="BZ43" s="597"/>
      <c r="CA43" s="222"/>
      <c r="CB43" s="248" t="e">
        <f t="shared" ca="1" si="20"/>
        <v>#REF!</v>
      </c>
      <c r="CC43" s="597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</row>
    <row r="44" spans="1:138" ht="14.25" customHeight="1" outlineLevel="1">
      <c r="A44" s="505"/>
      <c r="B44" s="600"/>
      <c r="C44" s="249" t="s">
        <v>179</v>
      </c>
      <c r="D44" s="250" t="s">
        <v>223</v>
      </c>
      <c r="E44" s="251"/>
      <c r="F44" s="251"/>
      <c r="G44" s="251"/>
      <c r="H44" s="251">
        <f>-10188.2</f>
        <v>-10188.200000000001</v>
      </c>
      <c r="I44" s="251">
        <f>-Businessplan_prodej!$F$69*0.3*1.21</f>
        <v>-35336.31</v>
      </c>
      <c r="J44" s="251"/>
      <c r="K44" s="251"/>
      <c r="L44" s="251"/>
      <c r="M44" s="251"/>
      <c r="N44" s="251"/>
      <c r="O44" s="251"/>
      <c r="P44" s="251">
        <f>-Businessplan_prodej!$F$69*0.2*1.21</f>
        <v>-23557.54</v>
      </c>
      <c r="Q44" s="251"/>
      <c r="R44" s="251"/>
      <c r="S44" s="251"/>
      <c r="T44" s="251">
        <f>-Businessplan_prodej!$F$69*0.5*1.21</f>
        <v>-58893.85</v>
      </c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  <c r="AT44" s="251"/>
      <c r="AU44" s="251"/>
      <c r="AV44" s="251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1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60"/>
      <c r="BY44" s="262">
        <f t="shared" si="18"/>
        <v>-127975.9</v>
      </c>
      <c r="BZ44" s="597"/>
      <c r="CA44" s="222"/>
      <c r="CB44" s="248" t="e">
        <f t="shared" ref="CB44:CB46" ca="1" si="21">SUM(INDEX(AC44:BX44, , 1):INDEX(AC44:BX44, ,MATCH(CB1, $E$3:$BX$3,0) ))</f>
        <v>#N/A</v>
      </c>
      <c r="CC44" s="597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</row>
    <row r="45" spans="1:138" ht="14.25" customHeight="1" outlineLevel="1">
      <c r="A45" s="505"/>
      <c r="B45" s="600"/>
      <c r="C45" s="249" t="s">
        <v>180</v>
      </c>
      <c r="D45" s="250" t="s">
        <v>223</v>
      </c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60"/>
      <c r="BY45" s="262">
        <f t="shared" si="18"/>
        <v>0</v>
      </c>
      <c r="BZ45" s="597"/>
      <c r="CA45" s="222"/>
      <c r="CB45" s="248" t="e">
        <f t="shared" ca="1" si="21"/>
        <v>#N/A</v>
      </c>
      <c r="CC45" s="597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</row>
    <row r="46" spans="1:138" ht="14.25" customHeight="1" outlineLevel="1">
      <c r="A46" s="505"/>
      <c r="B46" s="600"/>
      <c r="C46" s="249" t="s">
        <v>181</v>
      </c>
      <c r="D46" s="254" t="s">
        <v>223</v>
      </c>
      <c r="E46" s="251"/>
      <c r="F46" s="251"/>
      <c r="G46" s="251"/>
      <c r="H46" s="251"/>
      <c r="I46" s="251">
        <f>-(Businessplan_prodej!$N$17*2*1.21)*75%</f>
        <v>-1617765.5640189997</v>
      </c>
      <c r="J46" s="251"/>
      <c r="K46" s="251"/>
      <c r="L46" s="251"/>
      <c r="M46" s="251"/>
      <c r="N46" s="251"/>
      <c r="O46" s="251">
        <f>-(Businessplan_prodej!$N$17*2*1.21)*25%</f>
        <v>-539255.18800633319</v>
      </c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60"/>
      <c r="BY46" s="262">
        <f t="shared" si="18"/>
        <v>-2157020.7520253328</v>
      </c>
      <c r="BZ46" s="597"/>
      <c r="CA46" s="222"/>
      <c r="CB46" s="248" t="e">
        <f t="shared" ca="1" si="21"/>
        <v>#N/A</v>
      </c>
      <c r="CC46" s="597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22"/>
      <c r="DJ46" s="222"/>
      <c r="DK46" s="222"/>
      <c r="DL46" s="222"/>
      <c r="DM46" s="222"/>
      <c r="DN46" s="222"/>
      <c r="DO46" s="222"/>
      <c r="DP46" s="222"/>
      <c r="DQ46" s="222"/>
      <c r="DR46" s="222"/>
      <c r="DS46" s="222"/>
      <c r="DT46" s="222"/>
      <c r="DU46" s="222"/>
      <c r="DV46" s="222"/>
      <c r="DW46" s="222"/>
      <c r="DX46" s="222"/>
      <c r="DY46" s="222"/>
      <c r="DZ46" s="222"/>
      <c r="EA46" s="222"/>
      <c r="EB46" s="222"/>
      <c r="EC46" s="222"/>
      <c r="ED46" s="222"/>
      <c r="EE46" s="222"/>
      <c r="EF46" s="222"/>
      <c r="EG46" s="222"/>
      <c r="EH46" s="222"/>
    </row>
    <row r="47" spans="1:138" ht="15.95">
      <c r="A47" s="505"/>
      <c r="B47" s="600"/>
      <c r="C47" s="244" t="s">
        <v>245</v>
      </c>
      <c r="D47" s="245"/>
      <c r="E47" s="246">
        <f t="shared" ref="E47:BX47" si="22">SUM(E48:E52)</f>
        <v>0</v>
      </c>
      <c r="F47" s="246">
        <f t="shared" si="22"/>
        <v>0</v>
      </c>
      <c r="G47" s="246">
        <f t="shared" si="22"/>
        <v>0</v>
      </c>
      <c r="H47" s="246">
        <f t="shared" si="22"/>
        <v>-1442.155</v>
      </c>
      <c r="I47" s="246">
        <f t="shared" si="22"/>
        <v>-2076.3529166666667</v>
      </c>
      <c r="J47" s="246">
        <f t="shared" si="22"/>
        <v>-2076.3529166666667</v>
      </c>
      <c r="K47" s="246">
        <f t="shared" si="22"/>
        <v>-102076.35291666667</v>
      </c>
      <c r="L47" s="246">
        <f t="shared" si="22"/>
        <v>-2076.3529166666667</v>
      </c>
      <c r="M47" s="246">
        <f t="shared" si="22"/>
        <v>-2076.3529166666667</v>
      </c>
      <c r="N47" s="246">
        <f t="shared" si="22"/>
        <v>-2076.3529166666667</v>
      </c>
      <c r="O47" s="246">
        <f t="shared" si="22"/>
        <v>-2076.3529166666667</v>
      </c>
      <c r="P47" s="246">
        <f t="shared" si="22"/>
        <v>-2076.3529166666667</v>
      </c>
      <c r="Q47" s="246">
        <f t="shared" si="22"/>
        <v>-2076.3529166666667</v>
      </c>
      <c r="R47" s="246">
        <f t="shared" si="22"/>
        <v>-2076.3529166666667</v>
      </c>
      <c r="S47" s="246">
        <f t="shared" si="22"/>
        <v>-2076.3529166666667</v>
      </c>
      <c r="T47" s="246">
        <f t="shared" si="22"/>
        <v>-2076.3529166666667</v>
      </c>
      <c r="U47" s="246">
        <f t="shared" si="22"/>
        <v>0</v>
      </c>
      <c r="V47" s="246">
        <f t="shared" si="22"/>
        <v>0</v>
      </c>
      <c r="W47" s="246">
        <f t="shared" si="22"/>
        <v>0</v>
      </c>
      <c r="X47" s="246">
        <f t="shared" si="22"/>
        <v>0</v>
      </c>
      <c r="Y47" s="246">
        <f t="shared" si="22"/>
        <v>0</v>
      </c>
      <c r="Z47" s="246">
        <f t="shared" si="22"/>
        <v>0</v>
      </c>
      <c r="AA47" s="246">
        <f t="shared" si="22"/>
        <v>0</v>
      </c>
      <c r="AB47" s="246">
        <f t="shared" si="22"/>
        <v>0</v>
      </c>
      <c r="AC47" s="246">
        <f t="shared" si="22"/>
        <v>0</v>
      </c>
      <c r="AD47" s="246">
        <f t="shared" si="22"/>
        <v>0</v>
      </c>
      <c r="AE47" s="246">
        <f t="shared" si="22"/>
        <v>0</v>
      </c>
      <c r="AF47" s="246">
        <f t="shared" si="22"/>
        <v>0</v>
      </c>
      <c r="AG47" s="246">
        <f t="shared" si="22"/>
        <v>0</v>
      </c>
      <c r="AH47" s="246">
        <f t="shared" si="22"/>
        <v>0</v>
      </c>
      <c r="AI47" s="246">
        <f t="shared" si="22"/>
        <v>0</v>
      </c>
      <c r="AJ47" s="246">
        <f t="shared" si="22"/>
        <v>0</v>
      </c>
      <c r="AK47" s="246">
        <f t="shared" si="22"/>
        <v>0</v>
      </c>
      <c r="AL47" s="246">
        <f t="shared" si="22"/>
        <v>0</v>
      </c>
      <c r="AM47" s="246">
        <f t="shared" si="22"/>
        <v>0</v>
      </c>
      <c r="AN47" s="246">
        <f t="shared" si="22"/>
        <v>0</v>
      </c>
      <c r="AO47" s="246">
        <f t="shared" si="22"/>
        <v>0</v>
      </c>
      <c r="AP47" s="246">
        <f t="shared" si="22"/>
        <v>0</v>
      </c>
      <c r="AQ47" s="246">
        <f t="shared" si="22"/>
        <v>0</v>
      </c>
      <c r="AR47" s="246">
        <f t="shared" si="22"/>
        <v>0</v>
      </c>
      <c r="AS47" s="246">
        <f t="shared" si="22"/>
        <v>0</v>
      </c>
      <c r="AT47" s="246">
        <f t="shared" si="22"/>
        <v>0</v>
      </c>
      <c r="AU47" s="246">
        <f t="shared" si="22"/>
        <v>0</v>
      </c>
      <c r="AV47" s="246">
        <f t="shared" si="22"/>
        <v>0</v>
      </c>
      <c r="AW47" s="246">
        <f t="shared" si="22"/>
        <v>0</v>
      </c>
      <c r="AX47" s="246">
        <f t="shared" si="22"/>
        <v>0</v>
      </c>
      <c r="AY47" s="246">
        <f t="shared" si="22"/>
        <v>0</v>
      </c>
      <c r="AZ47" s="246">
        <f t="shared" si="22"/>
        <v>0</v>
      </c>
      <c r="BA47" s="246">
        <f t="shared" si="22"/>
        <v>0</v>
      </c>
      <c r="BB47" s="246">
        <f t="shared" si="22"/>
        <v>0</v>
      </c>
      <c r="BC47" s="246">
        <f t="shared" si="22"/>
        <v>0</v>
      </c>
      <c r="BD47" s="246">
        <f t="shared" si="22"/>
        <v>0</v>
      </c>
      <c r="BE47" s="246">
        <f t="shared" si="22"/>
        <v>0</v>
      </c>
      <c r="BF47" s="246">
        <f t="shared" si="22"/>
        <v>0</v>
      </c>
      <c r="BG47" s="246">
        <f t="shared" si="22"/>
        <v>0</v>
      </c>
      <c r="BH47" s="246">
        <f t="shared" si="22"/>
        <v>0</v>
      </c>
      <c r="BI47" s="246">
        <f t="shared" si="22"/>
        <v>0</v>
      </c>
      <c r="BJ47" s="246">
        <f t="shared" si="22"/>
        <v>0</v>
      </c>
      <c r="BK47" s="246">
        <f t="shared" si="22"/>
        <v>0</v>
      </c>
      <c r="BL47" s="246">
        <f t="shared" si="22"/>
        <v>0</v>
      </c>
      <c r="BM47" s="246">
        <f t="shared" si="22"/>
        <v>0</v>
      </c>
      <c r="BN47" s="246">
        <f t="shared" si="22"/>
        <v>0</v>
      </c>
      <c r="BO47" s="246">
        <f t="shared" si="22"/>
        <v>0</v>
      </c>
      <c r="BP47" s="246">
        <f t="shared" si="22"/>
        <v>0</v>
      </c>
      <c r="BQ47" s="246">
        <f t="shared" si="22"/>
        <v>0</v>
      </c>
      <c r="BR47" s="246">
        <f t="shared" si="22"/>
        <v>0</v>
      </c>
      <c r="BS47" s="246">
        <f t="shared" si="22"/>
        <v>0</v>
      </c>
      <c r="BT47" s="246">
        <f t="shared" si="22"/>
        <v>0</v>
      </c>
      <c r="BU47" s="246">
        <f t="shared" si="22"/>
        <v>0</v>
      </c>
      <c r="BV47" s="246">
        <f t="shared" si="22"/>
        <v>0</v>
      </c>
      <c r="BW47" s="246">
        <f t="shared" si="22"/>
        <v>0</v>
      </c>
      <c r="BX47" s="246">
        <f t="shared" si="22"/>
        <v>0</v>
      </c>
      <c r="BY47" s="248">
        <f>SUM(BY48:BY52)</f>
        <v>-126358.39</v>
      </c>
      <c r="BZ47" s="597"/>
      <c r="CA47" s="222"/>
      <c r="CB47" s="248" t="e">
        <f t="array" aca="1" ref="CB47" ca="1">SUM(INDEX(E47:BX47, , 1):INDEX(E47:BX47, ,MATCH($CB$4, $E$3:$BX$3,0) ))</f>
        <v>#N/A</v>
      </c>
      <c r="CC47" s="597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/>
      <c r="DU47" s="222"/>
      <c r="DV47" s="222"/>
      <c r="DW47" s="222"/>
      <c r="DX47" s="222"/>
      <c r="DY47" s="222"/>
      <c r="DZ47" s="222"/>
      <c r="EA47" s="222"/>
      <c r="EB47" s="222"/>
      <c r="EC47" s="222"/>
      <c r="ED47" s="222"/>
      <c r="EE47" s="222"/>
      <c r="EF47" s="222"/>
      <c r="EG47" s="222"/>
      <c r="EH47" s="222"/>
    </row>
    <row r="48" spans="1:138" ht="15.95" outlineLevel="1">
      <c r="A48" s="505"/>
      <c r="B48" s="600"/>
      <c r="C48" s="249" t="s">
        <v>183</v>
      </c>
      <c r="D48" s="250" t="s">
        <v>223</v>
      </c>
      <c r="E48" s="251"/>
      <c r="F48" s="251"/>
      <c r="G48" s="251"/>
      <c r="H48" s="251"/>
      <c r="I48" s="251"/>
      <c r="J48" s="251"/>
      <c r="K48" s="251">
        <f>-Businessplan_prodej!$F$98</f>
        <v>-100000</v>
      </c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60"/>
      <c r="BY48" s="261">
        <f t="shared" ref="BY48:BY52" si="23">SUM(E48:BX48)</f>
        <v>-100000</v>
      </c>
      <c r="BZ48" s="597"/>
      <c r="CA48" s="222"/>
      <c r="CB48" s="248" t="e">
        <f t="shared" ref="CB48:CB52" ca="1" si="24">SUM(INDEX(AC48:BX48, , 1):INDEX(AC48:BX48, ,MATCH(CB5, E4:BX4,0) ))</f>
        <v>#N/A</v>
      </c>
      <c r="CC48" s="597"/>
      <c r="CD48" s="222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2"/>
      <c r="CV48" s="222"/>
      <c r="CW48" s="222"/>
      <c r="CX48" s="222"/>
      <c r="CY48" s="222"/>
      <c r="CZ48" s="222"/>
      <c r="DA48" s="222"/>
      <c r="DB48" s="222"/>
      <c r="DC48" s="222"/>
      <c r="DD48" s="222"/>
      <c r="DE48" s="222"/>
      <c r="DF48" s="222"/>
      <c r="DG48" s="222"/>
      <c r="DH48" s="222"/>
      <c r="DI48" s="222"/>
      <c r="DJ48" s="222"/>
      <c r="DK48" s="222"/>
      <c r="DL48" s="222"/>
      <c r="DM48" s="222"/>
      <c r="DN48" s="222"/>
      <c r="DO48" s="222"/>
      <c r="DP48" s="222"/>
      <c r="DQ48" s="222"/>
      <c r="DR48" s="222"/>
      <c r="DS48" s="222"/>
      <c r="DT48" s="222"/>
      <c r="DU48" s="222"/>
      <c r="DV48" s="222"/>
      <c r="DW48" s="222"/>
      <c r="DX48" s="222"/>
      <c r="DY48" s="222"/>
      <c r="DZ48" s="222"/>
      <c r="EA48" s="222"/>
      <c r="EB48" s="222"/>
      <c r="EC48" s="222"/>
      <c r="ED48" s="222"/>
      <c r="EE48" s="222"/>
      <c r="EF48" s="222"/>
      <c r="EG48" s="222"/>
      <c r="EH48" s="222"/>
    </row>
    <row r="49" spans="1:138" ht="15.95" outlineLevel="1">
      <c r="A49" s="505"/>
      <c r="B49" s="600"/>
      <c r="C49" s="249" t="s">
        <v>246</v>
      </c>
      <c r="D49" s="250" t="s">
        <v>223</v>
      </c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51"/>
      <c r="BW49" s="251"/>
      <c r="BX49" s="260"/>
      <c r="BY49" s="261">
        <f t="shared" si="23"/>
        <v>0</v>
      </c>
      <c r="BZ49" s="597"/>
      <c r="CA49" s="222"/>
      <c r="CB49" s="248" t="e">
        <f t="shared" ca="1" si="24"/>
        <v>#N/A</v>
      </c>
      <c r="CC49" s="597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2"/>
      <c r="DE49" s="222"/>
      <c r="DF49" s="222"/>
      <c r="DG49" s="222"/>
      <c r="DH49" s="222"/>
      <c r="DI49" s="222"/>
      <c r="DJ49" s="222"/>
      <c r="DK49" s="222"/>
      <c r="DL49" s="222"/>
      <c r="DM49" s="222"/>
      <c r="DN49" s="222"/>
      <c r="DO49" s="222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2"/>
      <c r="EA49" s="222"/>
      <c r="EB49" s="222"/>
      <c r="EC49" s="222"/>
      <c r="ED49" s="222"/>
      <c r="EE49" s="222"/>
      <c r="EF49" s="222"/>
      <c r="EG49" s="222"/>
      <c r="EH49" s="222"/>
    </row>
    <row r="50" spans="1:138" ht="15.95" outlineLevel="1">
      <c r="A50" s="505"/>
      <c r="B50" s="600"/>
      <c r="C50" s="249" t="s">
        <v>247</v>
      </c>
      <c r="D50" s="250" t="s">
        <v>223</v>
      </c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60"/>
      <c r="BY50" s="261">
        <f t="shared" si="23"/>
        <v>0</v>
      </c>
      <c r="BZ50" s="597"/>
      <c r="CA50" s="222"/>
      <c r="CB50" s="248" t="e">
        <f t="shared" ca="1" si="24"/>
        <v>#N/A</v>
      </c>
      <c r="CC50" s="597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22"/>
      <c r="DH50" s="222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</row>
    <row r="51" spans="1:138" ht="15.95" outlineLevel="1">
      <c r="A51" s="505"/>
      <c r="B51" s="600"/>
      <c r="C51" s="249" t="s">
        <v>189</v>
      </c>
      <c r="D51" s="250" t="s">
        <v>223</v>
      </c>
      <c r="E51" s="251"/>
      <c r="F51" s="251"/>
      <c r="G51" s="251"/>
      <c r="H51" s="251">
        <f>-3-12-5-200-2-12-400-36-(0.02+0.09+0.21+17.06)*22-15.91*24.5</f>
        <v>-1442.155</v>
      </c>
      <c r="I51" s="251">
        <f>-Businessplan_prodej!$F$102/12</f>
        <v>-2076.3529166666667</v>
      </c>
      <c r="J51" s="251">
        <f>-Businessplan_prodej!$F$102/12</f>
        <v>-2076.3529166666667</v>
      </c>
      <c r="K51" s="251">
        <f>-Businessplan_prodej!$F$102/12</f>
        <v>-2076.3529166666667</v>
      </c>
      <c r="L51" s="251">
        <f>-Businessplan_prodej!$F$102/12</f>
        <v>-2076.3529166666667</v>
      </c>
      <c r="M51" s="251">
        <f>-Businessplan_prodej!$F$102/12</f>
        <v>-2076.3529166666667</v>
      </c>
      <c r="N51" s="251">
        <f>-Businessplan_prodej!$F$102/12</f>
        <v>-2076.3529166666667</v>
      </c>
      <c r="O51" s="251">
        <f>-Businessplan_prodej!$F$102/12</f>
        <v>-2076.3529166666667</v>
      </c>
      <c r="P51" s="251">
        <f>-Businessplan_prodej!$F$102/12</f>
        <v>-2076.3529166666667</v>
      </c>
      <c r="Q51" s="251">
        <f>-Businessplan_prodej!$F$102/12</f>
        <v>-2076.3529166666667</v>
      </c>
      <c r="R51" s="251">
        <f>-Businessplan_prodej!$F$102/12</f>
        <v>-2076.3529166666667</v>
      </c>
      <c r="S51" s="251">
        <f>-Businessplan_prodej!$F$102/12</f>
        <v>-2076.3529166666667</v>
      </c>
      <c r="T51" s="251">
        <f>-Businessplan_prodej!$F$102/12</f>
        <v>-2076.3529166666667</v>
      </c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60"/>
      <c r="BY51" s="262">
        <f t="shared" si="23"/>
        <v>-26358.39</v>
      </c>
      <c r="BZ51" s="597"/>
      <c r="CA51" s="222"/>
      <c r="CB51" s="248" t="e">
        <f t="shared" ca="1" si="24"/>
        <v>#N/A</v>
      </c>
      <c r="CC51" s="597"/>
      <c r="CD51" s="222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222"/>
      <c r="DJ51" s="222"/>
      <c r="DK51" s="222"/>
      <c r="DL51" s="222"/>
      <c r="DM51" s="222"/>
      <c r="DN51" s="222"/>
      <c r="DO51" s="222"/>
      <c r="DP51" s="222"/>
      <c r="DQ51" s="222"/>
      <c r="DR51" s="222"/>
      <c r="DS51" s="222"/>
      <c r="DT51" s="222"/>
      <c r="DU51" s="222"/>
      <c r="DV51" s="222"/>
      <c r="DW51" s="222"/>
      <c r="DX51" s="222"/>
      <c r="DY51" s="222"/>
      <c r="DZ51" s="222"/>
      <c r="EA51" s="222"/>
      <c r="EB51" s="222"/>
      <c r="EC51" s="222"/>
      <c r="ED51" s="222"/>
      <c r="EE51" s="222"/>
      <c r="EF51" s="222"/>
      <c r="EG51" s="222"/>
      <c r="EH51" s="222"/>
    </row>
    <row r="52" spans="1:138" ht="15.95" outlineLevel="1">
      <c r="A52" s="505"/>
      <c r="B52" s="600"/>
      <c r="C52" s="249" t="s">
        <v>190</v>
      </c>
      <c r="D52" s="254" t="s">
        <v>223</v>
      </c>
      <c r="E52" s="255"/>
      <c r="F52" s="255"/>
      <c r="G52" s="251"/>
      <c r="H52" s="251"/>
      <c r="I52" s="251"/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60"/>
      <c r="BY52" s="264">
        <f t="shared" si="23"/>
        <v>0</v>
      </c>
      <c r="BZ52" s="597"/>
      <c r="CA52" s="222"/>
      <c r="CB52" s="248" t="e">
        <f t="shared" ca="1" si="24"/>
        <v>#N/A</v>
      </c>
      <c r="CC52" s="597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</row>
    <row r="53" spans="1:138" ht="15.95">
      <c r="A53" s="505"/>
      <c r="B53" s="600"/>
      <c r="C53" s="244" t="s">
        <v>248</v>
      </c>
      <c r="D53" s="245"/>
      <c r="E53" s="246">
        <f t="shared" ref="E53:BX53" si="25">SUM(E54:E60)</f>
        <v>0</v>
      </c>
      <c r="F53" s="246">
        <f t="shared" si="25"/>
        <v>0</v>
      </c>
      <c r="G53" s="246">
        <f t="shared" si="25"/>
        <v>0</v>
      </c>
      <c r="H53" s="246">
        <f t="shared" si="25"/>
        <v>0</v>
      </c>
      <c r="I53" s="246">
        <f t="shared" si="25"/>
        <v>0</v>
      </c>
      <c r="J53" s="246">
        <f t="shared" si="25"/>
        <v>-808333</v>
      </c>
      <c r="K53" s="246">
        <f t="shared" si="25"/>
        <v>-128333.33333333336</v>
      </c>
      <c r="L53" s="246">
        <f t="shared" si="25"/>
        <v>-128333.33333333336</v>
      </c>
      <c r="M53" s="246">
        <f t="shared" si="25"/>
        <v>-300125.00000000006</v>
      </c>
      <c r="N53" s="246">
        <f t="shared" si="25"/>
        <v>-300125.00000000006</v>
      </c>
      <c r="O53" s="246">
        <f t="shared" si="25"/>
        <v>-300125.00000000006</v>
      </c>
      <c r="P53" s="246">
        <f t="shared" si="25"/>
        <v>-300125.00000000006</v>
      </c>
      <c r="Q53" s="246">
        <f t="shared" si="25"/>
        <v>-300125.00000000006</v>
      </c>
      <c r="R53" s="246">
        <f t="shared" si="25"/>
        <v>-300125.00000000006</v>
      </c>
      <c r="S53" s="246">
        <f t="shared" si="25"/>
        <v>-300125.00000000006</v>
      </c>
      <c r="T53" s="246">
        <f t="shared" si="25"/>
        <v>-497000.00000000006</v>
      </c>
      <c r="U53" s="246">
        <f t="shared" si="25"/>
        <v>0</v>
      </c>
      <c r="V53" s="246">
        <f t="shared" si="25"/>
        <v>0</v>
      </c>
      <c r="W53" s="246">
        <f t="shared" si="25"/>
        <v>0</v>
      </c>
      <c r="X53" s="246">
        <f t="shared" si="25"/>
        <v>0</v>
      </c>
      <c r="Y53" s="246">
        <f t="shared" si="25"/>
        <v>0</v>
      </c>
      <c r="Z53" s="246">
        <f t="shared" si="25"/>
        <v>0</v>
      </c>
      <c r="AA53" s="246">
        <f t="shared" si="25"/>
        <v>0</v>
      </c>
      <c r="AB53" s="246">
        <f t="shared" si="25"/>
        <v>0</v>
      </c>
      <c r="AC53" s="246">
        <f t="shared" si="25"/>
        <v>0</v>
      </c>
      <c r="AD53" s="246">
        <f t="shared" si="25"/>
        <v>0</v>
      </c>
      <c r="AE53" s="246">
        <f t="shared" si="25"/>
        <v>0</v>
      </c>
      <c r="AF53" s="246">
        <f t="shared" si="25"/>
        <v>0</v>
      </c>
      <c r="AG53" s="246">
        <f t="shared" si="25"/>
        <v>0</v>
      </c>
      <c r="AH53" s="246">
        <f t="shared" si="25"/>
        <v>0</v>
      </c>
      <c r="AI53" s="246">
        <f t="shared" si="25"/>
        <v>0</v>
      </c>
      <c r="AJ53" s="246">
        <f t="shared" si="25"/>
        <v>0</v>
      </c>
      <c r="AK53" s="246">
        <f t="shared" si="25"/>
        <v>0</v>
      </c>
      <c r="AL53" s="246">
        <f t="shared" si="25"/>
        <v>0</v>
      </c>
      <c r="AM53" s="246">
        <f t="shared" si="25"/>
        <v>0</v>
      </c>
      <c r="AN53" s="246">
        <f t="shared" si="25"/>
        <v>0</v>
      </c>
      <c r="AO53" s="246">
        <f t="shared" si="25"/>
        <v>0</v>
      </c>
      <c r="AP53" s="246">
        <f t="shared" si="25"/>
        <v>0</v>
      </c>
      <c r="AQ53" s="246">
        <f t="shared" si="25"/>
        <v>0</v>
      </c>
      <c r="AR53" s="246">
        <f t="shared" si="25"/>
        <v>0</v>
      </c>
      <c r="AS53" s="246">
        <f t="shared" si="25"/>
        <v>0</v>
      </c>
      <c r="AT53" s="246">
        <f t="shared" si="25"/>
        <v>0</v>
      </c>
      <c r="AU53" s="246">
        <f t="shared" si="25"/>
        <v>0</v>
      </c>
      <c r="AV53" s="246">
        <f t="shared" si="25"/>
        <v>0</v>
      </c>
      <c r="AW53" s="246">
        <f t="shared" si="25"/>
        <v>0</v>
      </c>
      <c r="AX53" s="246">
        <f t="shared" si="25"/>
        <v>0</v>
      </c>
      <c r="AY53" s="246">
        <f t="shared" si="25"/>
        <v>0</v>
      </c>
      <c r="AZ53" s="246">
        <f t="shared" si="25"/>
        <v>0</v>
      </c>
      <c r="BA53" s="246">
        <f t="shared" si="25"/>
        <v>0</v>
      </c>
      <c r="BB53" s="246">
        <f t="shared" si="25"/>
        <v>0</v>
      </c>
      <c r="BC53" s="246">
        <f t="shared" si="25"/>
        <v>0</v>
      </c>
      <c r="BD53" s="246">
        <f t="shared" si="25"/>
        <v>0</v>
      </c>
      <c r="BE53" s="246">
        <f t="shared" si="25"/>
        <v>0</v>
      </c>
      <c r="BF53" s="246">
        <f t="shared" si="25"/>
        <v>0</v>
      </c>
      <c r="BG53" s="246">
        <f t="shared" si="25"/>
        <v>0</v>
      </c>
      <c r="BH53" s="246">
        <f t="shared" si="25"/>
        <v>0</v>
      </c>
      <c r="BI53" s="246">
        <f t="shared" si="25"/>
        <v>0</v>
      </c>
      <c r="BJ53" s="246">
        <f t="shared" si="25"/>
        <v>0</v>
      </c>
      <c r="BK53" s="246">
        <f t="shared" si="25"/>
        <v>0</v>
      </c>
      <c r="BL53" s="246">
        <f t="shared" si="25"/>
        <v>0</v>
      </c>
      <c r="BM53" s="246">
        <f t="shared" si="25"/>
        <v>0</v>
      </c>
      <c r="BN53" s="246">
        <f t="shared" si="25"/>
        <v>0</v>
      </c>
      <c r="BO53" s="246">
        <f t="shared" si="25"/>
        <v>0</v>
      </c>
      <c r="BP53" s="246">
        <f t="shared" si="25"/>
        <v>0</v>
      </c>
      <c r="BQ53" s="246">
        <f t="shared" si="25"/>
        <v>0</v>
      </c>
      <c r="BR53" s="246">
        <f t="shared" si="25"/>
        <v>0</v>
      </c>
      <c r="BS53" s="246">
        <f t="shared" si="25"/>
        <v>0</v>
      </c>
      <c r="BT53" s="246">
        <f t="shared" si="25"/>
        <v>0</v>
      </c>
      <c r="BU53" s="246">
        <f t="shared" si="25"/>
        <v>0</v>
      </c>
      <c r="BV53" s="246">
        <f t="shared" si="25"/>
        <v>0</v>
      </c>
      <c r="BW53" s="246">
        <f t="shared" si="25"/>
        <v>0</v>
      </c>
      <c r="BX53" s="246">
        <f t="shared" si="25"/>
        <v>0</v>
      </c>
      <c r="BY53" s="248">
        <f>SUM(BY54:BY60)</f>
        <v>-3662874.666666667</v>
      </c>
      <c r="BZ53" s="597"/>
      <c r="CA53" s="222"/>
      <c r="CB53" s="248" t="e">
        <f t="array" aca="1" ref="CB53" ca="1">SUM(INDEX(E53:BX53, , 1):INDEX(E53:BX53, ,MATCH($CB$4, $E$3:$BX$3,0) ))</f>
        <v>#N/A</v>
      </c>
      <c r="CC53" s="597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</row>
    <row r="54" spans="1:138" ht="15.95" outlineLevel="1">
      <c r="A54" s="505"/>
      <c r="B54" s="600"/>
      <c r="C54" s="249" t="s">
        <v>249</v>
      </c>
      <c r="D54" s="275">
        <v>0.105</v>
      </c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60"/>
      <c r="BN54" s="260"/>
      <c r="BO54" s="260"/>
      <c r="BP54" s="260"/>
      <c r="BQ54" s="260"/>
      <c r="BR54" s="260"/>
      <c r="BS54" s="260"/>
      <c r="BT54" s="260"/>
      <c r="BU54" s="260"/>
      <c r="BV54" s="260"/>
      <c r="BW54" s="260"/>
      <c r="BX54" s="260"/>
      <c r="BY54" s="276">
        <f t="shared" ref="BY54:BY60" si="26">SUM(E54:BX54)</f>
        <v>0</v>
      </c>
      <c r="BZ54" s="597"/>
      <c r="CA54" s="222"/>
      <c r="CB54" s="248" t="e">
        <f t="shared" ref="CB54:CB60" ca="1" si="27">SUM(INDEX(AC54:BX54, , 1):INDEX(AC54:BX54, ,MATCH(CB11, E10:BX10,0) ))</f>
        <v>#N/A</v>
      </c>
      <c r="CC54" s="597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</row>
    <row r="55" spans="1:138" ht="15.95" outlineLevel="1">
      <c r="A55" s="505"/>
      <c r="B55" s="600"/>
      <c r="C55" s="249" t="s">
        <v>250</v>
      </c>
      <c r="D55" s="275">
        <v>0.105</v>
      </c>
      <c r="E55" s="251"/>
      <c r="F55" s="251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>
        <f>-SUM('Interest Calc EQ'!J12:J22)-'Interest Calc EQ'!J22</f>
        <v>-196875</v>
      </c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60"/>
      <c r="BN55" s="260"/>
      <c r="BO55" s="260"/>
      <c r="BP55" s="260"/>
      <c r="BQ55" s="260"/>
      <c r="BR55" s="260"/>
      <c r="BS55" s="260"/>
      <c r="BT55" s="260"/>
      <c r="BU55" s="260"/>
      <c r="BV55" s="260"/>
      <c r="BW55" s="260"/>
      <c r="BX55" s="260"/>
      <c r="BY55" s="276">
        <f t="shared" si="26"/>
        <v>-196875</v>
      </c>
      <c r="BZ55" s="597"/>
      <c r="CA55" s="222"/>
      <c r="CB55" s="248" t="e">
        <f t="shared" ca="1" si="27"/>
        <v>#N/A</v>
      </c>
      <c r="CC55" s="597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222"/>
      <c r="DJ55" s="222"/>
      <c r="DK55" s="222"/>
      <c r="DL55" s="222"/>
      <c r="DM55" s="222"/>
      <c r="DN55" s="222"/>
      <c r="DO55" s="222"/>
      <c r="DP55" s="222"/>
      <c r="DQ55" s="222"/>
      <c r="DR55" s="222"/>
      <c r="DS55" s="222"/>
      <c r="DT55" s="222"/>
      <c r="DU55" s="222"/>
      <c r="DV55" s="222"/>
      <c r="DW55" s="222"/>
      <c r="DX55" s="222"/>
      <c r="DY55" s="222"/>
      <c r="DZ55" s="222"/>
      <c r="EA55" s="222"/>
      <c r="EB55" s="222"/>
      <c r="EC55" s="222"/>
      <c r="ED55" s="222"/>
      <c r="EE55" s="222"/>
      <c r="EF55" s="222"/>
      <c r="EG55" s="222"/>
      <c r="EH55" s="222"/>
    </row>
    <row r="56" spans="1:138" ht="15.95" outlineLevel="1">
      <c r="A56" s="505"/>
      <c r="B56" s="600"/>
      <c r="C56" s="249" t="s">
        <v>251</v>
      </c>
      <c r="D56" s="275">
        <v>0.105</v>
      </c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76">
        <f t="shared" si="26"/>
        <v>0</v>
      </c>
      <c r="BZ56" s="597"/>
      <c r="CA56" s="222"/>
      <c r="CB56" s="248" t="e">
        <f t="shared" ca="1" si="27"/>
        <v>#N/A</v>
      </c>
      <c r="CC56" s="597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</row>
    <row r="57" spans="1:138" ht="15.95" outlineLevel="1">
      <c r="A57" s="505"/>
      <c r="B57" s="600"/>
      <c r="C57" s="249" t="s">
        <v>252</v>
      </c>
      <c r="D57" s="275">
        <v>0.105</v>
      </c>
      <c r="E57" s="251"/>
      <c r="F57" s="251"/>
      <c r="G57" s="251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77">
        <f t="shared" si="26"/>
        <v>0</v>
      </c>
      <c r="BZ57" s="597"/>
      <c r="CA57" s="222"/>
      <c r="CB57" s="248" t="e">
        <f t="shared" ca="1" si="27"/>
        <v>#N/A</v>
      </c>
      <c r="CC57" s="597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</row>
    <row r="58" spans="1:138" ht="15.95" outlineLevel="1">
      <c r="A58" s="505"/>
      <c r="B58" s="600"/>
      <c r="C58" s="249" t="s">
        <v>253</v>
      </c>
      <c r="D58" s="275">
        <v>0.15</v>
      </c>
      <c r="E58" s="251"/>
      <c r="F58" s="251"/>
      <c r="G58" s="251"/>
      <c r="H58" s="251"/>
      <c r="I58" s="251"/>
      <c r="J58" s="251">
        <f>-657296-151037</f>
        <v>-808333</v>
      </c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78">
        <f t="shared" si="26"/>
        <v>-808333</v>
      </c>
      <c r="BZ58" s="597"/>
      <c r="CA58" s="222"/>
      <c r="CB58" s="248" t="e">
        <f t="shared" ca="1" si="27"/>
        <v>#N/A</v>
      </c>
      <c r="CC58" s="597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</row>
    <row r="59" spans="1:138" ht="15.95" outlineLevel="1">
      <c r="A59" s="505"/>
      <c r="B59" s="600"/>
      <c r="C59" s="249" t="s">
        <v>328</v>
      </c>
      <c r="D59" s="279">
        <f>25%/12</f>
        <v>2.0833333333333332E-2</v>
      </c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  <c r="BA59" s="255"/>
      <c r="BB59" s="255"/>
      <c r="BC59" s="255"/>
      <c r="BD59" s="255"/>
      <c r="BE59" s="255"/>
      <c r="BF59" s="255"/>
      <c r="BG59" s="255"/>
      <c r="BH59" s="255"/>
      <c r="BI59" s="255"/>
      <c r="BJ59" s="255"/>
      <c r="BK59" s="255"/>
      <c r="BL59" s="251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78">
        <f t="shared" si="26"/>
        <v>0</v>
      </c>
      <c r="BZ59" s="597"/>
      <c r="CA59" s="222"/>
      <c r="CB59" s="248" t="e">
        <f t="shared" ca="1" si="27"/>
        <v>#N/A</v>
      </c>
      <c r="CC59" s="597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</row>
    <row r="60" spans="1:138" ht="15.95" outlineLevel="1">
      <c r="A60" s="505"/>
      <c r="B60" s="600"/>
      <c r="C60" s="280" t="s">
        <v>255</v>
      </c>
      <c r="D60" s="281">
        <v>7.0000000000000007E-2</v>
      </c>
      <c r="E60" s="282"/>
      <c r="F60" s="282"/>
      <c r="G60" s="282"/>
      <c r="H60" s="282"/>
      <c r="I60" s="282"/>
      <c r="J60" s="282"/>
      <c r="K60" s="282">
        <f t="shared" ref="K60:L60" si="28">-$K$11*$D$60/12</f>
        <v>-128333.33333333336</v>
      </c>
      <c r="L60" s="282">
        <f t="shared" si="28"/>
        <v>-128333.33333333336</v>
      </c>
      <c r="M60" s="282">
        <f t="shared" ref="M60:T60" si="29">-SUM($K$11:$M$11)*$D$60/12</f>
        <v>-300125.00000000006</v>
      </c>
      <c r="N60" s="282">
        <f t="shared" si="29"/>
        <v>-300125.00000000006</v>
      </c>
      <c r="O60" s="282">
        <f t="shared" si="29"/>
        <v>-300125.00000000006</v>
      </c>
      <c r="P60" s="282">
        <f t="shared" si="29"/>
        <v>-300125.00000000006</v>
      </c>
      <c r="Q60" s="282">
        <f t="shared" si="29"/>
        <v>-300125.00000000006</v>
      </c>
      <c r="R60" s="282">
        <f t="shared" si="29"/>
        <v>-300125.00000000006</v>
      </c>
      <c r="S60" s="282">
        <f t="shared" si="29"/>
        <v>-300125.00000000006</v>
      </c>
      <c r="T60" s="282">
        <f t="shared" si="29"/>
        <v>-300125.00000000006</v>
      </c>
      <c r="U60" s="282"/>
      <c r="V60" s="282"/>
      <c r="W60" s="282"/>
      <c r="X60" s="282"/>
      <c r="Y60" s="282"/>
      <c r="Z60" s="282"/>
      <c r="AA60" s="282"/>
      <c r="AB60" s="282"/>
      <c r="AC60" s="282"/>
      <c r="AD60" s="282"/>
      <c r="AE60" s="282"/>
      <c r="AF60" s="282"/>
      <c r="AG60" s="282"/>
      <c r="AH60" s="282"/>
      <c r="AI60" s="282"/>
      <c r="AJ60" s="282"/>
      <c r="AK60" s="282"/>
      <c r="AL60" s="282"/>
      <c r="AM60" s="282"/>
      <c r="AN60" s="282"/>
      <c r="AO60" s="282"/>
      <c r="AP60" s="282"/>
      <c r="AQ60" s="282"/>
      <c r="AR60" s="282"/>
      <c r="AS60" s="282"/>
      <c r="AT60" s="282"/>
      <c r="AU60" s="282"/>
      <c r="AV60" s="282"/>
      <c r="AW60" s="282"/>
      <c r="AX60" s="282"/>
      <c r="AY60" s="282"/>
      <c r="AZ60" s="282"/>
      <c r="BA60" s="282"/>
      <c r="BB60" s="282"/>
      <c r="BC60" s="282"/>
      <c r="BD60" s="282"/>
      <c r="BE60" s="282"/>
      <c r="BF60" s="282"/>
      <c r="BG60" s="282"/>
      <c r="BH60" s="282"/>
      <c r="BI60" s="282"/>
      <c r="BJ60" s="282"/>
      <c r="BK60" s="282"/>
      <c r="BL60" s="282"/>
      <c r="BM60" s="284"/>
      <c r="BN60" s="284"/>
      <c r="BO60" s="284"/>
      <c r="BP60" s="284"/>
      <c r="BQ60" s="284"/>
      <c r="BR60" s="284"/>
      <c r="BS60" s="284"/>
      <c r="BT60" s="284"/>
      <c r="BU60" s="284"/>
      <c r="BV60" s="284"/>
      <c r="BW60" s="284"/>
      <c r="BX60" s="284"/>
      <c r="BY60" s="285">
        <f t="shared" si="26"/>
        <v>-2657666.666666667</v>
      </c>
      <c r="BZ60" s="597"/>
      <c r="CA60" s="222"/>
      <c r="CB60" s="248" t="e">
        <f t="shared" ca="1" si="27"/>
        <v>#N/A</v>
      </c>
      <c r="CC60" s="597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</row>
    <row r="61" spans="1:138" ht="15.95">
      <c r="A61" s="505"/>
      <c r="B61" s="600"/>
      <c r="C61" s="244" t="s">
        <v>256</v>
      </c>
      <c r="D61" s="245"/>
      <c r="E61" s="246">
        <f t="shared" ref="E61:BY61" si="30">SUM(E62:E84)</f>
        <v>0</v>
      </c>
      <c r="F61" s="246">
        <f t="shared" si="30"/>
        <v>0</v>
      </c>
      <c r="G61" s="246">
        <f t="shared" si="30"/>
        <v>0</v>
      </c>
      <c r="H61" s="246">
        <f t="shared" si="30"/>
        <v>0</v>
      </c>
      <c r="I61" s="246">
        <f t="shared" si="30"/>
        <v>0</v>
      </c>
      <c r="J61" s="246">
        <f t="shared" si="30"/>
        <v>0</v>
      </c>
      <c r="K61" s="246">
        <f t="shared" si="30"/>
        <v>0</v>
      </c>
      <c r="L61" s="246">
        <f t="shared" si="30"/>
        <v>0</v>
      </c>
      <c r="M61" s="246">
        <f t="shared" si="30"/>
        <v>0</v>
      </c>
      <c r="N61" s="246">
        <f t="shared" si="30"/>
        <v>0</v>
      </c>
      <c r="O61" s="246">
        <f t="shared" si="30"/>
        <v>0</v>
      </c>
      <c r="P61" s="246">
        <f t="shared" si="30"/>
        <v>0</v>
      </c>
      <c r="Q61" s="246">
        <f t="shared" si="30"/>
        <v>-98230.703999999983</v>
      </c>
      <c r="R61" s="246">
        <f t="shared" si="30"/>
        <v>-98230.703999999983</v>
      </c>
      <c r="S61" s="246">
        <f t="shared" si="30"/>
        <v>-98230.703999999983</v>
      </c>
      <c r="T61" s="246">
        <f t="shared" si="30"/>
        <v>-98230.703999999983</v>
      </c>
      <c r="U61" s="246">
        <f t="shared" si="30"/>
        <v>0</v>
      </c>
      <c r="V61" s="246">
        <f t="shared" si="30"/>
        <v>0</v>
      </c>
      <c r="W61" s="246">
        <f t="shared" si="30"/>
        <v>0</v>
      </c>
      <c r="X61" s="246">
        <f t="shared" si="30"/>
        <v>0</v>
      </c>
      <c r="Y61" s="246">
        <f t="shared" si="30"/>
        <v>0</v>
      </c>
      <c r="Z61" s="246">
        <f t="shared" si="30"/>
        <v>0</v>
      </c>
      <c r="AA61" s="246">
        <f t="shared" si="30"/>
        <v>0</v>
      </c>
      <c r="AB61" s="246">
        <f t="shared" si="30"/>
        <v>0</v>
      </c>
      <c r="AC61" s="246">
        <f t="shared" si="30"/>
        <v>0</v>
      </c>
      <c r="AD61" s="246">
        <f t="shared" si="30"/>
        <v>0</v>
      </c>
      <c r="AE61" s="246">
        <f t="shared" si="30"/>
        <v>0</v>
      </c>
      <c r="AF61" s="246">
        <f t="shared" si="30"/>
        <v>0</v>
      </c>
      <c r="AG61" s="246">
        <f t="shared" si="30"/>
        <v>0</v>
      </c>
      <c r="AH61" s="246">
        <f t="shared" si="30"/>
        <v>0</v>
      </c>
      <c r="AI61" s="246">
        <f t="shared" si="30"/>
        <v>0</v>
      </c>
      <c r="AJ61" s="246">
        <f t="shared" si="30"/>
        <v>0</v>
      </c>
      <c r="AK61" s="246">
        <f t="shared" si="30"/>
        <v>0</v>
      </c>
      <c r="AL61" s="246">
        <f t="shared" si="30"/>
        <v>0</v>
      </c>
      <c r="AM61" s="246">
        <f t="shared" si="30"/>
        <v>0</v>
      </c>
      <c r="AN61" s="246">
        <f t="shared" si="30"/>
        <v>0</v>
      </c>
      <c r="AO61" s="246">
        <f t="shared" si="30"/>
        <v>0</v>
      </c>
      <c r="AP61" s="246">
        <f t="shared" si="30"/>
        <v>0</v>
      </c>
      <c r="AQ61" s="246">
        <f t="shared" si="30"/>
        <v>0</v>
      </c>
      <c r="AR61" s="246">
        <f t="shared" si="30"/>
        <v>0</v>
      </c>
      <c r="AS61" s="246">
        <f t="shared" si="30"/>
        <v>0</v>
      </c>
      <c r="AT61" s="246">
        <f t="shared" si="30"/>
        <v>0</v>
      </c>
      <c r="AU61" s="246">
        <f t="shared" si="30"/>
        <v>0</v>
      </c>
      <c r="AV61" s="246">
        <f t="shared" si="30"/>
        <v>0</v>
      </c>
      <c r="AW61" s="246">
        <f t="shared" si="30"/>
        <v>0</v>
      </c>
      <c r="AX61" s="246">
        <f t="shared" si="30"/>
        <v>0</v>
      </c>
      <c r="AY61" s="246">
        <f t="shared" si="30"/>
        <v>0</v>
      </c>
      <c r="AZ61" s="246">
        <f t="shared" si="30"/>
        <v>0</v>
      </c>
      <c r="BA61" s="246">
        <f t="shared" si="30"/>
        <v>0</v>
      </c>
      <c r="BB61" s="246">
        <f t="shared" si="30"/>
        <v>0</v>
      </c>
      <c r="BC61" s="246">
        <f t="shared" si="30"/>
        <v>0</v>
      </c>
      <c r="BD61" s="246">
        <f t="shared" si="30"/>
        <v>0</v>
      </c>
      <c r="BE61" s="246">
        <f t="shared" si="30"/>
        <v>0</v>
      </c>
      <c r="BF61" s="246">
        <f t="shared" si="30"/>
        <v>0</v>
      </c>
      <c r="BG61" s="246">
        <f t="shared" si="30"/>
        <v>0</v>
      </c>
      <c r="BH61" s="246">
        <f t="shared" si="30"/>
        <v>0</v>
      </c>
      <c r="BI61" s="246">
        <f t="shared" si="30"/>
        <v>0</v>
      </c>
      <c r="BJ61" s="246">
        <f t="shared" si="30"/>
        <v>0</v>
      </c>
      <c r="BK61" s="246">
        <f t="shared" si="30"/>
        <v>0</v>
      </c>
      <c r="BL61" s="246">
        <f t="shared" si="30"/>
        <v>0</v>
      </c>
      <c r="BM61" s="246">
        <f t="shared" si="30"/>
        <v>0</v>
      </c>
      <c r="BN61" s="246">
        <f t="shared" si="30"/>
        <v>0</v>
      </c>
      <c r="BO61" s="246">
        <f t="shared" si="30"/>
        <v>0</v>
      </c>
      <c r="BP61" s="246">
        <f t="shared" si="30"/>
        <v>0</v>
      </c>
      <c r="BQ61" s="246">
        <f t="shared" si="30"/>
        <v>0</v>
      </c>
      <c r="BR61" s="246">
        <f t="shared" si="30"/>
        <v>0</v>
      </c>
      <c r="BS61" s="246">
        <f t="shared" si="30"/>
        <v>0</v>
      </c>
      <c r="BT61" s="246">
        <f t="shared" si="30"/>
        <v>0</v>
      </c>
      <c r="BU61" s="246">
        <f t="shared" si="30"/>
        <v>0</v>
      </c>
      <c r="BV61" s="246">
        <f t="shared" si="30"/>
        <v>0</v>
      </c>
      <c r="BW61" s="246">
        <f t="shared" si="30"/>
        <v>0</v>
      </c>
      <c r="BX61" s="246">
        <f t="shared" si="30"/>
        <v>0</v>
      </c>
      <c r="BY61" s="247">
        <f t="shared" si="30"/>
        <v>-392922.81599999993</v>
      </c>
      <c r="BZ61" s="597"/>
      <c r="CA61" s="222"/>
      <c r="CB61" s="248" t="e">
        <f t="array" aca="1" ref="CB61" ca="1">SUM(INDEX(E61:BX61, , 1):INDEX(E61:BX61, ,MATCH($CB$4, $E$3:$BX$3,0) ))</f>
        <v>#N/A</v>
      </c>
      <c r="CC61" s="597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</row>
    <row r="62" spans="1:138" ht="15.95" outlineLevel="1">
      <c r="A62" s="505"/>
      <c r="B62" s="600"/>
      <c r="C62" s="286" t="s">
        <v>257</v>
      </c>
      <c r="D62" s="250" t="s">
        <v>223</v>
      </c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  <c r="AP62" s="252"/>
      <c r="AQ62" s="252"/>
      <c r="AR62" s="252"/>
      <c r="AS62" s="252"/>
      <c r="AT62" s="252"/>
      <c r="AU62" s="252"/>
      <c r="AV62" s="252"/>
      <c r="AW62" s="252"/>
      <c r="AX62" s="252"/>
      <c r="AY62" s="252"/>
      <c r="AZ62" s="252"/>
      <c r="BA62" s="252"/>
      <c r="BB62" s="252"/>
      <c r="BC62" s="252"/>
      <c r="BD62" s="252"/>
      <c r="BE62" s="252"/>
      <c r="BF62" s="252"/>
      <c r="BG62" s="252"/>
      <c r="BH62" s="252"/>
      <c r="BI62" s="252"/>
      <c r="BJ62" s="252"/>
      <c r="BK62" s="252"/>
      <c r="BL62" s="252"/>
      <c r="BM62" s="252"/>
      <c r="BN62" s="252"/>
      <c r="BO62" s="252"/>
      <c r="BP62" s="252"/>
      <c r="BQ62" s="252"/>
      <c r="BR62" s="252"/>
      <c r="BS62" s="252"/>
      <c r="BT62" s="252"/>
      <c r="BU62" s="252"/>
      <c r="BV62" s="252"/>
      <c r="BW62" s="252"/>
      <c r="BX62" s="252"/>
      <c r="BY62" s="287">
        <f t="shared" ref="BY62:BY84" si="31">SUM(E62:BX62)</f>
        <v>0</v>
      </c>
      <c r="BZ62" s="597"/>
      <c r="CA62" s="222"/>
      <c r="CB62" s="248" t="e">
        <f t="shared" ref="CB62:CB83" ca="1" si="32">SUM(INDEX(AC62:BX62, , 1):INDEX(AC62:BX62, ,MATCH(CB19, E18:BX18,0) ))</f>
        <v>#N/A</v>
      </c>
      <c r="CC62" s="597"/>
      <c r="CD62" s="222"/>
      <c r="CE62" s="222"/>
      <c r="CF62" s="222"/>
      <c r="CG62" s="222"/>
      <c r="CH62" s="222"/>
      <c r="CI62" s="222"/>
      <c r="CJ62" s="222"/>
      <c r="CK62" s="222"/>
      <c r="CL62" s="222"/>
      <c r="CM62" s="222"/>
      <c r="CN62" s="222"/>
      <c r="CO62" s="222"/>
      <c r="CP62" s="222"/>
      <c r="CQ62" s="222"/>
      <c r="CR62" s="222"/>
      <c r="CS62" s="222"/>
      <c r="CT62" s="222"/>
      <c r="CU62" s="222"/>
      <c r="CV62" s="222"/>
      <c r="CW62" s="222"/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222"/>
      <c r="DT62" s="222"/>
      <c r="DU62" s="222"/>
      <c r="DV62" s="222"/>
      <c r="DW62" s="222"/>
      <c r="DX62" s="222"/>
      <c r="DY62" s="222"/>
      <c r="DZ62" s="222"/>
      <c r="EA62" s="222"/>
      <c r="EB62" s="222"/>
      <c r="EC62" s="222"/>
      <c r="ED62" s="222"/>
      <c r="EE62" s="222"/>
      <c r="EF62" s="222"/>
      <c r="EG62" s="222"/>
      <c r="EH62" s="222"/>
    </row>
    <row r="63" spans="1:138" ht="15.95" outlineLevel="1">
      <c r="A63" s="505"/>
      <c r="B63" s="600"/>
      <c r="C63" s="288" t="s">
        <v>258</v>
      </c>
      <c r="D63" s="250" t="s">
        <v>223</v>
      </c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  <c r="AP63" s="252"/>
      <c r="AQ63" s="252"/>
      <c r="AR63" s="252"/>
      <c r="AS63" s="252"/>
      <c r="AT63" s="252"/>
      <c r="AU63" s="252"/>
      <c r="AV63" s="252"/>
      <c r="AW63" s="252"/>
      <c r="AX63" s="252"/>
      <c r="AY63" s="252"/>
      <c r="AZ63" s="252"/>
      <c r="BA63" s="252"/>
      <c r="BB63" s="252"/>
      <c r="BC63" s="252"/>
      <c r="BD63" s="252"/>
      <c r="BE63" s="252"/>
      <c r="BF63" s="252"/>
      <c r="BG63" s="252"/>
      <c r="BH63" s="252"/>
      <c r="BI63" s="252"/>
      <c r="BJ63" s="252"/>
      <c r="BK63" s="252"/>
      <c r="BL63" s="252"/>
      <c r="BM63" s="252"/>
      <c r="BN63" s="252"/>
      <c r="BO63" s="252"/>
      <c r="BP63" s="252"/>
      <c r="BQ63" s="252"/>
      <c r="BR63" s="252"/>
      <c r="BS63" s="252"/>
      <c r="BT63" s="252"/>
      <c r="BU63" s="252"/>
      <c r="BV63" s="252"/>
      <c r="BW63" s="252"/>
      <c r="BX63" s="252"/>
      <c r="BY63" s="287">
        <f t="shared" si="31"/>
        <v>0</v>
      </c>
      <c r="BZ63" s="597"/>
      <c r="CA63" s="222"/>
      <c r="CB63" s="248" t="e">
        <f t="shared" ca="1" si="32"/>
        <v>#N/A</v>
      </c>
      <c r="CC63" s="597"/>
      <c r="CD63" s="222"/>
      <c r="CE63" s="222"/>
      <c r="CF63" s="222"/>
      <c r="CG63" s="222"/>
      <c r="CH63" s="222"/>
      <c r="CI63" s="222"/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2"/>
      <c r="DI63" s="222"/>
      <c r="DJ63" s="222"/>
      <c r="DK63" s="222"/>
      <c r="DL63" s="222"/>
      <c r="DM63" s="222"/>
      <c r="DN63" s="222"/>
      <c r="DO63" s="222"/>
      <c r="DP63" s="222"/>
      <c r="DQ63" s="222"/>
      <c r="DR63" s="222"/>
      <c r="DS63" s="222"/>
      <c r="DT63" s="222"/>
      <c r="DU63" s="222"/>
      <c r="DV63" s="222"/>
      <c r="DW63" s="222"/>
      <c r="DX63" s="222"/>
      <c r="DY63" s="222"/>
      <c r="DZ63" s="222"/>
      <c r="EA63" s="222"/>
      <c r="EB63" s="222"/>
      <c r="EC63" s="222"/>
      <c r="ED63" s="222"/>
      <c r="EE63" s="222"/>
      <c r="EF63" s="222"/>
      <c r="EG63" s="222"/>
      <c r="EH63" s="222"/>
    </row>
    <row r="64" spans="1:138" ht="15.95" outlineLevel="1">
      <c r="A64" s="505"/>
      <c r="B64" s="600"/>
      <c r="C64" s="288" t="s">
        <v>259</v>
      </c>
      <c r="D64" s="250" t="s">
        <v>223</v>
      </c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87">
        <f t="shared" si="31"/>
        <v>0</v>
      </c>
      <c r="BZ64" s="597"/>
      <c r="CA64" s="222"/>
      <c r="CB64" s="248" t="e">
        <f t="shared" ca="1" si="32"/>
        <v>#N/A</v>
      </c>
      <c r="CC64" s="597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</row>
    <row r="65" spans="1:138" ht="15.95" outlineLevel="1">
      <c r="A65" s="505"/>
      <c r="B65" s="600"/>
      <c r="C65" s="288" t="s">
        <v>260</v>
      </c>
      <c r="D65" s="250" t="s">
        <v>223</v>
      </c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87">
        <f t="shared" si="31"/>
        <v>0</v>
      </c>
      <c r="BZ65" s="597"/>
      <c r="CA65" s="222"/>
      <c r="CB65" s="248" t="e">
        <f t="shared" ca="1" si="32"/>
        <v>#N/A</v>
      </c>
      <c r="CC65" s="597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2"/>
      <c r="DC65" s="222"/>
      <c r="DD65" s="222"/>
      <c r="DE65" s="222"/>
      <c r="DF65" s="222"/>
      <c r="DG65" s="222"/>
      <c r="DH65" s="222"/>
      <c r="DI65" s="222"/>
      <c r="DJ65" s="222"/>
      <c r="DK65" s="222"/>
      <c r="DL65" s="222"/>
      <c r="DM65" s="222"/>
      <c r="DN65" s="222"/>
      <c r="DO65" s="222"/>
      <c r="DP65" s="222"/>
      <c r="DQ65" s="222"/>
      <c r="DR65" s="222"/>
      <c r="DS65" s="222"/>
      <c r="DT65" s="222"/>
      <c r="DU65" s="222"/>
      <c r="DV65" s="222"/>
      <c r="DW65" s="222"/>
      <c r="DX65" s="222"/>
      <c r="DY65" s="222"/>
      <c r="DZ65" s="222"/>
      <c r="EA65" s="222"/>
      <c r="EB65" s="222"/>
      <c r="EC65" s="222"/>
      <c r="ED65" s="222"/>
      <c r="EE65" s="222"/>
      <c r="EF65" s="222"/>
      <c r="EG65" s="222"/>
      <c r="EH65" s="222"/>
    </row>
    <row r="66" spans="1:138" ht="15.95" outlineLevel="1">
      <c r="A66" s="505"/>
      <c r="B66" s="600"/>
      <c r="C66" s="288" t="s">
        <v>261</v>
      </c>
      <c r="D66" s="250" t="s">
        <v>223</v>
      </c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87">
        <f t="shared" si="31"/>
        <v>0</v>
      </c>
      <c r="BZ66" s="597"/>
      <c r="CA66" s="222"/>
      <c r="CB66" s="248" t="e">
        <f t="shared" ca="1" si="32"/>
        <v>#N/A</v>
      </c>
      <c r="CC66" s="597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</row>
    <row r="67" spans="1:138" ht="15.95" outlineLevel="1">
      <c r="A67" s="505"/>
      <c r="B67" s="600"/>
      <c r="C67" s="288" t="s">
        <v>262</v>
      </c>
      <c r="D67" s="250" t="s">
        <v>223</v>
      </c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87">
        <f t="shared" si="31"/>
        <v>0</v>
      </c>
      <c r="BZ67" s="597"/>
      <c r="CA67" s="222"/>
      <c r="CB67" s="248" t="e">
        <f t="shared" ca="1" si="32"/>
        <v>#REF!</v>
      </c>
      <c r="CC67" s="597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</row>
    <row r="68" spans="1:138" ht="15.95" outlineLevel="1">
      <c r="A68" s="505"/>
      <c r="B68" s="600"/>
      <c r="C68" s="288" t="s">
        <v>263</v>
      </c>
      <c r="D68" s="250" t="s">
        <v>223</v>
      </c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87">
        <f t="shared" si="31"/>
        <v>0</v>
      </c>
      <c r="BZ68" s="597"/>
      <c r="CA68" s="222"/>
      <c r="CB68" s="248" t="e">
        <f t="shared" ca="1" si="32"/>
        <v>#REF!</v>
      </c>
      <c r="CC68" s="597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</row>
    <row r="69" spans="1:138" ht="15.95" outlineLevel="1">
      <c r="A69" s="505"/>
      <c r="B69" s="600"/>
      <c r="C69" s="288" t="s">
        <v>264</v>
      </c>
      <c r="D69" s="250" t="s">
        <v>223</v>
      </c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87">
        <f t="shared" si="31"/>
        <v>0</v>
      </c>
      <c r="BZ69" s="597"/>
      <c r="CA69" s="222"/>
      <c r="CB69" s="248" t="e">
        <f t="shared" ca="1" si="32"/>
        <v>#N/A</v>
      </c>
      <c r="CC69" s="597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</row>
    <row r="70" spans="1:138" ht="15.95" outlineLevel="1">
      <c r="A70" s="505"/>
      <c r="B70" s="600"/>
      <c r="C70" s="288" t="s">
        <v>265</v>
      </c>
      <c r="D70" s="250" t="s">
        <v>223</v>
      </c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87">
        <f t="shared" si="31"/>
        <v>0</v>
      </c>
      <c r="BZ70" s="597"/>
      <c r="CA70" s="222"/>
      <c r="CB70" s="248" t="e">
        <f t="shared" ca="1" si="32"/>
        <v>#REF!</v>
      </c>
      <c r="CC70" s="597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2"/>
      <c r="DI70" s="222"/>
      <c r="DJ70" s="222"/>
      <c r="DK70" s="222"/>
      <c r="DL70" s="222"/>
      <c r="DM70" s="222"/>
      <c r="DN70" s="222"/>
      <c r="DO70" s="222"/>
      <c r="DP70" s="222"/>
      <c r="DQ70" s="222"/>
      <c r="DR70" s="222"/>
      <c r="DS70" s="222"/>
      <c r="DT70" s="222"/>
      <c r="DU70" s="222"/>
      <c r="DV70" s="222"/>
      <c r="DW70" s="222"/>
      <c r="DX70" s="222"/>
      <c r="DY70" s="222"/>
      <c r="DZ70" s="222"/>
      <c r="EA70" s="222"/>
      <c r="EB70" s="222"/>
      <c r="EC70" s="222"/>
      <c r="ED70" s="222"/>
      <c r="EE70" s="222"/>
      <c r="EF70" s="222"/>
      <c r="EG70" s="222"/>
      <c r="EH70" s="222"/>
    </row>
    <row r="71" spans="1:138" ht="15.95" outlineLevel="1">
      <c r="A71" s="505"/>
      <c r="B71" s="600"/>
      <c r="C71" s="288" t="s">
        <v>266</v>
      </c>
      <c r="D71" s="250" t="s">
        <v>223</v>
      </c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87">
        <f t="shared" si="31"/>
        <v>0</v>
      </c>
      <c r="BZ71" s="597"/>
      <c r="CA71" s="222"/>
      <c r="CB71" s="248" t="e">
        <f t="shared" ca="1" si="32"/>
        <v>#REF!</v>
      </c>
      <c r="CC71" s="597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D71" s="222"/>
      <c r="EE71" s="222"/>
      <c r="EF71" s="222"/>
      <c r="EG71" s="222"/>
      <c r="EH71" s="222"/>
    </row>
    <row r="72" spans="1:138" ht="15.95" outlineLevel="1">
      <c r="A72" s="505"/>
      <c r="B72" s="600"/>
      <c r="C72" s="288" t="s">
        <v>267</v>
      </c>
      <c r="D72" s="250" t="s">
        <v>223</v>
      </c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87">
        <f t="shared" si="31"/>
        <v>0</v>
      </c>
      <c r="BZ72" s="597"/>
      <c r="CA72" s="222"/>
      <c r="CB72" s="248" t="e">
        <f t="shared" ca="1" si="32"/>
        <v>#REF!</v>
      </c>
      <c r="CC72" s="597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2"/>
      <c r="DI72" s="222"/>
      <c r="DJ72" s="222"/>
      <c r="DK72" s="222"/>
      <c r="DL72" s="222"/>
      <c r="DM72" s="222"/>
      <c r="DN72" s="222"/>
      <c r="DO72" s="222"/>
      <c r="DP72" s="222"/>
      <c r="DQ72" s="222"/>
      <c r="DR72" s="222"/>
      <c r="DS72" s="222"/>
      <c r="DT72" s="222"/>
      <c r="DU72" s="222"/>
      <c r="DV72" s="222"/>
      <c r="DW72" s="222"/>
      <c r="DX72" s="222"/>
      <c r="DY72" s="222"/>
      <c r="DZ72" s="222"/>
      <c r="EA72" s="222"/>
      <c r="EB72" s="222"/>
      <c r="EC72" s="222"/>
      <c r="ED72" s="222"/>
      <c r="EE72" s="222"/>
      <c r="EF72" s="222"/>
      <c r="EG72" s="222"/>
      <c r="EH72" s="222"/>
    </row>
    <row r="73" spans="1:138" ht="15.95" outlineLevel="1">
      <c r="A73" s="505"/>
      <c r="B73" s="600"/>
      <c r="C73" s="288" t="s">
        <v>268</v>
      </c>
      <c r="D73" s="250" t="s">
        <v>223</v>
      </c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87">
        <f t="shared" si="31"/>
        <v>0</v>
      </c>
      <c r="BZ73" s="597"/>
      <c r="CA73" s="222"/>
      <c r="CB73" s="248" t="e">
        <f t="shared" ca="1" si="32"/>
        <v>#REF!</v>
      </c>
      <c r="CC73" s="597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  <c r="DI73" s="222"/>
      <c r="DJ73" s="222"/>
      <c r="DK73" s="222"/>
      <c r="DL73" s="222"/>
      <c r="DM73" s="222"/>
      <c r="DN73" s="222"/>
      <c r="DO73" s="222"/>
      <c r="DP73" s="222"/>
      <c r="DQ73" s="222"/>
      <c r="DR73" s="222"/>
      <c r="DS73" s="222"/>
      <c r="DT73" s="222"/>
      <c r="DU73" s="222"/>
      <c r="DV73" s="222"/>
      <c r="DW73" s="222"/>
      <c r="DX73" s="222"/>
      <c r="DY73" s="222"/>
      <c r="DZ73" s="222"/>
      <c r="EA73" s="222"/>
      <c r="EB73" s="222"/>
      <c r="EC73" s="222"/>
      <c r="ED73" s="222"/>
      <c r="EE73" s="222"/>
      <c r="EF73" s="222"/>
      <c r="EG73" s="222"/>
      <c r="EH73" s="222"/>
    </row>
    <row r="74" spans="1:138" ht="15.95" outlineLevel="1">
      <c r="A74" s="505"/>
      <c r="B74" s="600"/>
      <c r="C74" s="288" t="s">
        <v>269</v>
      </c>
      <c r="D74" s="250" t="s">
        <v>223</v>
      </c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87">
        <f t="shared" si="31"/>
        <v>0</v>
      </c>
      <c r="BZ74" s="597"/>
      <c r="CA74" s="222"/>
      <c r="CB74" s="248" t="e">
        <f t="shared" ca="1" si="32"/>
        <v>#REF!</v>
      </c>
      <c r="CC74" s="597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2"/>
      <c r="DI74" s="222"/>
      <c r="DJ74" s="222"/>
      <c r="DK74" s="222"/>
      <c r="DL74" s="222"/>
      <c r="DM74" s="222"/>
      <c r="DN74" s="222"/>
      <c r="DO74" s="222"/>
      <c r="DP74" s="222"/>
      <c r="DQ74" s="222"/>
      <c r="DR74" s="222"/>
      <c r="DS74" s="222"/>
      <c r="DT74" s="222"/>
      <c r="DU74" s="222"/>
      <c r="DV74" s="222"/>
      <c r="DW74" s="222"/>
      <c r="DX74" s="222"/>
      <c r="DY74" s="222"/>
      <c r="DZ74" s="222"/>
      <c r="EA74" s="222"/>
      <c r="EB74" s="222"/>
      <c r="EC74" s="222"/>
      <c r="ED74" s="222"/>
      <c r="EE74" s="222"/>
      <c r="EF74" s="222"/>
      <c r="EG74" s="222"/>
      <c r="EH74" s="222"/>
    </row>
    <row r="75" spans="1:138" ht="15.95" outlineLevel="1">
      <c r="A75" s="505"/>
      <c r="B75" s="600"/>
      <c r="C75" s="288" t="s">
        <v>270</v>
      </c>
      <c r="D75" s="250" t="s">
        <v>223</v>
      </c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87">
        <f t="shared" si="31"/>
        <v>0</v>
      </c>
      <c r="BZ75" s="597"/>
      <c r="CA75" s="222"/>
      <c r="CB75" s="248" t="e">
        <f t="shared" ca="1" si="32"/>
        <v>#REF!</v>
      </c>
      <c r="CC75" s="597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</row>
    <row r="76" spans="1:138" ht="15.95" outlineLevel="1">
      <c r="A76" s="505"/>
      <c r="B76" s="600"/>
      <c r="C76" s="288" t="s">
        <v>271</v>
      </c>
      <c r="D76" s="250" t="s">
        <v>223</v>
      </c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87">
        <f t="shared" si="31"/>
        <v>0</v>
      </c>
      <c r="BZ76" s="597"/>
      <c r="CA76" s="222"/>
      <c r="CB76" s="248" t="e">
        <f t="shared" ca="1" si="32"/>
        <v>#REF!</v>
      </c>
      <c r="CC76" s="597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</row>
    <row r="77" spans="1:138" ht="15.95" outlineLevel="1">
      <c r="A77" s="505"/>
      <c r="B77" s="600"/>
      <c r="C77" s="288" t="s">
        <v>272</v>
      </c>
      <c r="D77" s="250" t="s">
        <v>223</v>
      </c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87">
        <f t="shared" si="31"/>
        <v>0</v>
      </c>
      <c r="BZ77" s="597"/>
      <c r="CA77" s="222"/>
      <c r="CB77" s="248" t="e">
        <f t="shared" ca="1" si="32"/>
        <v>#N/A</v>
      </c>
      <c r="CC77" s="597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</row>
    <row r="78" spans="1:138" ht="15.95" outlineLevel="1">
      <c r="A78" s="505"/>
      <c r="B78" s="600"/>
      <c r="C78" s="288" t="s">
        <v>273</v>
      </c>
      <c r="D78" s="250" t="s">
        <v>223</v>
      </c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87">
        <f t="shared" si="31"/>
        <v>0</v>
      </c>
      <c r="BZ78" s="597"/>
      <c r="CA78" s="222" t="s">
        <v>329</v>
      </c>
      <c r="CB78" s="248" t="e">
        <f t="shared" ca="1" si="32"/>
        <v>#REF!</v>
      </c>
      <c r="CC78" s="597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</row>
    <row r="79" spans="1:138" ht="15.95" outlineLevel="1">
      <c r="A79" s="505"/>
      <c r="B79" s="600"/>
      <c r="C79" s="288" t="s">
        <v>274</v>
      </c>
      <c r="D79" s="250" t="s">
        <v>223</v>
      </c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87">
        <f t="shared" si="31"/>
        <v>0</v>
      </c>
      <c r="BZ79" s="597"/>
      <c r="CA79" s="222"/>
      <c r="CB79" s="248" t="e">
        <f t="shared" ca="1" si="32"/>
        <v>#REF!</v>
      </c>
      <c r="CC79" s="597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</row>
    <row r="80" spans="1:138" ht="15.95" outlineLevel="1">
      <c r="A80" s="505"/>
      <c r="B80" s="600"/>
      <c r="C80" s="289" t="s">
        <v>178</v>
      </c>
      <c r="D80" s="250" t="s">
        <v>223</v>
      </c>
      <c r="E80" s="252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>
        <f>-Businessplan_prodej!$N$19/12*1.21</f>
        <v>-98230.703999999983</v>
      </c>
      <c r="R80" s="251">
        <f>-Businessplan_prodej!$N$19/12*1.21</f>
        <v>-98230.703999999983</v>
      </c>
      <c r="S80" s="251">
        <f>-Businessplan_prodej!$N$19/12*1.21</f>
        <v>-98230.703999999983</v>
      </c>
      <c r="T80" s="251">
        <f>-Businessplan_prodej!$N$19/12*1.21</f>
        <v>-98230.703999999983</v>
      </c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87">
        <f t="shared" si="31"/>
        <v>-392922.81599999993</v>
      </c>
      <c r="BZ80" s="597"/>
      <c r="CA80" s="222"/>
      <c r="CB80" s="248" t="e">
        <f t="shared" ca="1" si="32"/>
        <v>#N/A</v>
      </c>
      <c r="CC80" s="597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</row>
    <row r="81" spans="1:138" ht="15.95" outlineLevel="1">
      <c r="A81" s="505"/>
      <c r="B81" s="600"/>
      <c r="C81" s="288" t="s">
        <v>179</v>
      </c>
      <c r="D81" s="250" t="s">
        <v>223</v>
      </c>
      <c r="E81" s="252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G81" s="251"/>
      <c r="BH81" s="251"/>
      <c r="BI81" s="251"/>
      <c r="BJ81" s="251"/>
      <c r="BK81" s="251"/>
      <c r="BL81" s="251"/>
      <c r="BM81" s="251"/>
      <c r="BN81" s="251"/>
      <c r="BO81" s="251"/>
      <c r="BP81" s="251"/>
      <c r="BQ81" s="251"/>
      <c r="BR81" s="251"/>
      <c r="BS81" s="251"/>
      <c r="BT81" s="251"/>
      <c r="BU81" s="251"/>
      <c r="BV81" s="251"/>
      <c r="BW81" s="251"/>
      <c r="BX81" s="251"/>
      <c r="BY81" s="287">
        <f t="shared" si="31"/>
        <v>0</v>
      </c>
      <c r="BZ81" s="597"/>
      <c r="CA81" s="222"/>
      <c r="CB81" s="248" t="e">
        <f t="shared" ca="1" si="32"/>
        <v>#REF!</v>
      </c>
      <c r="CC81" s="597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</row>
    <row r="82" spans="1:138" ht="15.95" outlineLevel="1">
      <c r="A82" s="505"/>
      <c r="B82" s="600"/>
      <c r="C82" s="288" t="s">
        <v>189</v>
      </c>
      <c r="D82" s="250" t="s">
        <v>223</v>
      </c>
      <c r="E82" s="252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87">
        <f t="shared" si="31"/>
        <v>0</v>
      </c>
      <c r="BZ82" s="597"/>
      <c r="CA82" s="222"/>
      <c r="CB82" s="248" t="e">
        <f t="shared" ca="1" si="32"/>
        <v>#REF!</v>
      </c>
      <c r="CC82" s="597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</row>
    <row r="83" spans="1:138" ht="15.95" outlineLevel="1">
      <c r="A83" s="505"/>
      <c r="B83" s="600"/>
      <c r="C83" s="288" t="s">
        <v>190</v>
      </c>
      <c r="D83" s="250" t="s">
        <v>223</v>
      </c>
      <c r="E83" s="252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87">
        <f t="shared" si="31"/>
        <v>0</v>
      </c>
      <c r="BZ83" s="597"/>
      <c r="CA83" s="222"/>
      <c r="CB83" s="248" t="e">
        <f t="shared" ca="1" si="32"/>
        <v>#REF!</v>
      </c>
      <c r="CC83" s="597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</row>
    <row r="84" spans="1:138" ht="15.95" outlineLevel="1">
      <c r="A84" s="505"/>
      <c r="B84" s="600"/>
      <c r="C84" s="290" t="s">
        <v>275</v>
      </c>
      <c r="D84" s="254" t="s">
        <v>223</v>
      </c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/>
      <c r="BK84" s="291"/>
      <c r="BL84" s="291"/>
      <c r="BM84" s="291"/>
      <c r="BN84" s="291"/>
      <c r="BO84" s="291"/>
      <c r="BP84" s="291"/>
      <c r="BQ84" s="291"/>
      <c r="BR84" s="291"/>
      <c r="BS84" s="291"/>
      <c r="BT84" s="291"/>
      <c r="BU84" s="291"/>
      <c r="BV84" s="291"/>
      <c r="BW84" s="291"/>
      <c r="BX84" s="291"/>
      <c r="BY84" s="287">
        <f t="shared" si="31"/>
        <v>0</v>
      </c>
      <c r="BZ84" s="597"/>
      <c r="CA84" s="222"/>
      <c r="CB84" s="248" t="e">
        <f t="array" aca="1" ref="CB84" ca="1">SUM(INDEX(AC84:BX84, , 1):INDEX(AC84:BX84, ,MATCH(CB42, E40:BX40,0) ))</f>
        <v>#REF!</v>
      </c>
      <c r="CC84" s="597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</row>
    <row r="85" spans="1:138" ht="15.95" collapsed="1">
      <c r="A85" s="505"/>
      <c r="B85" s="600"/>
      <c r="C85" s="244" t="s">
        <v>276</v>
      </c>
      <c r="D85" s="245"/>
      <c r="E85" s="246">
        <f t="shared" ref="E85:BY85" si="33">SUM(E86:E87)</f>
        <v>0</v>
      </c>
      <c r="F85" s="246">
        <f t="shared" si="33"/>
        <v>0</v>
      </c>
      <c r="G85" s="246">
        <f t="shared" si="33"/>
        <v>0</v>
      </c>
      <c r="H85" s="246">
        <f t="shared" si="33"/>
        <v>0</v>
      </c>
      <c r="I85" s="246">
        <f t="shared" si="33"/>
        <v>0</v>
      </c>
      <c r="J85" s="246">
        <f t="shared" si="33"/>
        <v>0</v>
      </c>
      <c r="K85" s="246">
        <f t="shared" si="33"/>
        <v>0</v>
      </c>
      <c r="L85" s="246">
        <f t="shared" si="33"/>
        <v>0</v>
      </c>
      <c r="M85" s="246">
        <f t="shared" si="33"/>
        <v>0</v>
      </c>
      <c r="N85" s="246">
        <f t="shared" si="33"/>
        <v>0</v>
      </c>
      <c r="O85" s="246">
        <f t="shared" si="33"/>
        <v>0</v>
      </c>
      <c r="P85" s="246">
        <f t="shared" si="33"/>
        <v>0</v>
      </c>
      <c r="Q85" s="246">
        <f t="shared" si="33"/>
        <v>0</v>
      </c>
      <c r="R85" s="246">
        <f t="shared" si="33"/>
        <v>0</v>
      </c>
      <c r="S85" s="246">
        <f t="shared" si="33"/>
        <v>0</v>
      </c>
      <c r="T85" s="246">
        <f t="shared" si="33"/>
        <v>0</v>
      </c>
      <c r="U85" s="246">
        <f t="shared" si="33"/>
        <v>0</v>
      </c>
      <c r="V85" s="246">
        <f t="shared" si="33"/>
        <v>0</v>
      </c>
      <c r="W85" s="246">
        <f t="shared" si="33"/>
        <v>0</v>
      </c>
      <c r="X85" s="246">
        <f t="shared" si="33"/>
        <v>0</v>
      </c>
      <c r="Y85" s="246">
        <f t="shared" si="33"/>
        <v>0</v>
      </c>
      <c r="Z85" s="246">
        <f t="shared" si="33"/>
        <v>0</v>
      </c>
      <c r="AA85" s="246">
        <f t="shared" si="33"/>
        <v>0</v>
      </c>
      <c r="AB85" s="246">
        <f t="shared" si="33"/>
        <v>0</v>
      </c>
      <c r="AC85" s="246">
        <f t="shared" si="33"/>
        <v>0</v>
      </c>
      <c r="AD85" s="246">
        <f t="shared" si="33"/>
        <v>0</v>
      </c>
      <c r="AE85" s="246">
        <f t="shared" si="33"/>
        <v>0</v>
      </c>
      <c r="AF85" s="246">
        <f t="shared" si="33"/>
        <v>0</v>
      </c>
      <c r="AG85" s="246">
        <f t="shared" si="33"/>
        <v>0</v>
      </c>
      <c r="AH85" s="246">
        <f t="shared" si="33"/>
        <v>0</v>
      </c>
      <c r="AI85" s="246">
        <f t="shared" si="33"/>
        <v>0</v>
      </c>
      <c r="AJ85" s="246">
        <f t="shared" si="33"/>
        <v>0</v>
      </c>
      <c r="AK85" s="246">
        <f t="shared" si="33"/>
        <v>0</v>
      </c>
      <c r="AL85" s="246">
        <f t="shared" si="33"/>
        <v>0</v>
      </c>
      <c r="AM85" s="246">
        <f t="shared" si="33"/>
        <v>0</v>
      </c>
      <c r="AN85" s="246">
        <f t="shared" si="33"/>
        <v>0</v>
      </c>
      <c r="AO85" s="246">
        <f t="shared" si="33"/>
        <v>0</v>
      </c>
      <c r="AP85" s="246">
        <f t="shared" si="33"/>
        <v>0</v>
      </c>
      <c r="AQ85" s="246">
        <f t="shared" si="33"/>
        <v>0</v>
      </c>
      <c r="AR85" s="246">
        <f t="shared" si="33"/>
        <v>0</v>
      </c>
      <c r="AS85" s="246">
        <f t="shared" si="33"/>
        <v>0</v>
      </c>
      <c r="AT85" s="246">
        <f t="shared" si="33"/>
        <v>0</v>
      </c>
      <c r="AU85" s="246">
        <f t="shared" si="33"/>
        <v>0</v>
      </c>
      <c r="AV85" s="246">
        <f t="shared" si="33"/>
        <v>0</v>
      </c>
      <c r="AW85" s="246">
        <f t="shared" si="33"/>
        <v>0</v>
      </c>
      <c r="AX85" s="246">
        <f t="shared" si="33"/>
        <v>0</v>
      </c>
      <c r="AY85" s="246">
        <f t="shared" si="33"/>
        <v>0</v>
      </c>
      <c r="AZ85" s="246">
        <f t="shared" si="33"/>
        <v>0</v>
      </c>
      <c r="BA85" s="246">
        <f t="shared" si="33"/>
        <v>0</v>
      </c>
      <c r="BB85" s="246">
        <f t="shared" si="33"/>
        <v>0</v>
      </c>
      <c r="BC85" s="246">
        <f t="shared" si="33"/>
        <v>0</v>
      </c>
      <c r="BD85" s="246">
        <f t="shared" si="33"/>
        <v>0</v>
      </c>
      <c r="BE85" s="246">
        <f t="shared" si="33"/>
        <v>0</v>
      </c>
      <c r="BF85" s="246">
        <f t="shared" si="33"/>
        <v>0</v>
      </c>
      <c r="BG85" s="246">
        <f t="shared" si="33"/>
        <v>0</v>
      </c>
      <c r="BH85" s="246">
        <f t="shared" si="33"/>
        <v>0</v>
      </c>
      <c r="BI85" s="246">
        <f t="shared" si="33"/>
        <v>0</v>
      </c>
      <c r="BJ85" s="246">
        <f t="shared" si="33"/>
        <v>0</v>
      </c>
      <c r="BK85" s="246">
        <f t="shared" si="33"/>
        <v>0</v>
      </c>
      <c r="BL85" s="246">
        <f t="shared" si="33"/>
        <v>0</v>
      </c>
      <c r="BM85" s="246">
        <f t="shared" si="33"/>
        <v>0</v>
      </c>
      <c r="BN85" s="246">
        <f t="shared" si="33"/>
        <v>0</v>
      </c>
      <c r="BO85" s="246">
        <f t="shared" si="33"/>
        <v>0</v>
      </c>
      <c r="BP85" s="246">
        <f t="shared" si="33"/>
        <v>0</v>
      </c>
      <c r="BQ85" s="246">
        <f t="shared" si="33"/>
        <v>0</v>
      </c>
      <c r="BR85" s="246">
        <f t="shared" si="33"/>
        <v>0</v>
      </c>
      <c r="BS85" s="246">
        <f t="shared" si="33"/>
        <v>0</v>
      </c>
      <c r="BT85" s="246">
        <f t="shared" si="33"/>
        <v>0</v>
      </c>
      <c r="BU85" s="246">
        <f t="shared" si="33"/>
        <v>0</v>
      </c>
      <c r="BV85" s="246">
        <f t="shared" si="33"/>
        <v>0</v>
      </c>
      <c r="BW85" s="246">
        <f t="shared" si="33"/>
        <v>0</v>
      </c>
      <c r="BX85" s="246">
        <f t="shared" si="33"/>
        <v>0</v>
      </c>
      <c r="BY85" s="247">
        <f t="shared" si="33"/>
        <v>0</v>
      </c>
      <c r="BZ85" s="597"/>
      <c r="CA85" s="222"/>
      <c r="CB85" s="248" t="e">
        <f t="array" aca="1" ref="CB85" ca="1">SUM(INDEX(E85:BX85, , 1):INDEX(E85:BX85, ,MATCH($CB$4, $E$3:$BX$3,0) ))</f>
        <v>#N/A</v>
      </c>
      <c r="CC85" s="597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</row>
    <row r="86" spans="1:138" ht="15.95" hidden="1" outlineLevel="1">
      <c r="A86" s="505"/>
      <c r="B86" s="600"/>
      <c r="C86" s="286" t="s">
        <v>277</v>
      </c>
      <c r="D86" s="250" t="s">
        <v>223</v>
      </c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92">
        <f t="shared" ref="BY86:BY87" si="34">SUM(E86:BX86)</f>
        <v>0</v>
      </c>
      <c r="BZ86" s="597"/>
      <c r="CA86" s="222"/>
      <c r="CB86" s="248" t="e">
        <f t="shared" ref="CB86:CB87" ca="1" si="35">SUM(INDEX(AC86:BX86, , 1):INDEX(AC86:BX86, ,MATCH($CB$4, $E$3:$BX$3,0) ))</f>
        <v>#N/A</v>
      </c>
      <c r="CC86" s="597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</row>
    <row r="87" spans="1:138" ht="15.95" hidden="1" outlineLevel="1">
      <c r="A87" s="505"/>
      <c r="B87" s="600"/>
      <c r="C87" s="290" t="s">
        <v>278</v>
      </c>
      <c r="D87" s="254" t="s">
        <v>223</v>
      </c>
      <c r="E87" s="283"/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4"/>
      <c r="BJ87" s="284"/>
      <c r="BK87" s="284"/>
      <c r="BL87" s="284"/>
      <c r="BM87" s="284"/>
      <c r="BN87" s="284"/>
      <c r="BO87" s="284"/>
      <c r="BP87" s="284"/>
      <c r="BQ87" s="284"/>
      <c r="BR87" s="284"/>
      <c r="BS87" s="284"/>
      <c r="BT87" s="284"/>
      <c r="BU87" s="284"/>
      <c r="BV87" s="284"/>
      <c r="BW87" s="284"/>
      <c r="BX87" s="284"/>
      <c r="BY87" s="293">
        <f t="shared" si="34"/>
        <v>0</v>
      </c>
      <c r="BZ87" s="592"/>
      <c r="CA87" s="222"/>
      <c r="CB87" s="248" t="e">
        <f t="shared" ca="1" si="35"/>
        <v>#N/A</v>
      </c>
      <c r="CC87" s="592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</row>
    <row r="88" spans="1:138">
      <c r="A88" s="505"/>
      <c r="B88" s="600"/>
      <c r="C88" s="244" t="s">
        <v>279</v>
      </c>
      <c r="D88" s="245"/>
      <c r="E88" s="246">
        <f t="shared" ref="E88:BX88" si="36">SUM(E89:E95)</f>
        <v>0</v>
      </c>
      <c r="F88" s="246">
        <f t="shared" si="36"/>
        <v>0</v>
      </c>
      <c r="G88" s="246">
        <f t="shared" si="36"/>
        <v>0</v>
      </c>
      <c r="H88" s="246">
        <f t="shared" si="36"/>
        <v>0</v>
      </c>
      <c r="I88" s="246">
        <f t="shared" si="36"/>
        <v>0</v>
      </c>
      <c r="J88" s="246">
        <f t="shared" si="36"/>
        <v>0</v>
      </c>
      <c r="K88" s="246">
        <f t="shared" si="36"/>
        <v>0</v>
      </c>
      <c r="L88" s="246">
        <f t="shared" si="36"/>
        <v>0</v>
      </c>
      <c r="M88" s="246">
        <f t="shared" si="36"/>
        <v>0</v>
      </c>
      <c r="N88" s="246">
        <f t="shared" si="36"/>
        <v>0</v>
      </c>
      <c r="O88" s="246">
        <f t="shared" si="36"/>
        <v>0</v>
      </c>
      <c r="P88" s="246">
        <f t="shared" si="36"/>
        <v>-63512.896998034616</v>
      </c>
      <c r="Q88" s="246">
        <f t="shared" si="36"/>
        <v>-63512.896998034616</v>
      </c>
      <c r="R88" s="246">
        <f t="shared" si="36"/>
        <v>-63512.896998034616</v>
      </c>
      <c r="S88" s="246">
        <f t="shared" si="36"/>
        <v>-63512.896998034616</v>
      </c>
      <c r="T88" s="246">
        <f t="shared" si="36"/>
        <v>-73660950.412007868</v>
      </c>
      <c r="U88" s="246">
        <f t="shared" si="36"/>
        <v>0</v>
      </c>
      <c r="V88" s="246">
        <f t="shared" si="36"/>
        <v>0</v>
      </c>
      <c r="W88" s="246">
        <f t="shared" si="36"/>
        <v>0</v>
      </c>
      <c r="X88" s="246">
        <f t="shared" si="36"/>
        <v>0</v>
      </c>
      <c r="Y88" s="246">
        <f t="shared" si="36"/>
        <v>0</v>
      </c>
      <c r="Z88" s="246">
        <f t="shared" si="36"/>
        <v>0</v>
      </c>
      <c r="AA88" s="246">
        <f t="shared" si="36"/>
        <v>0</v>
      </c>
      <c r="AB88" s="246">
        <f t="shared" si="36"/>
        <v>0</v>
      </c>
      <c r="AC88" s="246">
        <f t="shared" si="36"/>
        <v>0</v>
      </c>
      <c r="AD88" s="246">
        <f t="shared" si="36"/>
        <v>0</v>
      </c>
      <c r="AE88" s="246">
        <f t="shared" si="36"/>
        <v>0</v>
      </c>
      <c r="AF88" s="246">
        <f t="shared" si="36"/>
        <v>0</v>
      </c>
      <c r="AG88" s="246">
        <f t="shared" si="36"/>
        <v>0</v>
      </c>
      <c r="AH88" s="246">
        <f t="shared" si="36"/>
        <v>0</v>
      </c>
      <c r="AI88" s="246">
        <f t="shared" si="36"/>
        <v>0</v>
      </c>
      <c r="AJ88" s="246">
        <f t="shared" si="36"/>
        <v>0</v>
      </c>
      <c r="AK88" s="246">
        <f t="shared" si="36"/>
        <v>0</v>
      </c>
      <c r="AL88" s="246">
        <f t="shared" si="36"/>
        <v>0</v>
      </c>
      <c r="AM88" s="246">
        <f t="shared" si="36"/>
        <v>0</v>
      </c>
      <c r="AN88" s="246">
        <f t="shared" si="36"/>
        <v>0</v>
      </c>
      <c r="AO88" s="246">
        <f t="shared" si="36"/>
        <v>0</v>
      </c>
      <c r="AP88" s="246">
        <f t="shared" si="36"/>
        <v>0</v>
      </c>
      <c r="AQ88" s="246">
        <f t="shared" si="36"/>
        <v>0</v>
      </c>
      <c r="AR88" s="246">
        <f t="shared" si="36"/>
        <v>0</v>
      </c>
      <c r="AS88" s="246">
        <f t="shared" si="36"/>
        <v>0</v>
      </c>
      <c r="AT88" s="246">
        <f t="shared" si="36"/>
        <v>0</v>
      </c>
      <c r="AU88" s="246">
        <f t="shared" si="36"/>
        <v>0</v>
      </c>
      <c r="AV88" s="246">
        <f t="shared" si="36"/>
        <v>0</v>
      </c>
      <c r="AW88" s="246">
        <f t="shared" si="36"/>
        <v>0</v>
      </c>
      <c r="AX88" s="246">
        <f t="shared" si="36"/>
        <v>0</v>
      </c>
      <c r="AY88" s="246">
        <f t="shared" si="36"/>
        <v>0</v>
      </c>
      <c r="AZ88" s="246">
        <f t="shared" si="36"/>
        <v>0</v>
      </c>
      <c r="BA88" s="246">
        <f t="shared" si="36"/>
        <v>0</v>
      </c>
      <c r="BB88" s="246">
        <f t="shared" si="36"/>
        <v>0</v>
      </c>
      <c r="BC88" s="246">
        <f t="shared" si="36"/>
        <v>0</v>
      </c>
      <c r="BD88" s="246">
        <f t="shared" si="36"/>
        <v>0</v>
      </c>
      <c r="BE88" s="246">
        <f t="shared" si="36"/>
        <v>0</v>
      </c>
      <c r="BF88" s="246">
        <f t="shared" si="36"/>
        <v>0</v>
      </c>
      <c r="BG88" s="246">
        <f t="shared" si="36"/>
        <v>0</v>
      </c>
      <c r="BH88" s="246">
        <f t="shared" si="36"/>
        <v>0</v>
      </c>
      <c r="BI88" s="246">
        <f t="shared" si="36"/>
        <v>0</v>
      </c>
      <c r="BJ88" s="246">
        <f t="shared" si="36"/>
        <v>0</v>
      </c>
      <c r="BK88" s="246">
        <f t="shared" si="36"/>
        <v>0</v>
      </c>
      <c r="BL88" s="246">
        <f t="shared" si="36"/>
        <v>0</v>
      </c>
      <c r="BM88" s="246">
        <f t="shared" si="36"/>
        <v>0</v>
      </c>
      <c r="BN88" s="246">
        <f t="shared" si="36"/>
        <v>0</v>
      </c>
      <c r="BO88" s="246">
        <f t="shared" si="36"/>
        <v>0</v>
      </c>
      <c r="BP88" s="246">
        <f t="shared" si="36"/>
        <v>0</v>
      </c>
      <c r="BQ88" s="246">
        <f t="shared" si="36"/>
        <v>0</v>
      </c>
      <c r="BR88" s="246">
        <f t="shared" si="36"/>
        <v>0</v>
      </c>
      <c r="BS88" s="246">
        <f t="shared" si="36"/>
        <v>0</v>
      </c>
      <c r="BT88" s="246">
        <f t="shared" si="36"/>
        <v>0</v>
      </c>
      <c r="BU88" s="246">
        <f t="shared" si="36"/>
        <v>0</v>
      </c>
      <c r="BV88" s="246">
        <f t="shared" si="36"/>
        <v>0</v>
      </c>
      <c r="BW88" s="246">
        <f t="shared" si="36"/>
        <v>0</v>
      </c>
      <c r="BX88" s="246">
        <f t="shared" si="36"/>
        <v>0</v>
      </c>
      <c r="BY88" s="564">
        <f>BZ89</f>
        <v>-73915002</v>
      </c>
      <c r="BZ88" s="599"/>
      <c r="CA88" s="222"/>
      <c r="CB88" s="222"/>
      <c r="CC88" s="222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</row>
    <row r="89" spans="1:138" outlineLevel="1">
      <c r="A89" s="505"/>
      <c r="B89" s="600"/>
      <c r="C89" s="249" t="s">
        <v>280</v>
      </c>
      <c r="D89" s="250" t="s">
        <v>223</v>
      </c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>
        <f t="shared" ref="T89:T90" si="37">-BY5</f>
        <v>-19365002</v>
      </c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2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  <c r="BS89" s="251"/>
      <c r="BT89" s="251"/>
      <c r="BU89" s="251"/>
      <c r="BV89" s="251"/>
      <c r="BW89" s="251"/>
      <c r="BX89" s="260"/>
      <c r="BY89" s="292">
        <f t="shared" ref="BY89:BY95" si="38">SUM(E89:BX89)</f>
        <v>-19365002</v>
      </c>
      <c r="BZ89" s="562">
        <f>SUM(BY89:BY95)</f>
        <v>-73915002</v>
      </c>
      <c r="CA89" s="222"/>
      <c r="CB89" s="222"/>
      <c r="CC89" s="22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</row>
    <row r="90" spans="1:138" outlineLevel="1">
      <c r="A90" s="249" t="s">
        <v>281</v>
      </c>
      <c r="B90" s="600"/>
      <c r="C90" s="249" t="s">
        <v>282</v>
      </c>
      <c r="D90" s="250" t="s">
        <v>223</v>
      </c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>
        <f t="shared" si="37"/>
        <v>-3100000</v>
      </c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G90" s="251"/>
      <c r="BH90" s="251"/>
      <c r="BI90" s="251"/>
      <c r="BJ90" s="251"/>
      <c r="BK90" s="251"/>
      <c r="BL90" s="251"/>
      <c r="BM90" s="251"/>
      <c r="BN90" s="251"/>
      <c r="BO90" s="251"/>
      <c r="BP90" s="251"/>
      <c r="BQ90" s="251"/>
      <c r="BR90" s="251"/>
      <c r="BS90" s="251"/>
      <c r="BT90" s="251"/>
      <c r="BU90" s="251"/>
      <c r="BV90" s="251"/>
      <c r="BW90" s="251"/>
      <c r="BX90" s="260"/>
      <c r="BY90" s="287">
        <f t="shared" si="38"/>
        <v>-3100000</v>
      </c>
      <c r="BZ90" s="597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</row>
    <row r="91" spans="1:138" outlineLevel="1">
      <c r="A91" s="249" t="s">
        <v>283</v>
      </c>
      <c r="B91" s="600"/>
      <c r="C91" s="289" t="s">
        <v>281</v>
      </c>
      <c r="D91" s="250" t="s">
        <v>223</v>
      </c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60"/>
      <c r="BY91" s="287">
        <f t="shared" si="38"/>
        <v>0</v>
      </c>
      <c r="BZ91" s="597"/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</row>
    <row r="92" spans="1:138" outlineLevel="1">
      <c r="A92" s="505"/>
      <c r="B92" s="600"/>
      <c r="C92" s="288" t="s">
        <v>283</v>
      </c>
      <c r="D92" s="250" t="s">
        <v>223</v>
      </c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60"/>
      <c r="BY92" s="287">
        <f t="shared" si="38"/>
        <v>0</v>
      </c>
      <c r="BZ92" s="597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</row>
    <row r="93" spans="1:138" outlineLevel="1">
      <c r="A93" s="505"/>
      <c r="B93" s="600"/>
      <c r="C93" s="249" t="s">
        <v>284</v>
      </c>
      <c r="D93" s="250" t="s">
        <v>223</v>
      </c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2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60"/>
      <c r="BY93" s="287">
        <f t="shared" si="38"/>
        <v>0</v>
      </c>
      <c r="BZ93" s="597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</row>
    <row r="94" spans="1:138" outlineLevel="1">
      <c r="A94" s="505"/>
      <c r="B94" s="600"/>
      <c r="C94" s="249" t="s">
        <v>330</v>
      </c>
      <c r="D94" s="250" t="s">
        <v>223</v>
      </c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2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60"/>
      <c r="BY94" s="294">
        <f t="shared" si="38"/>
        <v>0</v>
      </c>
      <c r="BZ94" s="597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</row>
    <row r="95" spans="1:138" outlineLevel="1">
      <c r="A95" s="505"/>
      <c r="B95" s="601"/>
      <c r="C95" s="280" t="s">
        <v>286</v>
      </c>
      <c r="D95" s="295" t="s">
        <v>223</v>
      </c>
      <c r="E95" s="282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>
        <f t="shared" ref="P95:S95" si="39">PMT($D$60/12,25*12,$BY11)-P60</f>
        <v>-63512.896998034616</v>
      </c>
      <c r="Q95" s="282">
        <f t="shared" si="39"/>
        <v>-63512.896998034616</v>
      </c>
      <c r="R95" s="282">
        <f t="shared" si="39"/>
        <v>-63512.896998034616</v>
      </c>
      <c r="S95" s="282">
        <f t="shared" si="39"/>
        <v>-63512.896998034616</v>
      </c>
      <c r="T95" s="282">
        <f>-BY11-SUM(P95:S95)</f>
        <v>-51195948.412007861</v>
      </c>
      <c r="U95" s="282"/>
      <c r="V95" s="282"/>
      <c r="W95" s="282"/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  <c r="AU95" s="282"/>
      <c r="AV95" s="282"/>
      <c r="AW95" s="282"/>
      <c r="AX95" s="282"/>
      <c r="AY95" s="282"/>
      <c r="AZ95" s="282"/>
      <c r="BA95" s="282"/>
      <c r="BB95" s="282"/>
      <c r="BC95" s="282"/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2"/>
      <c r="BS95" s="282"/>
      <c r="BT95" s="282"/>
      <c r="BU95" s="282"/>
      <c r="BV95" s="282"/>
      <c r="BW95" s="282"/>
      <c r="BX95" s="284"/>
      <c r="BY95" s="264">
        <f t="shared" si="38"/>
        <v>-51450000</v>
      </c>
      <c r="BZ95" s="602"/>
      <c r="CA95" s="222"/>
      <c r="CB95" s="222"/>
      <c r="CC95" s="222"/>
      <c r="CD95" s="222"/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222"/>
      <c r="DU95" s="222"/>
      <c r="DV95" s="222"/>
      <c r="DW95" s="222"/>
      <c r="DX95" s="222"/>
      <c r="DY95" s="222"/>
      <c r="DZ95" s="222"/>
      <c r="EA95" s="222"/>
      <c r="EB95" s="222"/>
      <c r="EC95" s="222"/>
      <c r="ED95" s="222"/>
      <c r="EE95" s="222"/>
      <c r="EF95" s="222"/>
      <c r="EG95" s="222"/>
      <c r="EH95" s="222"/>
    </row>
    <row r="96" spans="1:138" ht="15.95">
      <c r="A96" s="505"/>
      <c r="B96" s="571" t="s">
        <v>287</v>
      </c>
      <c r="C96" s="592"/>
      <c r="D96" s="296" t="s">
        <v>223</v>
      </c>
      <c r="E96" s="297">
        <f t="shared" ref="E96:BX96" si="40">(E17+E23+E26+E34+E37+E47+E53+E61+E85+E88)</f>
        <v>0</v>
      </c>
      <c r="F96" s="297">
        <f t="shared" si="40"/>
        <v>0</v>
      </c>
      <c r="G96" s="297">
        <f t="shared" si="40"/>
        <v>0</v>
      </c>
      <c r="H96" s="297">
        <f t="shared" si="40"/>
        <v>-10918117.521666665</v>
      </c>
      <c r="I96" s="297">
        <f t="shared" si="40"/>
        <v>-3754328.7102689999</v>
      </c>
      <c r="J96" s="297">
        <f t="shared" si="40"/>
        <v>-1707473.2362500001</v>
      </c>
      <c r="K96" s="297">
        <f t="shared" si="40"/>
        <v>-8526204.1695833337</v>
      </c>
      <c r="L96" s="297">
        <f t="shared" si="40"/>
        <v>-7804554.5695833331</v>
      </c>
      <c r="M96" s="297">
        <f t="shared" si="40"/>
        <v>-22038707.236249998</v>
      </c>
      <c r="N96" s="297">
        <f t="shared" si="40"/>
        <v>-9553823.069583334</v>
      </c>
      <c r="O96" s="297">
        <f t="shared" si="40"/>
        <v>-9659862.9575896673</v>
      </c>
      <c r="P96" s="297">
        <f t="shared" si="40"/>
        <v>-6278019.2065813681</v>
      </c>
      <c r="Q96" s="297">
        <f t="shared" si="40"/>
        <v>-493374.37058136798</v>
      </c>
      <c r="R96" s="297">
        <f t="shared" si="40"/>
        <v>-493374.37058136798</v>
      </c>
      <c r="S96" s="297">
        <f t="shared" si="40"/>
        <v>-493374.37058136798</v>
      </c>
      <c r="T96" s="297">
        <f t="shared" si="40"/>
        <v>-74346580.735591203</v>
      </c>
      <c r="U96" s="297">
        <f t="shared" si="40"/>
        <v>0</v>
      </c>
      <c r="V96" s="297">
        <f t="shared" si="40"/>
        <v>0</v>
      </c>
      <c r="W96" s="297">
        <f t="shared" si="40"/>
        <v>0</v>
      </c>
      <c r="X96" s="297">
        <f t="shared" si="40"/>
        <v>0</v>
      </c>
      <c r="Y96" s="297">
        <f t="shared" si="40"/>
        <v>0</v>
      </c>
      <c r="Z96" s="297">
        <f t="shared" si="40"/>
        <v>0</v>
      </c>
      <c r="AA96" s="297">
        <f t="shared" si="40"/>
        <v>0</v>
      </c>
      <c r="AB96" s="297">
        <f t="shared" si="40"/>
        <v>0</v>
      </c>
      <c r="AC96" s="297">
        <f t="shared" si="40"/>
        <v>0</v>
      </c>
      <c r="AD96" s="297">
        <f t="shared" si="40"/>
        <v>0</v>
      </c>
      <c r="AE96" s="297">
        <f t="shared" si="40"/>
        <v>0</v>
      </c>
      <c r="AF96" s="297">
        <f t="shared" si="40"/>
        <v>0</v>
      </c>
      <c r="AG96" s="297">
        <f t="shared" si="40"/>
        <v>0</v>
      </c>
      <c r="AH96" s="297">
        <f t="shared" si="40"/>
        <v>0</v>
      </c>
      <c r="AI96" s="297">
        <f t="shared" si="40"/>
        <v>0</v>
      </c>
      <c r="AJ96" s="297">
        <f t="shared" si="40"/>
        <v>0</v>
      </c>
      <c r="AK96" s="297">
        <f t="shared" si="40"/>
        <v>0</v>
      </c>
      <c r="AL96" s="297">
        <f t="shared" si="40"/>
        <v>0</v>
      </c>
      <c r="AM96" s="297">
        <f t="shared" si="40"/>
        <v>0</v>
      </c>
      <c r="AN96" s="297">
        <f t="shared" si="40"/>
        <v>0</v>
      </c>
      <c r="AO96" s="297">
        <f t="shared" si="40"/>
        <v>0</v>
      </c>
      <c r="AP96" s="297">
        <f t="shared" si="40"/>
        <v>0</v>
      </c>
      <c r="AQ96" s="297">
        <f t="shared" si="40"/>
        <v>0</v>
      </c>
      <c r="AR96" s="297">
        <f t="shared" si="40"/>
        <v>0</v>
      </c>
      <c r="AS96" s="297">
        <f t="shared" si="40"/>
        <v>0</v>
      </c>
      <c r="AT96" s="297">
        <f t="shared" si="40"/>
        <v>0</v>
      </c>
      <c r="AU96" s="297">
        <f t="shared" si="40"/>
        <v>0</v>
      </c>
      <c r="AV96" s="297">
        <f t="shared" si="40"/>
        <v>0</v>
      </c>
      <c r="AW96" s="297">
        <f t="shared" si="40"/>
        <v>0</v>
      </c>
      <c r="AX96" s="297">
        <f t="shared" si="40"/>
        <v>0</v>
      </c>
      <c r="AY96" s="297">
        <f t="shared" si="40"/>
        <v>0</v>
      </c>
      <c r="AZ96" s="297">
        <f t="shared" si="40"/>
        <v>0</v>
      </c>
      <c r="BA96" s="297">
        <f t="shared" si="40"/>
        <v>0</v>
      </c>
      <c r="BB96" s="297">
        <f t="shared" si="40"/>
        <v>0</v>
      </c>
      <c r="BC96" s="297">
        <f t="shared" si="40"/>
        <v>0</v>
      </c>
      <c r="BD96" s="297">
        <f t="shared" si="40"/>
        <v>0</v>
      </c>
      <c r="BE96" s="297">
        <f t="shared" si="40"/>
        <v>0</v>
      </c>
      <c r="BF96" s="297">
        <f t="shared" si="40"/>
        <v>0</v>
      </c>
      <c r="BG96" s="297">
        <f t="shared" si="40"/>
        <v>0</v>
      </c>
      <c r="BH96" s="297">
        <f t="shared" si="40"/>
        <v>0</v>
      </c>
      <c r="BI96" s="297">
        <f t="shared" si="40"/>
        <v>0</v>
      </c>
      <c r="BJ96" s="297">
        <f t="shared" si="40"/>
        <v>0</v>
      </c>
      <c r="BK96" s="297">
        <f t="shared" si="40"/>
        <v>0</v>
      </c>
      <c r="BL96" s="297">
        <f t="shared" si="40"/>
        <v>0</v>
      </c>
      <c r="BM96" s="297">
        <f t="shared" si="40"/>
        <v>0</v>
      </c>
      <c r="BN96" s="297">
        <f t="shared" si="40"/>
        <v>0</v>
      </c>
      <c r="BO96" s="297">
        <f t="shared" si="40"/>
        <v>0</v>
      </c>
      <c r="BP96" s="297">
        <f t="shared" si="40"/>
        <v>0</v>
      </c>
      <c r="BQ96" s="297">
        <f t="shared" si="40"/>
        <v>0</v>
      </c>
      <c r="BR96" s="297">
        <f t="shared" si="40"/>
        <v>0</v>
      </c>
      <c r="BS96" s="297">
        <f t="shared" si="40"/>
        <v>0</v>
      </c>
      <c r="BT96" s="297">
        <f t="shared" si="40"/>
        <v>0</v>
      </c>
      <c r="BU96" s="297">
        <f t="shared" si="40"/>
        <v>0</v>
      </c>
      <c r="BV96" s="297">
        <f t="shared" si="40"/>
        <v>0</v>
      </c>
      <c r="BW96" s="297">
        <f t="shared" si="40"/>
        <v>0</v>
      </c>
      <c r="BX96" s="297">
        <f t="shared" si="40"/>
        <v>0</v>
      </c>
      <c r="BY96" s="565">
        <f>BZ89</f>
        <v>-73915002</v>
      </c>
      <c r="BZ96" s="601"/>
      <c r="CA96" s="222"/>
      <c r="CB96" s="222"/>
      <c r="CC96" s="222"/>
      <c r="CD96" s="222"/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2"/>
      <c r="CQ96" s="222"/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2"/>
      <c r="DI96" s="222"/>
      <c r="DJ96" s="222"/>
      <c r="DK96" s="222"/>
      <c r="DL96" s="222"/>
      <c r="DM96" s="222"/>
      <c r="DN96" s="222"/>
      <c r="DO96" s="222"/>
      <c r="DP96" s="222"/>
      <c r="DQ96" s="222"/>
      <c r="DR96" s="222"/>
      <c r="DS96" s="222"/>
      <c r="DT96" s="222"/>
      <c r="DU96" s="222"/>
      <c r="DV96" s="222"/>
      <c r="DW96" s="222"/>
      <c r="DX96" s="222"/>
      <c r="DY96" s="222"/>
      <c r="DZ96" s="222"/>
      <c r="EA96" s="222"/>
      <c r="EB96" s="222"/>
      <c r="EC96" s="222"/>
      <c r="ED96" s="222"/>
      <c r="EE96" s="222"/>
      <c r="EF96" s="222"/>
      <c r="EG96" s="222"/>
      <c r="EH96" s="222"/>
    </row>
    <row r="97" spans="1:138" ht="15.95">
      <c r="A97" s="505"/>
      <c r="B97" s="572" t="s">
        <v>288</v>
      </c>
      <c r="C97" s="592"/>
      <c r="D97" s="303"/>
      <c r="E97" s="299">
        <f t="shared" ref="E97:BX97" si="41">E16+E96</f>
        <v>0</v>
      </c>
      <c r="F97" s="299">
        <f t="shared" si="41"/>
        <v>0</v>
      </c>
      <c r="G97" s="299">
        <f t="shared" si="41"/>
        <v>0</v>
      </c>
      <c r="H97" s="299">
        <f t="shared" si="41"/>
        <v>5446884.4783333354</v>
      </c>
      <c r="I97" s="299">
        <f t="shared" si="41"/>
        <v>-2754328.7102689999</v>
      </c>
      <c r="J97" s="299">
        <f t="shared" si="41"/>
        <v>-1707473.2362500001</v>
      </c>
      <c r="K97" s="299">
        <f t="shared" si="41"/>
        <v>14093718.293262938</v>
      </c>
      <c r="L97" s="299">
        <f t="shared" si="41"/>
        <v>-7680160.6848725891</v>
      </c>
      <c r="M97" s="300">
        <f t="shared" si="41"/>
        <v>7599476.2484607473</v>
      </c>
      <c r="N97" s="299">
        <f t="shared" si="41"/>
        <v>-9473529.18487259</v>
      </c>
      <c r="O97" s="300">
        <f t="shared" si="41"/>
        <v>-1739569.0728789233</v>
      </c>
      <c r="P97" s="300">
        <f t="shared" si="41"/>
        <v>-4937725.3218706241</v>
      </c>
      <c r="Q97" s="300">
        <f t="shared" si="41"/>
        <v>200050.01612937567</v>
      </c>
      <c r="R97" s="300">
        <f t="shared" si="41"/>
        <v>93830.714129375643</v>
      </c>
      <c r="S97" s="300">
        <f t="shared" si="41"/>
        <v>93830.714129375643</v>
      </c>
      <c r="T97" s="300">
        <f t="shared" si="41"/>
        <v>65123222.509119481</v>
      </c>
      <c r="U97" s="299">
        <f t="shared" si="41"/>
        <v>0</v>
      </c>
      <c r="V97" s="299">
        <f t="shared" si="41"/>
        <v>0</v>
      </c>
      <c r="W97" s="299">
        <f t="shared" si="41"/>
        <v>0</v>
      </c>
      <c r="X97" s="300">
        <f t="shared" si="41"/>
        <v>0</v>
      </c>
      <c r="Y97" s="300">
        <f t="shared" si="41"/>
        <v>0</v>
      </c>
      <c r="Z97" s="300">
        <f t="shared" si="41"/>
        <v>0</v>
      </c>
      <c r="AA97" s="300">
        <f t="shared" si="41"/>
        <v>0</v>
      </c>
      <c r="AB97" s="300">
        <f t="shared" si="41"/>
        <v>0</v>
      </c>
      <c r="AC97" s="299">
        <f t="shared" si="41"/>
        <v>0</v>
      </c>
      <c r="AD97" s="300">
        <f t="shared" si="41"/>
        <v>0</v>
      </c>
      <c r="AE97" s="300">
        <f t="shared" si="41"/>
        <v>0</v>
      </c>
      <c r="AF97" s="300">
        <f t="shared" si="41"/>
        <v>0</v>
      </c>
      <c r="AG97" s="300">
        <f t="shared" si="41"/>
        <v>0</v>
      </c>
      <c r="AH97" s="300">
        <f t="shared" si="41"/>
        <v>0</v>
      </c>
      <c r="AI97" s="300">
        <f t="shared" si="41"/>
        <v>0</v>
      </c>
      <c r="AJ97" s="300">
        <f t="shared" si="41"/>
        <v>0</v>
      </c>
      <c r="AK97" s="300">
        <f t="shared" si="41"/>
        <v>0</v>
      </c>
      <c r="AL97" s="300">
        <f t="shared" si="41"/>
        <v>0</v>
      </c>
      <c r="AM97" s="300">
        <f t="shared" si="41"/>
        <v>0</v>
      </c>
      <c r="AN97" s="300">
        <f t="shared" si="41"/>
        <v>0</v>
      </c>
      <c r="AO97" s="299">
        <f t="shared" si="41"/>
        <v>0</v>
      </c>
      <c r="AP97" s="300">
        <f t="shared" si="41"/>
        <v>0</v>
      </c>
      <c r="AQ97" s="300">
        <f t="shared" si="41"/>
        <v>0</v>
      </c>
      <c r="AR97" s="300">
        <f t="shared" si="41"/>
        <v>0</v>
      </c>
      <c r="AS97" s="299">
        <f t="shared" si="41"/>
        <v>0</v>
      </c>
      <c r="AT97" s="299">
        <f t="shared" si="41"/>
        <v>0</v>
      </c>
      <c r="AU97" s="299">
        <f t="shared" si="41"/>
        <v>0</v>
      </c>
      <c r="AV97" s="299">
        <f t="shared" si="41"/>
        <v>0</v>
      </c>
      <c r="AW97" s="299">
        <f t="shared" si="41"/>
        <v>0</v>
      </c>
      <c r="AX97" s="299">
        <f t="shared" si="41"/>
        <v>0</v>
      </c>
      <c r="AY97" s="299">
        <f t="shared" si="41"/>
        <v>0</v>
      </c>
      <c r="AZ97" s="299">
        <f t="shared" si="41"/>
        <v>0</v>
      </c>
      <c r="BA97" s="299">
        <f t="shared" si="41"/>
        <v>0</v>
      </c>
      <c r="BB97" s="299">
        <f t="shared" si="41"/>
        <v>0</v>
      </c>
      <c r="BC97" s="299">
        <f t="shared" si="41"/>
        <v>0</v>
      </c>
      <c r="BD97" s="299">
        <f t="shared" si="41"/>
        <v>0</v>
      </c>
      <c r="BE97" s="299">
        <f t="shared" si="41"/>
        <v>0</v>
      </c>
      <c r="BF97" s="299">
        <f t="shared" si="41"/>
        <v>0</v>
      </c>
      <c r="BG97" s="299">
        <f t="shared" si="41"/>
        <v>0</v>
      </c>
      <c r="BH97" s="299">
        <f t="shared" si="41"/>
        <v>0</v>
      </c>
      <c r="BI97" s="299">
        <f t="shared" si="41"/>
        <v>0</v>
      </c>
      <c r="BJ97" s="299">
        <f t="shared" si="41"/>
        <v>0</v>
      </c>
      <c r="BK97" s="299">
        <f t="shared" si="41"/>
        <v>0</v>
      </c>
      <c r="BL97" s="304">
        <f t="shared" si="41"/>
        <v>0</v>
      </c>
      <c r="BM97" s="304">
        <f t="shared" si="41"/>
        <v>0</v>
      </c>
      <c r="BN97" s="304">
        <f t="shared" si="41"/>
        <v>0</v>
      </c>
      <c r="BO97" s="304">
        <f t="shared" si="41"/>
        <v>0</v>
      </c>
      <c r="BP97" s="304">
        <f t="shared" si="41"/>
        <v>0</v>
      </c>
      <c r="BQ97" s="304">
        <f t="shared" si="41"/>
        <v>0</v>
      </c>
      <c r="BR97" s="304">
        <f t="shared" si="41"/>
        <v>0</v>
      </c>
      <c r="BS97" s="304">
        <f t="shared" si="41"/>
        <v>0</v>
      </c>
      <c r="BT97" s="304">
        <f t="shared" si="41"/>
        <v>0</v>
      </c>
      <c r="BU97" s="304">
        <f t="shared" si="41"/>
        <v>0</v>
      </c>
      <c r="BV97" s="304">
        <f t="shared" si="41"/>
        <v>0</v>
      </c>
      <c r="BW97" s="304">
        <f t="shared" si="41"/>
        <v>0</v>
      </c>
      <c r="BX97" s="304">
        <f t="shared" si="41"/>
        <v>0</v>
      </c>
      <c r="BY97" s="566">
        <f>BY16+BY88+BY96</f>
        <v>72596017.287242889</v>
      </c>
      <c r="BZ97" s="603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2"/>
      <c r="DI97" s="222"/>
      <c r="DJ97" s="222"/>
      <c r="DK97" s="222"/>
      <c r="DL97" s="222"/>
      <c r="DM97" s="222"/>
      <c r="DN97" s="222"/>
      <c r="DO97" s="222"/>
      <c r="DP97" s="222"/>
      <c r="DQ97" s="222"/>
      <c r="DR97" s="222"/>
      <c r="DS97" s="222"/>
      <c r="DT97" s="222"/>
      <c r="DU97" s="222"/>
      <c r="DV97" s="222"/>
      <c r="DW97" s="222"/>
      <c r="DX97" s="222"/>
      <c r="DY97" s="222"/>
      <c r="DZ97" s="222"/>
      <c r="EA97" s="222"/>
      <c r="EB97" s="222"/>
      <c r="EC97" s="222"/>
      <c r="ED97" s="222"/>
      <c r="EE97" s="222"/>
      <c r="EF97" s="222"/>
      <c r="EG97" s="222"/>
      <c r="EH97" s="222"/>
    </row>
    <row r="98" spans="1:138">
      <c r="A98" s="505"/>
      <c r="B98" s="573" t="s">
        <v>289</v>
      </c>
      <c r="C98" s="592"/>
      <c r="D98" s="305"/>
      <c r="E98" s="306">
        <f>E97</f>
        <v>0</v>
      </c>
      <c r="F98" s="306">
        <f>F97+E98</f>
        <v>0</v>
      </c>
      <c r="G98" s="306">
        <f>655760.63+24.98*24.5-16.85*22</f>
        <v>656001.94000000006</v>
      </c>
      <c r="H98" s="306">
        <f>H97+G98-66</f>
        <v>6102820.4183333358</v>
      </c>
      <c r="I98" s="306">
        <f t="shared" ref="I98:BX98" si="42">I97+H98</f>
        <v>3348491.7080643359</v>
      </c>
      <c r="J98" s="306">
        <f t="shared" si="42"/>
        <v>1641018.4718143358</v>
      </c>
      <c r="K98" s="306">
        <f t="shared" si="42"/>
        <v>15734736.765077274</v>
      </c>
      <c r="L98" s="306">
        <f t="shared" si="42"/>
        <v>8054576.0802046852</v>
      </c>
      <c r="M98" s="306">
        <f t="shared" si="42"/>
        <v>15654052.328665432</v>
      </c>
      <c r="N98" s="306">
        <f t="shared" si="42"/>
        <v>6180523.1437928416</v>
      </c>
      <c r="O98" s="306">
        <f t="shared" si="42"/>
        <v>4440954.0709139183</v>
      </c>
      <c r="P98" s="306">
        <f t="shared" si="42"/>
        <v>-496771.25095670577</v>
      </c>
      <c r="Q98" s="306">
        <f t="shared" si="42"/>
        <v>-296721.2348273301</v>
      </c>
      <c r="R98" s="306">
        <f t="shared" si="42"/>
        <v>-202890.52069795446</v>
      </c>
      <c r="S98" s="306">
        <f t="shared" si="42"/>
        <v>-109059.80656857882</v>
      </c>
      <c r="T98" s="306">
        <f t="shared" si="42"/>
        <v>65014162.702550903</v>
      </c>
      <c r="U98" s="306">
        <f t="shared" si="42"/>
        <v>65014162.702550903</v>
      </c>
      <c r="V98" s="306">
        <f t="shared" si="42"/>
        <v>65014162.702550903</v>
      </c>
      <c r="W98" s="306">
        <f t="shared" si="42"/>
        <v>65014162.702550903</v>
      </c>
      <c r="X98" s="306">
        <f t="shared" si="42"/>
        <v>65014162.702550903</v>
      </c>
      <c r="Y98" s="306">
        <f t="shared" si="42"/>
        <v>65014162.702550903</v>
      </c>
      <c r="Z98" s="306">
        <f t="shared" si="42"/>
        <v>65014162.702550903</v>
      </c>
      <c r="AA98" s="306">
        <f t="shared" si="42"/>
        <v>65014162.702550903</v>
      </c>
      <c r="AB98" s="306">
        <f t="shared" si="42"/>
        <v>65014162.702550903</v>
      </c>
      <c r="AC98" s="306">
        <f t="shared" si="42"/>
        <v>65014162.702550903</v>
      </c>
      <c r="AD98" s="306">
        <f t="shared" si="42"/>
        <v>65014162.702550903</v>
      </c>
      <c r="AE98" s="306">
        <f t="shared" si="42"/>
        <v>65014162.702550903</v>
      </c>
      <c r="AF98" s="306">
        <f t="shared" si="42"/>
        <v>65014162.702550903</v>
      </c>
      <c r="AG98" s="306">
        <f t="shared" si="42"/>
        <v>65014162.702550903</v>
      </c>
      <c r="AH98" s="306">
        <f t="shared" si="42"/>
        <v>65014162.702550903</v>
      </c>
      <c r="AI98" s="306">
        <f t="shared" si="42"/>
        <v>65014162.702550903</v>
      </c>
      <c r="AJ98" s="306">
        <f t="shared" si="42"/>
        <v>65014162.702550903</v>
      </c>
      <c r="AK98" s="306">
        <f t="shared" si="42"/>
        <v>65014162.702550903</v>
      </c>
      <c r="AL98" s="306">
        <f t="shared" si="42"/>
        <v>65014162.702550903</v>
      </c>
      <c r="AM98" s="306">
        <f t="shared" si="42"/>
        <v>65014162.702550903</v>
      </c>
      <c r="AN98" s="306">
        <f t="shared" si="42"/>
        <v>65014162.702550903</v>
      </c>
      <c r="AO98" s="306">
        <f t="shared" si="42"/>
        <v>65014162.702550903</v>
      </c>
      <c r="AP98" s="306">
        <f t="shared" si="42"/>
        <v>65014162.702550903</v>
      </c>
      <c r="AQ98" s="306">
        <f t="shared" si="42"/>
        <v>65014162.702550903</v>
      </c>
      <c r="AR98" s="306">
        <f t="shared" si="42"/>
        <v>65014162.702550903</v>
      </c>
      <c r="AS98" s="306">
        <f t="shared" si="42"/>
        <v>65014162.702550903</v>
      </c>
      <c r="AT98" s="306">
        <f t="shared" si="42"/>
        <v>65014162.702550903</v>
      </c>
      <c r="AU98" s="306">
        <f t="shared" si="42"/>
        <v>65014162.702550903</v>
      </c>
      <c r="AV98" s="306">
        <f t="shared" si="42"/>
        <v>65014162.702550903</v>
      </c>
      <c r="AW98" s="306">
        <f t="shared" si="42"/>
        <v>65014162.702550903</v>
      </c>
      <c r="AX98" s="306">
        <f t="shared" si="42"/>
        <v>65014162.702550903</v>
      </c>
      <c r="AY98" s="306">
        <f t="shared" si="42"/>
        <v>65014162.702550903</v>
      </c>
      <c r="AZ98" s="306">
        <f t="shared" si="42"/>
        <v>65014162.702550903</v>
      </c>
      <c r="BA98" s="306">
        <f t="shared" si="42"/>
        <v>65014162.702550903</v>
      </c>
      <c r="BB98" s="306">
        <f t="shared" si="42"/>
        <v>65014162.702550903</v>
      </c>
      <c r="BC98" s="306">
        <f t="shared" si="42"/>
        <v>65014162.702550903</v>
      </c>
      <c r="BD98" s="306">
        <f t="shared" si="42"/>
        <v>65014162.702550903</v>
      </c>
      <c r="BE98" s="306">
        <f t="shared" si="42"/>
        <v>65014162.702550903</v>
      </c>
      <c r="BF98" s="306">
        <f t="shared" si="42"/>
        <v>65014162.702550903</v>
      </c>
      <c r="BG98" s="306">
        <f t="shared" si="42"/>
        <v>65014162.702550903</v>
      </c>
      <c r="BH98" s="306">
        <f t="shared" si="42"/>
        <v>65014162.702550903</v>
      </c>
      <c r="BI98" s="306">
        <f t="shared" si="42"/>
        <v>65014162.702550903</v>
      </c>
      <c r="BJ98" s="306">
        <f t="shared" si="42"/>
        <v>65014162.702550903</v>
      </c>
      <c r="BK98" s="306">
        <f t="shared" si="42"/>
        <v>65014162.702550903</v>
      </c>
      <c r="BL98" s="306">
        <f t="shared" si="42"/>
        <v>65014162.702550903</v>
      </c>
      <c r="BM98" s="306">
        <f t="shared" si="42"/>
        <v>65014162.702550903</v>
      </c>
      <c r="BN98" s="306">
        <f t="shared" si="42"/>
        <v>65014162.702550903</v>
      </c>
      <c r="BO98" s="306">
        <f t="shared" si="42"/>
        <v>65014162.702550903</v>
      </c>
      <c r="BP98" s="306">
        <f t="shared" si="42"/>
        <v>65014162.702550903</v>
      </c>
      <c r="BQ98" s="306">
        <f t="shared" si="42"/>
        <v>65014162.702550903</v>
      </c>
      <c r="BR98" s="306">
        <f t="shared" si="42"/>
        <v>65014162.702550903</v>
      </c>
      <c r="BS98" s="306">
        <f t="shared" si="42"/>
        <v>65014162.702550903</v>
      </c>
      <c r="BT98" s="306">
        <f t="shared" si="42"/>
        <v>65014162.702550903</v>
      </c>
      <c r="BU98" s="306">
        <f t="shared" si="42"/>
        <v>65014162.702550903</v>
      </c>
      <c r="BV98" s="306">
        <f t="shared" si="42"/>
        <v>65014162.702550903</v>
      </c>
      <c r="BW98" s="306">
        <f t="shared" si="42"/>
        <v>65014162.702550903</v>
      </c>
      <c r="BX98" s="306">
        <f t="shared" si="42"/>
        <v>65014162.702550903</v>
      </c>
      <c r="BY98" s="222"/>
      <c r="BZ98" s="222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</row>
    <row r="99" spans="1:138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2"/>
      <c r="AG99" s="222"/>
      <c r="AH99" s="222"/>
      <c r="AI99" s="222"/>
      <c r="AJ99" s="222"/>
      <c r="AK99" s="222"/>
      <c r="AL99" s="222"/>
      <c r="AM99" s="222"/>
      <c r="AN99" s="222"/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2"/>
      <c r="BB99" s="222"/>
      <c r="BC99" s="222"/>
      <c r="BD99" s="222"/>
      <c r="BE99" s="222"/>
      <c r="BF99" s="222"/>
      <c r="BG99" s="222"/>
      <c r="BH99" s="222"/>
      <c r="BI99" s="222"/>
      <c r="BJ99" s="222"/>
      <c r="BK99" s="222"/>
      <c r="BL99" s="222"/>
      <c r="BM99" s="222"/>
      <c r="BN99" s="222"/>
      <c r="BO99" s="222"/>
      <c r="BP99" s="222"/>
      <c r="BQ99" s="222"/>
      <c r="BR99" s="222"/>
      <c r="BS99" s="222"/>
      <c r="BT99" s="222"/>
      <c r="BU99" s="222"/>
      <c r="BV99" s="222"/>
      <c r="BW99" s="222"/>
      <c r="BX99" s="222"/>
      <c r="BY99" s="307"/>
      <c r="BZ99" s="222">
        <f>T98-8333333</f>
        <v>56680829.702550903</v>
      </c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2"/>
      <c r="DI99" s="222"/>
      <c r="DJ99" s="222"/>
      <c r="DK99" s="222"/>
      <c r="DL99" s="222"/>
      <c r="DM99" s="222"/>
      <c r="DN99" s="222"/>
      <c r="DO99" s="222"/>
      <c r="DP99" s="222"/>
      <c r="DQ99" s="222"/>
      <c r="DR99" s="222"/>
      <c r="DS99" s="222"/>
      <c r="DT99" s="222"/>
      <c r="DU99" s="222"/>
      <c r="DV99" s="222"/>
      <c r="DW99" s="222"/>
      <c r="DX99" s="222"/>
      <c r="DY99" s="222"/>
      <c r="DZ99" s="222"/>
      <c r="EA99" s="222"/>
      <c r="EB99" s="222"/>
      <c r="EC99" s="222"/>
      <c r="ED99" s="222"/>
      <c r="EE99" s="222"/>
      <c r="EF99" s="222"/>
      <c r="EG99" s="222"/>
      <c r="EH99" s="222"/>
    </row>
    <row r="100" spans="1:138" hidden="1">
      <c r="A100" s="222"/>
      <c r="B100" s="222"/>
      <c r="C100" s="222"/>
      <c r="D100" s="308" t="s">
        <v>290</v>
      </c>
      <c r="E100" s="308"/>
      <c r="F100" s="308"/>
      <c r="G100" s="308"/>
      <c r="H100" s="308"/>
      <c r="I100" s="308"/>
      <c r="J100" s="308"/>
      <c r="K100" s="308"/>
      <c r="L100" s="308"/>
      <c r="M100" s="308"/>
      <c r="N100" s="308"/>
      <c r="O100" s="308"/>
      <c r="P100" s="308"/>
      <c r="Q100" s="308"/>
      <c r="R100" s="308"/>
      <c r="S100" s="308"/>
      <c r="T100" s="308"/>
      <c r="U100" s="308"/>
      <c r="V100" s="309"/>
      <c r="W100" s="309"/>
      <c r="X100" s="309"/>
      <c r="Y100" s="309"/>
      <c r="Z100" s="30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09"/>
      <c r="AK100" s="309"/>
      <c r="AL100" s="309"/>
      <c r="AM100" s="309"/>
      <c r="AN100" s="309"/>
      <c r="AO100" s="309"/>
      <c r="AP100" s="309"/>
      <c r="AQ100" s="309"/>
      <c r="AR100" s="309"/>
      <c r="AS100" s="309"/>
      <c r="AT100" s="309"/>
      <c r="AU100" s="309"/>
      <c r="AV100" s="309"/>
      <c r="AW100" s="309"/>
      <c r="AX100" s="309"/>
      <c r="AY100" s="309"/>
      <c r="AZ100" s="309"/>
      <c r="BA100" s="309"/>
      <c r="BB100" s="309"/>
      <c r="BC100" s="309"/>
      <c r="BD100" s="309"/>
      <c r="BE100" s="309"/>
      <c r="BF100" s="309"/>
      <c r="BG100" s="309"/>
      <c r="BH100" s="309"/>
      <c r="BI100" s="309"/>
      <c r="BJ100" s="309"/>
      <c r="BK100" s="309"/>
      <c r="BL100" s="309"/>
      <c r="BM100" s="309"/>
      <c r="BN100" s="309"/>
      <c r="BO100" s="309"/>
      <c r="BP100" s="309"/>
      <c r="BQ100" s="309"/>
      <c r="BR100" s="309"/>
      <c r="BS100" s="309"/>
      <c r="BT100" s="309"/>
      <c r="BU100" s="309"/>
      <c r="BV100" s="309"/>
      <c r="BW100" s="309"/>
      <c r="BX100" s="309"/>
      <c r="BY100" s="307"/>
      <c r="BZ100" s="222"/>
      <c r="CA100" s="222"/>
      <c r="CB100" s="222"/>
      <c r="CC100" s="222"/>
      <c r="CD100" s="222"/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2"/>
      <c r="CQ100" s="222"/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E100" s="222"/>
      <c r="EF100" s="222"/>
      <c r="EG100" s="222"/>
      <c r="EH100" s="222"/>
    </row>
    <row r="101" spans="1:138" hidden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2"/>
      <c r="BK101" s="222"/>
      <c r="BL101" s="222"/>
      <c r="BM101" s="222"/>
      <c r="BN101" s="222"/>
      <c r="BO101" s="222"/>
      <c r="BP101" s="222"/>
      <c r="BQ101" s="222"/>
      <c r="BR101" s="222"/>
      <c r="BS101" s="222"/>
      <c r="BT101" s="222"/>
      <c r="BU101" s="222"/>
      <c r="BV101" s="222"/>
      <c r="BW101" s="222"/>
      <c r="BX101" s="222"/>
      <c r="BY101" s="307"/>
      <c r="BZ101" s="222"/>
      <c r="CA101" s="222"/>
      <c r="CB101" s="222"/>
      <c r="CC101" s="222"/>
      <c r="CD101" s="222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2"/>
      <c r="CV101" s="222"/>
      <c r="CW101" s="222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2"/>
      <c r="DI101" s="222"/>
      <c r="DJ101" s="222"/>
      <c r="DK101" s="222"/>
      <c r="DL101" s="222"/>
      <c r="DM101" s="222"/>
      <c r="DN101" s="222"/>
      <c r="DO101" s="222"/>
      <c r="DP101" s="222"/>
      <c r="DQ101" s="222"/>
      <c r="DR101" s="222"/>
      <c r="DS101" s="222"/>
      <c r="DT101" s="222"/>
      <c r="DU101" s="222"/>
      <c r="DV101" s="222"/>
      <c r="DW101" s="222"/>
      <c r="DX101" s="222"/>
      <c r="DY101" s="222"/>
      <c r="DZ101" s="222"/>
      <c r="EA101" s="222"/>
      <c r="EB101" s="222"/>
      <c r="EC101" s="222"/>
      <c r="ED101" s="222"/>
      <c r="EE101" s="222"/>
      <c r="EF101" s="222"/>
      <c r="EG101" s="222"/>
      <c r="EH101" s="222"/>
    </row>
    <row r="102" spans="1:138" hidden="1">
      <c r="A102" s="222"/>
      <c r="B102" s="222"/>
      <c r="C102" s="310" t="s">
        <v>291</v>
      </c>
      <c r="D102" s="311"/>
      <c r="E102" s="312">
        <f>E110+E126+E142+E159</f>
        <v>0</v>
      </c>
      <c r="F102" s="312">
        <f t="shared" ref="F102:BW102" si="43">F110+F159</f>
        <v>0</v>
      </c>
      <c r="G102" s="312">
        <f t="shared" si="43"/>
        <v>0</v>
      </c>
      <c r="H102" s="312">
        <f t="shared" si="43"/>
        <v>-16365002</v>
      </c>
      <c r="I102" s="312">
        <f t="shared" si="43"/>
        <v>-1000000</v>
      </c>
      <c r="J102" s="312">
        <f t="shared" si="43"/>
        <v>0</v>
      </c>
      <c r="K102" s="312">
        <f t="shared" si="43"/>
        <v>0</v>
      </c>
      <c r="L102" s="312">
        <f t="shared" si="43"/>
        <v>0</v>
      </c>
      <c r="M102" s="312">
        <f t="shared" si="43"/>
        <v>0</v>
      </c>
      <c r="N102" s="312">
        <f t="shared" si="43"/>
        <v>0</v>
      </c>
      <c r="O102" s="312">
        <f t="shared" si="43"/>
        <v>-3000000</v>
      </c>
      <c r="P102" s="312">
        <f t="shared" si="43"/>
        <v>-2100000</v>
      </c>
      <c r="Q102" s="312">
        <f t="shared" si="43"/>
        <v>0</v>
      </c>
      <c r="R102" s="312">
        <f t="shared" si="43"/>
        <v>0</v>
      </c>
      <c r="S102" s="312">
        <f t="shared" si="43"/>
        <v>0</v>
      </c>
      <c r="T102" s="312">
        <f t="shared" si="43"/>
        <v>22465002</v>
      </c>
      <c r="U102" s="312">
        <f t="shared" si="43"/>
        <v>0</v>
      </c>
      <c r="V102" s="312">
        <f t="shared" si="43"/>
        <v>0</v>
      </c>
      <c r="W102" s="312">
        <f t="shared" si="43"/>
        <v>0</v>
      </c>
      <c r="X102" s="312">
        <f t="shared" si="43"/>
        <v>0</v>
      </c>
      <c r="Y102" s="312">
        <f t="shared" si="43"/>
        <v>0</v>
      </c>
      <c r="Z102" s="312">
        <f t="shared" si="43"/>
        <v>0</v>
      </c>
      <c r="AA102" s="312">
        <f t="shared" si="43"/>
        <v>0</v>
      </c>
      <c r="AB102" s="312">
        <f t="shared" si="43"/>
        <v>0</v>
      </c>
      <c r="AC102" s="312">
        <f t="shared" si="43"/>
        <v>0</v>
      </c>
      <c r="AD102" s="312">
        <f t="shared" si="43"/>
        <v>0</v>
      </c>
      <c r="AE102" s="312">
        <f t="shared" si="43"/>
        <v>0</v>
      </c>
      <c r="AF102" s="312">
        <f t="shared" si="43"/>
        <v>0</v>
      </c>
      <c r="AG102" s="312">
        <f t="shared" si="43"/>
        <v>0</v>
      </c>
      <c r="AH102" s="312">
        <f t="shared" si="43"/>
        <v>0</v>
      </c>
      <c r="AI102" s="312">
        <f t="shared" si="43"/>
        <v>0</v>
      </c>
      <c r="AJ102" s="312">
        <f t="shared" si="43"/>
        <v>0</v>
      </c>
      <c r="AK102" s="312">
        <f t="shared" si="43"/>
        <v>0</v>
      </c>
      <c r="AL102" s="312">
        <f t="shared" si="43"/>
        <v>0</v>
      </c>
      <c r="AM102" s="312">
        <f t="shared" si="43"/>
        <v>0</v>
      </c>
      <c r="AN102" s="312">
        <f t="shared" si="43"/>
        <v>0</v>
      </c>
      <c r="AO102" s="312">
        <f t="shared" si="43"/>
        <v>0</v>
      </c>
      <c r="AP102" s="312">
        <f t="shared" si="43"/>
        <v>0</v>
      </c>
      <c r="AQ102" s="312">
        <f t="shared" si="43"/>
        <v>0</v>
      </c>
      <c r="AR102" s="312">
        <f t="shared" si="43"/>
        <v>0</v>
      </c>
      <c r="AS102" s="312">
        <f t="shared" si="43"/>
        <v>0</v>
      </c>
      <c r="AT102" s="312">
        <f t="shared" si="43"/>
        <v>0</v>
      </c>
      <c r="AU102" s="312">
        <f t="shared" si="43"/>
        <v>0</v>
      </c>
      <c r="AV102" s="312">
        <f t="shared" si="43"/>
        <v>0</v>
      </c>
      <c r="AW102" s="312">
        <f t="shared" si="43"/>
        <v>0</v>
      </c>
      <c r="AX102" s="312">
        <f t="shared" si="43"/>
        <v>0</v>
      </c>
      <c r="AY102" s="312">
        <f t="shared" si="43"/>
        <v>0</v>
      </c>
      <c r="AZ102" s="312">
        <f t="shared" si="43"/>
        <v>0</v>
      </c>
      <c r="BA102" s="312">
        <f t="shared" si="43"/>
        <v>0</v>
      </c>
      <c r="BB102" s="312">
        <f t="shared" si="43"/>
        <v>0</v>
      </c>
      <c r="BC102" s="312">
        <f t="shared" si="43"/>
        <v>0</v>
      </c>
      <c r="BD102" s="312">
        <f t="shared" si="43"/>
        <v>0</v>
      </c>
      <c r="BE102" s="312">
        <f t="shared" si="43"/>
        <v>0</v>
      </c>
      <c r="BF102" s="312">
        <f t="shared" si="43"/>
        <v>0</v>
      </c>
      <c r="BG102" s="312">
        <f t="shared" si="43"/>
        <v>0</v>
      </c>
      <c r="BH102" s="312">
        <f t="shared" si="43"/>
        <v>0</v>
      </c>
      <c r="BI102" s="312">
        <f t="shared" si="43"/>
        <v>0</v>
      </c>
      <c r="BJ102" s="312">
        <f t="shared" si="43"/>
        <v>0</v>
      </c>
      <c r="BK102" s="312">
        <f t="shared" si="43"/>
        <v>0</v>
      </c>
      <c r="BL102" s="312">
        <f t="shared" si="43"/>
        <v>0</v>
      </c>
      <c r="BM102" s="312">
        <f t="shared" si="43"/>
        <v>0</v>
      </c>
      <c r="BN102" s="312">
        <f t="shared" si="43"/>
        <v>0</v>
      </c>
      <c r="BO102" s="312">
        <f t="shared" si="43"/>
        <v>0</v>
      </c>
      <c r="BP102" s="312">
        <f t="shared" si="43"/>
        <v>0</v>
      </c>
      <c r="BQ102" s="312">
        <f t="shared" si="43"/>
        <v>0</v>
      </c>
      <c r="BR102" s="312">
        <f t="shared" si="43"/>
        <v>0</v>
      </c>
      <c r="BS102" s="312">
        <f t="shared" si="43"/>
        <v>0</v>
      </c>
      <c r="BT102" s="312">
        <f t="shared" si="43"/>
        <v>0</v>
      </c>
      <c r="BU102" s="312">
        <f t="shared" si="43"/>
        <v>0</v>
      </c>
      <c r="BV102" s="312">
        <f t="shared" si="43"/>
        <v>0</v>
      </c>
      <c r="BW102" s="312">
        <f t="shared" si="43"/>
        <v>0</v>
      </c>
      <c r="BX102" s="312">
        <f>BX110+BX159+BX98</f>
        <v>65014162.702550903</v>
      </c>
      <c r="BY102" s="307"/>
      <c r="BZ102" s="222"/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</row>
    <row r="103" spans="1:138" hidden="1">
      <c r="A103" s="222"/>
      <c r="B103" s="222"/>
      <c r="C103" s="313" t="s">
        <v>292</v>
      </c>
      <c r="D103" s="574">
        <f>IRR(E102:BX102)*12</f>
        <v>0.41678150336608155</v>
      </c>
      <c r="E103" s="599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222"/>
      <c r="AF103" s="222"/>
      <c r="AG103" s="222"/>
      <c r="AH103" s="222"/>
      <c r="AI103" s="222"/>
      <c r="AJ103" s="222"/>
      <c r="AK103" s="222"/>
      <c r="AL103" s="222"/>
      <c r="AM103" s="222"/>
      <c r="AN103" s="222"/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2"/>
      <c r="BB103" s="222"/>
      <c r="BC103" s="222"/>
      <c r="BD103" s="222"/>
      <c r="BE103" s="222"/>
      <c r="BF103" s="222"/>
      <c r="BG103" s="222"/>
      <c r="BH103" s="222"/>
      <c r="BI103" s="222"/>
      <c r="BJ103" s="222"/>
      <c r="BK103" s="222"/>
      <c r="BL103" s="222"/>
      <c r="BM103" s="222"/>
      <c r="BN103" s="222"/>
      <c r="BO103" s="222"/>
      <c r="BP103" s="222"/>
      <c r="BQ103" s="222"/>
      <c r="BR103" s="222"/>
      <c r="BS103" s="222"/>
      <c r="BT103" s="222"/>
      <c r="BU103" s="222"/>
      <c r="BV103" s="222"/>
      <c r="BW103" s="222"/>
      <c r="BX103" s="222"/>
      <c r="BY103" s="307"/>
      <c r="BZ103" s="222"/>
      <c r="CA103" s="222"/>
      <c r="CB103" s="222"/>
      <c r="CC103" s="222"/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2"/>
      <c r="CV103" s="222"/>
      <c r="CW103" s="222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2"/>
      <c r="DI103" s="222"/>
      <c r="DJ103" s="222"/>
      <c r="DK103" s="222"/>
      <c r="DL103" s="222"/>
      <c r="DM103" s="222"/>
      <c r="DN103" s="222"/>
      <c r="DO103" s="222"/>
      <c r="DP103" s="222"/>
      <c r="DQ103" s="222"/>
      <c r="DR103" s="222"/>
      <c r="DS103" s="222"/>
      <c r="DT103" s="222"/>
      <c r="DU103" s="222"/>
      <c r="DV103" s="222"/>
      <c r="DW103" s="222"/>
      <c r="DX103" s="222"/>
      <c r="DY103" s="222"/>
      <c r="DZ103" s="222"/>
      <c r="EA103" s="222"/>
      <c r="EB103" s="222"/>
      <c r="EC103" s="222"/>
      <c r="ED103" s="222"/>
      <c r="EE103" s="222"/>
      <c r="EF103" s="222"/>
      <c r="EG103" s="222"/>
      <c r="EH103" s="222"/>
    </row>
    <row r="104" spans="1:138" hidden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307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</row>
    <row r="105" spans="1:138" hidden="1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2"/>
      <c r="BN105" s="222"/>
      <c r="BO105" s="222"/>
      <c r="BP105" s="222"/>
      <c r="BQ105" s="222"/>
      <c r="BR105" s="222"/>
      <c r="BS105" s="222"/>
      <c r="BT105" s="222"/>
      <c r="BU105" s="222"/>
      <c r="BV105" s="222"/>
      <c r="BW105" s="222"/>
      <c r="BX105" s="222"/>
      <c r="BY105" s="307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</row>
    <row r="106" spans="1:138" ht="17.100000000000001" hidden="1">
      <c r="A106" s="222"/>
      <c r="B106" s="222"/>
      <c r="C106" s="310" t="s">
        <v>293</v>
      </c>
      <c r="D106" s="604"/>
      <c r="E106" s="598"/>
      <c r="F106" s="598"/>
      <c r="G106" s="598"/>
      <c r="H106" s="598"/>
      <c r="I106" s="598"/>
      <c r="J106" s="598"/>
      <c r="K106" s="598"/>
      <c r="L106" s="598"/>
      <c r="M106" s="598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598"/>
      <c r="AI106" s="598"/>
      <c r="AJ106" s="598"/>
      <c r="AK106" s="598"/>
      <c r="AL106" s="598"/>
      <c r="AM106" s="598"/>
      <c r="AN106" s="598"/>
      <c r="AO106" s="598"/>
      <c r="AP106" s="598"/>
      <c r="AQ106" s="598"/>
      <c r="AR106" s="598"/>
      <c r="AS106" s="598"/>
      <c r="AT106" s="598"/>
      <c r="AU106" s="598"/>
      <c r="AV106" s="598"/>
      <c r="AW106" s="598"/>
      <c r="AX106" s="598"/>
      <c r="AY106" s="598"/>
      <c r="AZ106" s="598"/>
      <c r="BA106" s="598"/>
      <c r="BB106" s="598"/>
      <c r="BC106" s="598"/>
      <c r="BD106" s="598"/>
      <c r="BE106" s="598"/>
      <c r="BF106" s="598"/>
      <c r="BG106" s="598"/>
      <c r="BH106" s="598"/>
      <c r="BI106" s="598"/>
      <c r="BJ106" s="598"/>
      <c r="BK106" s="598"/>
      <c r="BL106" s="598"/>
      <c r="BM106" s="598"/>
      <c r="BN106" s="598"/>
      <c r="BO106" s="598"/>
      <c r="BP106" s="598"/>
      <c r="BQ106" s="598"/>
      <c r="BR106" s="598"/>
      <c r="BS106" s="598"/>
      <c r="BT106" s="598"/>
      <c r="BU106" s="598"/>
      <c r="BV106" s="598"/>
      <c r="BW106" s="599"/>
      <c r="BX106" s="315">
        <f>BX98*C107</f>
        <v>13002832.540510181</v>
      </c>
      <c r="BY106" s="307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  <c r="DF106" s="222"/>
      <c r="DG106" s="222"/>
      <c r="DH106" s="222"/>
      <c r="DI106" s="222"/>
      <c r="DJ106" s="222"/>
      <c r="DK106" s="222"/>
      <c r="DL106" s="222"/>
      <c r="DM106" s="222"/>
      <c r="DN106" s="222"/>
      <c r="DO106" s="222"/>
      <c r="DP106" s="222"/>
      <c r="DQ106" s="222"/>
      <c r="DR106" s="222"/>
      <c r="DS106" s="222"/>
      <c r="DT106" s="222"/>
      <c r="DU106" s="222"/>
      <c r="DV106" s="222"/>
      <c r="DW106" s="222"/>
      <c r="DX106" s="222"/>
      <c r="DY106" s="222"/>
      <c r="DZ106" s="222"/>
      <c r="EA106" s="222"/>
      <c r="EB106" s="222"/>
      <c r="EC106" s="222"/>
      <c r="ED106" s="222"/>
      <c r="EE106" s="222"/>
      <c r="EF106" s="222"/>
      <c r="EG106" s="222"/>
      <c r="EH106" s="222"/>
    </row>
    <row r="107" spans="1:138" ht="18.95" hidden="1">
      <c r="A107" s="222"/>
      <c r="B107" s="222"/>
      <c r="C107" s="316">
        <v>0.2</v>
      </c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307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2"/>
      <c r="DD107" s="222"/>
      <c r="DE107" s="222"/>
      <c r="DF107" s="222"/>
      <c r="DG107" s="222"/>
      <c r="DH107" s="222"/>
      <c r="DI107" s="222"/>
      <c r="DJ107" s="222"/>
      <c r="DK107" s="222"/>
      <c r="DL107" s="222"/>
      <c r="DM107" s="222"/>
      <c r="DN107" s="222"/>
      <c r="DO107" s="222"/>
      <c r="DP107" s="222"/>
      <c r="DQ107" s="222"/>
      <c r="DR107" s="222"/>
      <c r="DS107" s="222"/>
      <c r="DT107" s="222"/>
      <c r="DU107" s="222"/>
      <c r="DV107" s="222"/>
      <c r="DW107" s="222"/>
      <c r="DX107" s="222"/>
      <c r="DY107" s="222"/>
      <c r="DZ107" s="222"/>
      <c r="EA107" s="222"/>
      <c r="EB107" s="222"/>
      <c r="EC107" s="222"/>
      <c r="ED107" s="222"/>
      <c r="EE107" s="222"/>
      <c r="EF107" s="222"/>
      <c r="EG107" s="222"/>
      <c r="EH107" s="222"/>
    </row>
    <row r="108" spans="1:138" hidden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2"/>
      <c r="BN108" s="222"/>
      <c r="BO108" s="222"/>
      <c r="BP108" s="222"/>
      <c r="BQ108" s="222"/>
      <c r="BR108" s="222"/>
      <c r="BS108" s="222"/>
      <c r="BT108" s="222"/>
      <c r="BU108" s="222"/>
      <c r="BV108" s="222"/>
      <c r="BW108" s="222"/>
      <c r="BX108" s="222"/>
      <c r="BY108" s="307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2"/>
      <c r="DD108" s="222"/>
      <c r="DE108" s="222"/>
      <c r="DF108" s="222"/>
      <c r="DG108" s="222"/>
      <c r="DH108" s="222"/>
      <c r="DI108" s="222"/>
      <c r="DJ108" s="222"/>
      <c r="DK108" s="222"/>
      <c r="DL108" s="222"/>
      <c r="DM108" s="222"/>
      <c r="DN108" s="222"/>
      <c r="DO108" s="222"/>
      <c r="DP108" s="222"/>
      <c r="DQ108" s="222"/>
      <c r="DR108" s="222"/>
      <c r="DS108" s="222"/>
      <c r="DT108" s="222"/>
      <c r="DU108" s="222"/>
      <c r="DV108" s="222"/>
      <c r="DW108" s="222"/>
      <c r="DX108" s="222"/>
      <c r="DY108" s="222"/>
      <c r="DZ108" s="222"/>
      <c r="EA108" s="222"/>
      <c r="EB108" s="222"/>
      <c r="EC108" s="222"/>
      <c r="ED108" s="222"/>
      <c r="EE108" s="222"/>
      <c r="EF108" s="222"/>
      <c r="EG108" s="222"/>
      <c r="EH108" s="222"/>
    </row>
    <row r="109" spans="1:138" hidden="1">
      <c r="A109" s="222"/>
      <c r="B109" s="222"/>
      <c r="C109" s="317"/>
      <c r="D109" s="317"/>
      <c r="E109" s="317"/>
      <c r="F109" s="317"/>
      <c r="G109" s="317"/>
      <c r="H109" s="317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  <c r="S109" s="317"/>
      <c r="T109" s="317"/>
      <c r="U109" s="317"/>
      <c r="V109" s="317"/>
      <c r="W109" s="317"/>
      <c r="X109" s="317"/>
      <c r="Y109" s="317"/>
      <c r="Z109" s="317"/>
      <c r="AA109" s="317"/>
      <c r="AB109" s="317"/>
      <c r="AC109" s="317"/>
      <c r="AD109" s="317"/>
      <c r="AE109" s="317"/>
      <c r="AF109" s="317"/>
      <c r="AG109" s="317"/>
      <c r="AH109" s="317"/>
      <c r="AI109" s="317"/>
      <c r="AJ109" s="317"/>
      <c r="AK109" s="317"/>
      <c r="AL109" s="317"/>
      <c r="AM109" s="317"/>
      <c r="AN109" s="317"/>
      <c r="AO109" s="317"/>
      <c r="AP109" s="317"/>
      <c r="AQ109" s="317"/>
      <c r="AR109" s="317"/>
      <c r="AS109" s="317"/>
      <c r="AT109" s="317"/>
      <c r="AU109" s="317"/>
      <c r="AV109" s="317"/>
      <c r="AW109" s="317"/>
      <c r="AX109" s="317"/>
      <c r="AY109" s="317"/>
      <c r="AZ109" s="317"/>
      <c r="BA109" s="317"/>
      <c r="BB109" s="317"/>
      <c r="BC109" s="317"/>
      <c r="BD109" s="317"/>
      <c r="BE109" s="317"/>
      <c r="BF109" s="317"/>
      <c r="BG109" s="317"/>
      <c r="BH109" s="317"/>
      <c r="BI109" s="317"/>
      <c r="BJ109" s="317"/>
      <c r="BK109" s="317"/>
      <c r="BL109" s="317"/>
      <c r="BM109" s="222"/>
      <c r="BN109" s="222"/>
      <c r="BO109" s="222"/>
      <c r="BP109" s="222"/>
      <c r="BQ109" s="222"/>
      <c r="BR109" s="222"/>
      <c r="BS109" s="222"/>
      <c r="BT109" s="222"/>
      <c r="BU109" s="222"/>
      <c r="BV109" s="222"/>
      <c r="BW109" s="222"/>
      <c r="BX109" s="222"/>
      <c r="BY109" s="222"/>
      <c r="BZ109" s="222"/>
      <c r="CA109" s="222"/>
      <c r="CB109" s="222"/>
      <c r="CC109" s="222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222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222"/>
      <c r="DA109" s="222"/>
      <c r="DB109" s="222"/>
      <c r="DC109" s="222"/>
      <c r="DD109" s="222"/>
      <c r="DE109" s="222"/>
      <c r="DF109" s="222"/>
      <c r="DG109" s="222"/>
      <c r="DH109" s="222"/>
      <c r="DI109" s="222"/>
      <c r="DJ109" s="222"/>
      <c r="DK109" s="222"/>
      <c r="DL109" s="222"/>
      <c r="DM109" s="222"/>
      <c r="DN109" s="222"/>
      <c r="DO109" s="222"/>
      <c r="DP109" s="222"/>
      <c r="DQ109" s="222"/>
      <c r="DR109" s="222"/>
      <c r="DS109" s="222"/>
      <c r="DT109" s="222"/>
      <c r="DU109" s="222"/>
      <c r="DV109" s="222"/>
      <c r="DW109" s="222"/>
      <c r="DX109" s="222"/>
      <c r="DY109" s="222"/>
      <c r="DZ109" s="222"/>
      <c r="EA109" s="222"/>
      <c r="EB109" s="222"/>
      <c r="EC109" s="222"/>
      <c r="ED109" s="222"/>
      <c r="EE109" s="222"/>
      <c r="EF109" s="222"/>
      <c r="EG109" s="222"/>
      <c r="EH109" s="222"/>
    </row>
    <row r="110" spans="1:138">
      <c r="A110" s="222"/>
      <c r="B110" s="318"/>
      <c r="C110" s="310" t="s">
        <v>294</v>
      </c>
      <c r="D110" s="311"/>
      <c r="E110" s="312">
        <f t="shared" ref="E110:BM110" si="44">-(E5+E6+E89+E90)</f>
        <v>0</v>
      </c>
      <c r="F110" s="312">
        <f t="shared" si="44"/>
        <v>0</v>
      </c>
      <c r="G110" s="312">
        <f t="shared" si="44"/>
        <v>0</v>
      </c>
      <c r="H110" s="312">
        <f t="shared" si="44"/>
        <v>-16365002</v>
      </c>
      <c r="I110" s="312">
        <f t="shared" si="44"/>
        <v>-1000000</v>
      </c>
      <c r="J110" s="312">
        <f t="shared" si="44"/>
        <v>0</v>
      </c>
      <c r="K110" s="312">
        <f t="shared" si="44"/>
        <v>0</v>
      </c>
      <c r="L110" s="312">
        <f t="shared" si="44"/>
        <v>0</v>
      </c>
      <c r="M110" s="312">
        <f t="shared" si="44"/>
        <v>0</v>
      </c>
      <c r="N110" s="312">
        <f t="shared" si="44"/>
        <v>0</v>
      </c>
      <c r="O110" s="312">
        <f t="shared" si="44"/>
        <v>-3000000</v>
      </c>
      <c r="P110" s="312">
        <f t="shared" si="44"/>
        <v>-2100000</v>
      </c>
      <c r="Q110" s="312">
        <f t="shared" si="44"/>
        <v>0</v>
      </c>
      <c r="R110" s="312">
        <f t="shared" si="44"/>
        <v>0</v>
      </c>
      <c r="S110" s="312">
        <f t="shared" si="44"/>
        <v>0</v>
      </c>
      <c r="T110" s="312">
        <f t="shared" si="44"/>
        <v>22465002</v>
      </c>
      <c r="U110" s="312">
        <f t="shared" si="44"/>
        <v>0</v>
      </c>
      <c r="V110" s="312">
        <f t="shared" si="44"/>
        <v>0</v>
      </c>
      <c r="W110" s="312">
        <f t="shared" si="44"/>
        <v>0</v>
      </c>
      <c r="X110" s="312">
        <f t="shared" si="44"/>
        <v>0</v>
      </c>
      <c r="Y110" s="312">
        <f t="shared" si="44"/>
        <v>0</v>
      </c>
      <c r="Z110" s="312">
        <f t="shared" si="44"/>
        <v>0</v>
      </c>
      <c r="AA110" s="312">
        <f t="shared" si="44"/>
        <v>0</v>
      </c>
      <c r="AB110" s="312">
        <f t="shared" si="44"/>
        <v>0</v>
      </c>
      <c r="AC110" s="312">
        <f t="shared" si="44"/>
        <v>0</v>
      </c>
      <c r="AD110" s="312">
        <f t="shared" si="44"/>
        <v>0</v>
      </c>
      <c r="AE110" s="312">
        <f t="shared" si="44"/>
        <v>0</v>
      </c>
      <c r="AF110" s="312">
        <f t="shared" si="44"/>
        <v>0</v>
      </c>
      <c r="AG110" s="312">
        <f t="shared" si="44"/>
        <v>0</v>
      </c>
      <c r="AH110" s="312">
        <f t="shared" si="44"/>
        <v>0</v>
      </c>
      <c r="AI110" s="312">
        <f t="shared" si="44"/>
        <v>0</v>
      </c>
      <c r="AJ110" s="312">
        <f t="shared" si="44"/>
        <v>0</v>
      </c>
      <c r="AK110" s="312">
        <f t="shared" si="44"/>
        <v>0</v>
      </c>
      <c r="AL110" s="312">
        <f t="shared" si="44"/>
        <v>0</v>
      </c>
      <c r="AM110" s="312">
        <f t="shared" si="44"/>
        <v>0</v>
      </c>
      <c r="AN110" s="312">
        <f t="shared" si="44"/>
        <v>0</v>
      </c>
      <c r="AO110" s="312">
        <f t="shared" si="44"/>
        <v>0</v>
      </c>
      <c r="AP110" s="312">
        <f t="shared" si="44"/>
        <v>0</v>
      </c>
      <c r="AQ110" s="312">
        <f t="shared" si="44"/>
        <v>0</v>
      </c>
      <c r="AR110" s="312">
        <f t="shared" si="44"/>
        <v>0</v>
      </c>
      <c r="AS110" s="312">
        <f t="shared" si="44"/>
        <v>0</v>
      </c>
      <c r="AT110" s="312">
        <f t="shared" si="44"/>
        <v>0</v>
      </c>
      <c r="AU110" s="312">
        <f t="shared" si="44"/>
        <v>0</v>
      </c>
      <c r="AV110" s="312">
        <f t="shared" si="44"/>
        <v>0</v>
      </c>
      <c r="AW110" s="312">
        <f t="shared" si="44"/>
        <v>0</v>
      </c>
      <c r="AX110" s="312">
        <f t="shared" si="44"/>
        <v>0</v>
      </c>
      <c r="AY110" s="312">
        <f t="shared" si="44"/>
        <v>0</v>
      </c>
      <c r="AZ110" s="312">
        <f t="shared" si="44"/>
        <v>0</v>
      </c>
      <c r="BA110" s="312">
        <f t="shared" si="44"/>
        <v>0</v>
      </c>
      <c r="BB110" s="312">
        <f t="shared" si="44"/>
        <v>0</v>
      </c>
      <c r="BC110" s="312">
        <f t="shared" si="44"/>
        <v>0</v>
      </c>
      <c r="BD110" s="312">
        <f t="shared" si="44"/>
        <v>0</v>
      </c>
      <c r="BE110" s="312">
        <f t="shared" si="44"/>
        <v>0</v>
      </c>
      <c r="BF110" s="312">
        <f t="shared" si="44"/>
        <v>0</v>
      </c>
      <c r="BG110" s="312">
        <f t="shared" si="44"/>
        <v>0</v>
      </c>
      <c r="BH110" s="312">
        <f t="shared" si="44"/>
        <v>0</v>
      </c>
      <c r="BI110" s="312">
        <f t="shared" si="44"/>
        <v>0</v>
      </c>
      <c r="BJ110" s="312">
        <f t="shared" si="44"/>
        <v>0</v>
      </c>
      <c r="BK110" s="312">
        <f t="shared" si="44"/>
        <v>0</v>
      </c>
      <c r="BL110" s="312">
        <f t="shared" si="44"/>
        <v>0</v>
      </c>
      <c r="BM110" s="312">
        <f t="shared" si="44"/>
        <v>0</v>
      </c>
      <c r="BN110" s="312">
        <f t="shared" ref="BN110:BX110" si="45">-(BN5+BN89)</f>
        <v>0</v>
      </c>
      <c r="BO110" s="312">
        <f t="shared" si="45"/>
        <v>0</v>
      </c>
      <c r="BP110" s="312">
        <f t="shared" si="45"/>
        <v>0</v>
      </c>
      <c r="BQ110" s="312">
        <f t="shared" si="45"/>
        <v>0</v>
      </c>
      <c r="BR110" s="312">
        <f t="shared" si="45"/>
        <v>0</v>
      </c>
      <c r="BS110" s="312">
        <f t="shared" si="45"/>
        <v>0</v>
      </c>
      <c r="BT110" s="312">
        <f t="shared" si="45"/>
        <v>0</v>
      </c>
      <c r="BU110" s="312">
        <f t="shared" si="45"/>
        <v>0</v>
      </c>
      <c r="BV110" s="312">
        <f t="shared" si="45"/>
        <v>0</v>
      </c>
      <c r="BW110" s="312">
        <f t="shared" si="45"/>
        <v>0</v>
      </c>
      <c r="BX110" s="312">
        <f t="shared" si="45"/>
        <v>0</v>
      </c>
      <c r="BY110" s="222"/>
      <c r="BZ110" s="222"/>
      <c r="CA110" s="222"/>
      <c r="CB110" s="222"/>
      <c r="CC110" s="222"/>
      <c r="CD110" s="222"/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2"/>
      <c r="CQ110" s="222"/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2"/>
      <c r="DD110" s="222"/>
      <c r="DE110" s="222"/>
      <c r="DF110" s="222"/>
      <c r="DG110" s="222"/>
      <c r="DH110" s="222"/>
      <c r="DI110" s="222"/>
      <c r="DJ110" s="222"/>
      <c r="DK110" s="222"/>
      <c r="DL110" s="222"/>
      <c r="DM110" s="222"/>
      <c r="DN110" s="222"/>
      <c r="DO110" s="222"/>
      <c r="DP110" s="222"/>
      <c r="DQ110" s="222"/>
      <c r="DR110" s="222"/>
      <c r="DS110" s="222"/>
      <c r="DT110" s="222"/>
      <c r="DU110" s="222"/>
      <c r="DV110" s="222"/>
      <c r="DW110" s="222"/>
      <c r="DX110" s="222"/>
      <c r="DY110" s="222"/>
      <c r="DZ110" s="222"/>
      <c r="EA110" s="222"/>
      <c r="EB110" s="222"/>
      <c r="EC110" s="222"/>
      <c r="ED110" s="222"/>
      <c r="EE110" s="222"/>
      <c r="EF110" s="222"/>
      <c r="EG110" s="222"/>
      <c r="EH110" s="222"/>
    </row>
    <row r="111" spans="1:138">
      <c r="A111" s="222"/>
      <c r="B111" s="318"/>
      <c r="C111" s="310" t="s">
        <v>295</v>
      </c>
      <c r="D111" s="319"/>
      <c r="E111" s="311"/>
      <c r="F111" s="311"/>
      <c r="G111" s="311"/>
      <c r="H111" s="311">
        <f>-8333333</f>
        <v>-8333333</v>
      </c>
      <c r="I111" s="311"/>
      <c r="J111" s="311"/>
      <c r="K111" s="311"/>
      <c r="L111" s="311"/>
      <c r="M111" s="311"/>
      <c r="N111" s="311"/>
      <c r="O111" s="311"/>
      <c r="P111" s="311"/>
      <c r="Q111" s="311"/>
      <c r="R111" s="311"/>
      <c r="S111" s="311"/>
      <c r="T111" s="311"/>
      <c r="U111" s="311"/>
      <c r="V111" s="311"/>
      <c r="W111" s="311"/>
      <c r="X111" s="311"/>
      <c r="Y111" s="311"/>
      <c r="Z111" s="311"/>
      <c r="AA111" s="311"/>
      <c r="AB111" s="311"/>
      <c r="AC111" s="311"/>
      <c r="AD111" s="311"/>
      <c r="AE111" s="311"/>
      <c r="AF111" s="311"/>
      <c r="AG111" s="311"/>
      <c r="AH111" s="311"/>
      <c r="AI111" s="311"/>
      <c r="AJ111" s="311"/>
      <c r="AK111" s="311"/>
      <c r="AL111" s="311"/>
      <c r="AM111" s="311"/>
      <c r="AN111" s="311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311"/>
      <c r="AZ111" s="311"/>
      <c r="BA111" s="311"/>
      <c r="BB111" s="311"/>
      <c r="BC111" s="311"/>
      <c r="BD111" s="311"/>
      <c r="BE111" s="311"/>
      <c r="BF111" s="311"/>
      <c r="BG111" s="311"/>
      <c r="BH111" s="311"/>
      <c r="BI111" s="311"/>
      <c r="BJ111" s="311"/>
      <c r="BK111" s="311"/>
      <c r="BL111" s="311"/>
      <c r="BM111" s="311"/>
      <c r="BN111" s="311"/>
      <c r="BO111" s="311"/>
      <c r="BP111" s="311"/>
      <c r="BQ111" s="311"/>
      <c r="BR111" s="311"/>
      <c r="BS111" s="311"/>
      <c r="BT111" s="311"/>
      <c r="BU111" s="311"/>
      <c r="BV111" s="311"/>
      <c r="BW111" s="311"/>
      <c r="BX111" s="311"/>
      <c r="BY111" s="222"/>
      <c r="BZ111" s="222"/>
      <c r="CA111" s="222"/>
      <c r="CB111" s="222"/>
      <c r="CC111" s="222"/>
      <c r="CD111" s="222"/>
      <c r="CE111" s="222"/>
      <c r="CF111" s="222"/>
      <c r="CG111" s="222"/>
      <c r="CH111" s="222"/>
      <c r="CI111" s="222"/>
      <c r="CJ111" s="222"/>
      <c r="CK111" s="222"/>
      <c r="CL111" s="222"/>
      <c r="CM111" s="222"/>
      <c r="CN111" s="222"/>
      <c r="CO111" s="222"/>
      <c r="CP111" s="222"/>
      <c r="CQ111" s="222"/>
      <c r="CR111" s="222"/>
      <c r="CS111" s="222"/>
      <c r="CT111" s="222"/>
      <c r="CU111" s="222"/>
      <c r="CV111" s="222"/>
      <c r="CW111" s="222"/>
      <c r="CX111" s="222"/>
      <c r="CY111" s="222"/>
      <c r="CZ111" s="222"/>
      <c r="DA111" s="222"/>
      <c r="DB111" s="222"/>
      <c r="DC111" s="222"/>
      <c r="DD111" s="222"/>
      <c r="DE111" s="222"/>
      <c r="DF111" s="222"/>
      <c r="DG111" s="222"/>
      <c r="DH111" s="222"/>
      <c r="DI111" s="222"/>
      <c r="DJ111" s="222"/>
      <c r="DK111" s="222"/>
      <c r="DL111" s="222"/>
      <c r="DM111" s="222"/>
      <c r="DN111" s="222"/>
      <c r="DO111" s="222"/>
      <c r="DP111" s="222"/>
      <c r="DQ111" s="222"/>
      <c r="DR111" s="222"/>
      <c r="DS111" s="222"/>
      <c r="DT111" s="222"/>
      <c r="DU111" s="222"/>
      <c r="DV111" s="222"/>
      <c r="DW111" s="222"/>
      <c r="DX111" s="222"/>
      <c r="DY111" s="222"/>
      <c r="DZ111" s="222"/>
      <c r="EA111" s="222"/>
      <c r="EB111" s="222"/>
      <c r="EC111" s="222"/>
      <c r="ED111" s="222"/>
      <c r="EE111" s="222"/>
      <c r="EF111" s="222"/>
      <c r="EG111" s="222"/>
      <c r="EH111" s="222"/>
    </row>
    <row r="112" spans="1:138">
      <c r="A112" s="222"/>
      <c r="B112" s="318"/>
      <c r="C112" s="310" t="s">
        <v>296</v>
      </c>
      <c r="D112" s="319"/>
      <c r="E112" s="311">
        <f t="shared" ref="E112:S112" si="46">-E54</f>
        <v>0</v>
      </c>
      <c r="F112" s="311">
        <f t="shared" si="46"/>
        <v>0</v>
      </c>
      <c r="G112" s="311">
        <f t="shared" si="46"/>
        <v>0</v>
      </c>
      <c r="H112" s="311">
        <f t="shared" si="46"/>
        <v>0</v>
      </c>
      <c r="I112" s="311">
        <f t="shared" si="46"/>
        <v>0</v>
      </c>
      <c r="J112" s="311">
        <f t="shared" si="46"/>
        <v>0</v>
      </c>
      <c r="K112" s="311">
        <f t="shared" si="46"/>
        <v>0</v>
      </c>
      <c r="L112" s="311">
        <f t="shared" si="46"/>
        <v>0</v>
      </c>
      <c r="M112" s="311">
        <f t="shared" si="46"/>
        <v>0</v>
      </c>
      <c r="N112" s="311">
        <f t="shared" si="46"/>
        <v>0</v>
      </c>
      <c r="O112" s="311">
        <f t="shared" si="46"/>
        <v>0</v>
      </c>
      <c r="P112" s="311">
        <f t="shared" si="46"/>
        <v>0</v>
      </c>
      <c r="Q112" s="311">
        <f t="shared" si="46"/>
        <v>0</v>
      </c>
      <c r="R112" s="311">
        <f t="shared" si="46"/>
        <v>0</v>
      </c>
      <c r="S112" s="311">
        <f t="shared" si="46"/>
        <v>0</v>
      </c>
      <c r="T112" s="311">
        <f>-T54-T55</f>
        <v>196875</v>
      </c>
      <c r="U112" s="311">
        <f t="shared" ref="U112:BX112" si="47">-U54</f>
        <v>0</v>
      </c>
      <c r="V112" s="311">
        <f t="shared" si="47"/>
        <v>0</v>
      </c>
      <c r="W112" s="311">
        <f t="shared" si="47"/>
        <v>0</v>
      </c>
      <c r="X112" s="311">
        <f t="shared" si="47"/>
        <v>0</v>
      </c>
      <c r="Y112" s="311">
        <f t="shared" si="47"/>
        <v>0</v>
      </c>
      <c r="Z112" s="311">
        <f t="shared" si="47"/>
        <v>0</v>
      </c>
      <c r="AA112" s="311">
        <f t="shared" si="47"/>
        <v>0</v>
      </c>
      <c r="AB112" s="311">
        <f t="shared" si="47"/>
        <v>0</v>
      </c>
      <c r="AC112" s="311">
        <f t="shared" si="47"/>
        <v>0</v>
      </c>
      <c r="AD112" s="311">
        <f t="shared" si="47"/>
        <v>0</v>
      </c>
      <c r="AE112" s="311">
        <f t="shared" si="47"/>
        <v>0</v>
      </c>
      <c r="AF112" s="311">
        <f t="shared" si="47"/>
        <v>0</v>
      </c>
      <c r="AG112" s="311">
        <f t="shared" si="47"/>
        <v>0</v>
      </c>
      <c r="AH112" s="311">
        <f t="shared" si="47"/>
        <v>0</v>
      </c>
      <c r="AI112" s="311">
        <f t="shared" si="47"/>
        <v>0</v>
      </c>
      <c r="AJ112" s="311">
        <f t="shared" si="47"/>
        <v>0</v>
      </c>
      <c r="AK112" s="311">
        <f t="shared" si="47"/>
        <v>0</v>
      </c>
      <c r="AL112" s="311">
        <f t="shared" si="47"/>
        <v>0</v>
      </c>
      <c r="AM112" s="311">
        <f t="shared" si="47"/>
        <v>0</v>
      </c>
      <c r="AN112" s="311">
        <f t="shared" si="47"/>
        <v>0</v>
      </c>
      <c r="AO112" s="311">
        <f t="shared" si="47"/>
        <v>0</v>
      </c>
      <c r="AP112" s="311">
        <f t="shared" si="47"/>
        <v>0</v>
      </c>
      <c r="AQ112" s="311">
        <f t="shared" si="47"/>
        <v>0</v>
      </c>
      <c r="AR112" s="311">
        <f t="shared" si="47"/>
        <v>0</v>
      </c>
      <c r="AS112" s="311">
        <f t="shared" si="47"/>
        <v>0</v>
      </c>
      <c r="AT112" s="311">
        <f t="shared" si="47"/>
        <v>0</v>
      </c>
      <c r="AU112" s="311">
        <f t="shared" si="47"/>
        <v>0</v>
      </c>
      <c r="AV112" s="311">
        <f t="shared" si="47"/>
        <v>0</v>
      </c>
      <c r="AW112" s="311">
        <f t="shared" si="47"/>
        <v>0</v>
      </c>
      <c r="AX112" s="311">
        <f t="shared" si="47"/>
        <v>0</v>
      </c>
      <c r="AY112" s="311">
        <f t="shared" si="47"/>
        <v>0</v>
      </c>
      <c r="AZ112" s="311">
        <f t="shared" si="47"/>
        <v>0</v>
      </c>
      <c r="BA112" s="311">
        <f t="shared" si="47"/>
        <v>0</v>
      </c>
      <c r="BB112" s="311">
        <f t="shared" si="47"/>
        <v>0</v>
      </c>
      <c r="BC112" s="311">
        <f t="shared" si="47"/>
        <v>0</v>
      </c>
      <c r="BD112" s="311">
        <f t="shared" si="47"/>
        <v>0</v>
      </c>
      <c r="BE112" s="311">
        <f t="shared" si="47"/>
        <v>0</v>
      </c>
      <c r="BF112" s="311">
        <f t="shared" si="47"/>
        <v>0</v>
      </c>
      <c r="BG112" s="311">
        <f t="shared" si="47"/>
        <v>0</v>
      </c>
      <c r="BH112" s="311">
        <f t="shared" si="47"/>
        <v>0</v>
      </c>
      <c r="BI112" s="311">
        <f t="shared" si="47"/>
        <v>0</v>
      </c>
      <c r="BJ112" s="311">
        <f t="shared" si="47"/>
        <v>0</v>
      </c>
      <c r="BK112" s="311">
        <f t="shared" si="47"/>
        <v>0</v>
      </c>
      <c r="BL112" s="311">
        <f t="shared" si="47"/>
        <v>0</v>
      </c>
      <c r="BM112" s="311">
        <f t="shared" si="47"/>
        <v>0</v>
      </c>
      <c r="BN112" s="311">
        <f t="shared" si="47"/>
        <v>0</v>
      </c>
      <c r="BO112" s="311">
        <f t="shared" si="47"/>
        <v>0</v>
      </c>
      <c r="BP112" s="311">
        <f t="shared" si="47"/>
        <v>0</v>
      </c>
      <c r="BQ112" s="311">
        <f t="shared" si="47"/>
        <v>0</v>
      </c>
      <c r="BR112" s="311">
        <f t="shared" si="47"/>
        <v>0</v>
      </c>
      <c r="BS112" s="311">
        <f t="shared" si="47"/>
        <v>0</v>
      </c>
      <c r="BT112" s="311">
        <f t="shared" si="47"/>
        <v>0</v>
      </c>
      <c r="BU112" s="311">
        <f t="shared" si="47"/>
        <v>0</v>
      </c>
      <c r="BV112" s="311">
        <f t="shared" si="47"/>
        <v>0</v>
      </c>
      <c r="BW112" s="311">
        <f t="shared" si="47"/>
        <v>0</v>
      </c>
      <c r="BX112" s="311">
        <f t="shared" si="47"/>
        <v>0</v>
      </c>
      <c r="BY112" s="222"/>
      <c r="BZ112" s="238"/>
      <c r="CA112" s="222"/>
      <c r="CB112" s="222"/>
      <c r="CC112" s="222"/>
      <c r="CD112" s="222"/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2"/>
      <c r="CQ112" s="222"/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2"/>
      <c r="DD112" s="222"/>
      <c r="DE112" s="222"/>
      <c r="DF112" s="222"/>
      <c r="DG112" s="222"/>
      <c r="DH112" s="222"/>
      <c r="DI112" s="222"/>
      <c r="DJ112" s="222"/>
      <c r="DK112" s="222"/>
      <c r="DL112" s="222"/>
      <c r="DM112" s="222"/>
      <c r="DN112" s="222"/>
      <c r="DO112" s="222"/>
      <c r="DP112" s="222"/>
      <c r="DQ112" s="222"/>
      <c r="DR112" s="222"/>
      <c r="DS112" s="222"/>
      <c r="DT112" s="222"/>
      <c r="DU112" s="222"/>
      <c r="DV112" s="222"/>
      <c r="DW112" s="222"/>
      <c r="DX112" s="222"/>
      <c r="DY112" s="222"/>
      <c r="DZ112" s="222"/>
      <c r="EA112" s="222"/>
      <c r="EB112" s="222"/>
      <c r="EC112" s="222"/>
      <c r="ED112" s="222"/>
      <c r="EE112" s="222"/>
      <c r="EF112" s="222"/>
      <c r="EG112" s="222"/>
      <c r="EH112" s="222"/>
    </row>
    <row r="113" spans="1:138">
      <c r="A113" s="222"/>
      <c r="B113" s="318"/>
      <c r="C113" s="310" t="s">
        <v>297</v>
      </c>
      <c r="D113" s="319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>
        <f>IF(D103&gt;0.25,(BX98-BX106)*D115,BX98*D115)</f>
        <v>52011330.162040725</v>
      </c>
      <c r="BY113" s="222"/>
      <c r="BZ113" s="222"/>
      <c r="CA113" s="222"/>
      <c r="CB113" s="222"/>
      <c r="CC113" s="222"/>
      <c r="CD113" s="222"/>
      <c r="CE113" s="222"/>
      <c r="CF113" s="222"/>
      <c r="CG113" s="222"/>
      <c r="CH113" s="222"/>
      <c r="CI113" s="222"/>
      <c r="CJ113" s="222"/>
      <c r="CK113" s="222"/>
      <c r="CL113" s="222"/>
      <c r="CM113" s="222"/>
      <c r="CN113" s="222"/>
      <c r="CO113" s="222"/>
      <c r="CP113" s="222"/>
      <c r="CQ113" s="222"/>
      <c r="CR113" s="222"/>
      <c r="CS113" s="222"/>
      <c r="CT113" s="222"/>
      <c r="CU113" s="222"/>
      <c r="CV113" s="222"/>
      <c r="CW113" s="222"/>
      <c r="CX113" s="222"/>
      <c r="CY113" s="222"/>
      <c r="CZ113" s="222"/>
      <c r="DA113" s="222"/>
      <c r="DB113" s="222"/>
      <c r="DC113" s="222"/>
      <c r="DD113" s="222"/>
      <c r="DE113" s="222"/>
      <c r="DF113" s="222"/>
      <c r="DG113" s="222"/>
      <c r="DH113" s="222"/>
      <c r="DI113" s="222"/>
      <c r="DJ113" s="222"/>
      <c r="DK113" s="222"/>
      <c r="DL113" s="222"/>
      <c r="DM113" s="222"/>
      <c r="DN113" s="222"/>
      <c r="DO113" s="222"/>
      <c r="DP113" s="222"/>
      <c r="DQ113" s="222"/>
      <c r="DR113" s="222"/>
      <c r="DS113" s="222"/>
      <c r="DT113" s="222"/>
      <c r="DU113" s="222"/>
      <c r="DV113" s="222"/>
      <c r="DW113" s="222"/>
      <c r="DX113" s="222"/>
      <c r="DY113" s="222"/>
      <c r="DZ113" s="222"/>
      <c r="EA113" s="222"/>
      <c r="EB113" s="222"/>
      <c r="EC113" s="222"/>
      <c r="ED113" s="222"/>
      <c r="EE113" s="222"/>
      <c r="EF113" s="222"/>
      <c r="EG113" s="222"/>
      <c r="EH113" s="222"/>
    </row>
    <row r="114" spans="1:138">
      <c r="A114" s="222"/>
      <c r="B114" s="318"/>
      <c r="C114" s="310" t="s">
        <v>293</v>
      </c>
      <c r="D114" s="319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>
        <f>IF(D103&gt;0.25,BX106,0)</f>
        <v>13002832.540510181</v>
      </c>
      <c r="BY114" s="222"/>
      <c r="BZ114" s="222"/>
      <c r="CA114" s="222"/>
      <c r="CB114" s="222"/>
      <c r="CC114" s="222"/>
      <c r="CD114" s="222"/>
      <c r="CE114" s="222"/>
      <c r="CF114" s="222"/>
      <c r="CG114" s="222"/>
      <c r="CH114" s="222"/>
      <c r="CI114" s="222"/>
      <c r="CJ114" s="222"/>
      <c r="CK114" s="222"/>
      <c r="CL114" s="222"/>
      <c r="CM114" s="222"/>
      <c r="CN114" s="222"/>
      <c r="CO114" s="222"/>
      <c r="CP114" s="222"/>
      <c r="CQ114" s="222"/>
      <c r="CR114" s="222"/>
      <c r="CS114" s="222"/>
      <c r="CT114" s="222"/>
      <c r="CU114" s="222"/>
      <c r="CV114" s="222"/>
      <c r="CW114" s="222"/>
      <c r="CX114" s="222"/>
      <c r="CY114" s="222"/>
      <c r="CZ114" s="222"/>
      <c r="DA114" s="222"/>
      <c r="DB114" s="222"/>
      <c r="DC114" s="222"/>
      <c r="DD114" s="222"/>
      <c r="DE114" s="222"/>
      <c r="DF114" s="222"/>
      <c r="DG114" s="222"/>
      <c r="DH114" s="222"/>
      <c r="DI114" s="222"/>
      <c r="DJ114" s="222"/>
      <c r="DK114" s="222"/>
      <c r="DL114" s="222"/>
      <c r="DM114" s="222"/>
      <c r="DN114" s="222"/>
      <c r="DO114" s="222"/>
      <c r="DP114" s="222"/>
      <c r="DQ114" s="222"/>
      <c r="DR114" s="222"/>
      <c r="DS114" s="222"/>
      <c r="DT114" s="222"/>
      <c r="DU114" s="222"/>
      <c r="DV114" s="222"/>
      <c r="DW114" s="222"/>
      <c r="DX114" s="222"/>
      <c r="DY114" s="222"/>
      <c r="DZ114" s="222"/>
      <c r="EA114" s="222"/>
      <c r="EB114" s="222"/>
      <c r="EC114" s="222"/>
      <c r="ED114" s="222"/>
      <c r="EE114" s="222"/>
      <c r="EF114" s="222"/>
      <c r="EG114" s="222"/>
      <c r="EH114" s="222"/>
    </row>
    <row r="115" spans="1:138">
      <c r="A115" s="222"/>
      <c r="B115" s="318"/>
      <c r="C115" s="313" t="s">
        <v>298</v>
      </c>
      <c r="D115" s="319">
        <v>1</v>
      </c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>
        <f>T98</f>
        <v>65014162.702550903</v>
      </c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320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22"/>
      <c r="BZ115" s="222"/>
      <c r="CA115" s="222"/>
      <c r="CB115" s="222"/>
      <c r="CC115" s="222"/>
      <c r="CD115" s="222"/>
      <c r="CE115" s="222"/>
      <c r="CF115" s="222"/>
      <c r="CG115" s="222"/>
      <c r="CH115" s="222"/>
      <c r="CI115" s="222"/>
      <c r="CJ115" s="222"/>
      <c r="CK115" s="222"/>
      <c r="CL115" s="222"/>
      <c r="CM115" s="222"/>
      <c r="CN115" s="222"/>
      <c r="CO115" s="222"/>
      <c r="CP115" s="222"/>
      <c r="CQ115" s="222"/>
      <c r="CR115" s="222"/>
      <c r="CS115" s="222"/>
      <c r="CT115" s="222"/>
      <c r="CU115" s="222"/>
      <c r="CV115" s="222"/>
      <c r="CW115" s="222"/>
      <c r="CX115" s="222"/>
      <c r="CY115" s="222"/>
      <c r="CZ115" s="222"/>
      <c r="DA115" s="222"/>
      <c r="DB115" s="222"/>
      <c r="DC115" s="222"/>
      <c r="DD115" s="222"/>
      <c r="DE115" s="222"/>
      <c r="DF115" s="222"/>
      <c r="DG115" s="222"/>
      <c r="DH115" s="222"/>
      <c r="DI115" s="222"/>
      <c r="DJ115" s="222"/>
      <c r="DK115" s="222"/>
      <c r="DL115" s="222"/>
      <c r="DM115" s="222"/>
      <c r="DN115" s="222"/>
      <c r="DO115" s="222"/>
      <c r="DP115" s="222"/>
      <c r="DQ115" s="222"/>
      <c r="DR115" s="222"/>
      <c r="DS115" s="222"/>
      <c r="DT115" s="222"/>
      <c r="DU115" s="222"/>
      <c r="DV115" s="222"/>
      <c r="DW115" s="222"/>
      <c r="DX115" s="222"/>
      <c r="DY115" s="222"/>
      <c r="DZ115" s="222"/>
      <c r="EA115" s="222"/>
      <c r="EB115" s="222"/>
      <c r="EC115" s="222"/>
      <c r="ED115" s="222"/>
      <c r="EE115" s="222"/>
      <c r="EF115" s="222"/>
      <c r="EG115" s="222"/>
      <c r="EH115" s="222"/>
    </row>
    <row r="116" spans="1:138">
      <c r="A116" s="222"/>
      <c r="B116" s="318"/>
      <c r="C116" s="310" t="s">
        <v>299</v>
      </c>
      <c r="D116" s="314"/>
      <c r="E116" s="321">
        <f t="shared" ref="E116:BW116" si="48">E110+E111+E112+E113+E115</f>
        <v>0</v>
      </c>
      <c r="F116" s="321">
        <f t="shared" si="48"/>
        <v>0</v>
      </c>
      <c r="G116" s="321">
        <f t="shared" si="48"/>
        <v>0</v>
      </c>
      <c r="H116" s="321">
        <f t="shared" si="48"/>
        <v>-24698335</v>
      </c>
      <c r="I116" s="321">
        <f t="shared" si="48"/>
        <v>-1000000</v>
      </c>
      <c r="J116" s="321">
        <f t="shared" si="48"/>
        <v>0</v>
      </c>
      <c r="K116" s="321">
        <f t="shared" si="48"/>
        <v>0</v>
      </c>
      <c r="L116" s="321">
        <f t="shared" si="48"/>
        <v>0</v>
      </c>
      <c r="M116" s="321">
        <f t="shared" si="48"/>
        <v>0</v>
      </c>
      <c r="N116" s="321">
        <f t="shared" si="48"/>
        <v>0</v>
      </c>
      <c r="O116" s="321">
        <f t="shared" si="48"/>
        <v>-3000000</v>
      </c>
      <c r="P116" s="321">
        <f t="shared" si="48"/>
        <v>-2100000</v>
      </c>
      <c r="Q116" s="321">
        <f t="shared" si="48"/>
        <v>0</v>
      </c>
      <c r="R116" s="321">
        <f t="shared" si="48"/>
        <v>0</v>
      </c>
      <c r="S116" s="321">
        <f t="shared" si="48"/>
        <v>0</v>
      </c>
      <c r="T116" s="321">
        <f t="shared" si="48"/>
        <v>87676039.702550903</v>
      </c>
      <c r="U116" s="321">
        <f t="shared" si="48"/>
        <v>0</v>
      </c>
      <c r="V116" s="321">
        <f t="shared" si="48"/>
        <v>0</v>
      </c>
      <c r="W116" s="321">
        <f t="shared" si="48"/>
        <v>0</v>
      </c>
      <c r="X116" s="321">
        <f t="shared" si="48"/>
        <v>0</v>
      </c>
      <c r="Y116" s="321">
        <f t="shared" si="48"/>
        <v>0</v>
      </c>
      <c r="Z116" s="321">
        <f t="shared" si="48"/>
        <v>0</v>
      </c>
      <c r="AA116" s="321">
        <f t="shared" si="48"/>
        <v>0</v>
      </c>
      <c r="AB116" s="321">
        <f t="shared" si="48"/>
        <v>0</v>
      </c>
      <c r="AC116" s="321">
        <f t="shared" si="48"/>
        <v>0</v>
      </c>
      <c r="AD116" s="321">
        <f t="shared" si="48"/>
        <v>0</v>
      </c>
      <c r="AE116" s="321">
        <f t="shared" si="48"/>
        <v>0</v>
      </c>
      <c r="AF116" s="321">
        <f t="shared" si="48"/>
        <v>0</v>
      </c>
      <c r="AG116" s="321">
        <f t="shared" si="48"/>
        <v>0</v>
      </c>
      <c r="AH116" s="321">
        <f t="shared" si="48"/>
        <v>0</v>
      </c>
      <c r="AI116" s="321">
        <f t="shared" si="48"/>
        <v>0</v>
      </c>
      <c r="AJ116" s="321">
        <f t="shared" si="48"/>
        <v>0</v>
      </c>
      <c r="AK116" s="321">
        <f t="shared" si="48"/>
        <v>0</v>
      </c>
      <c r="AL116" s="321">
        <f t="shared" si="48"/>
        <v>0</v>
      </c>
      <c r="AM116" s="321">
        <f t="shared" si="48"/>
        <v>0</v>
      </c>
      <c r="AN116" s="321">
        <f t="shared" si="48"/>
        <v>0</v>
      </c>
      <c r="AO116" s="321">
        <f t="shared" si="48"/>
        <v>0</v>
      </c>
      <c r="AP116" s="321">
        <f t="shared" si="48"/>
        <v>0</v>
      </c>
      <c r="AQ116" s="321">
        <f t="shared" si="48"/>
        <v>0</v>
      </c>
      <c r="AR116" s="321">
        <f t="shared" si="48"/>
        <v>0</v>
      </c>
      <c r="AS116" s="321">
        <f t="shared" si="48"/>
        <v>0</v>
      </c>
      <c r="AT116" s="321">
        <f t="shared" si="48"/>
        <v>0</v>
      </c>
      <c r="AU116" s="321">
        <f t="shared" si="48"/>
        <v>0</v>
      </c>
      <c r="AV116" s="321">
        <f t="shared" si="48"/>
        <v>0</v>
      </c>
      <c r="AW116" s="321">
        <f t="shared" si="48"/>
        <v>0</v>
      </c>
      <c r="AX116" s="321">
        <f t="shared" si="48"/>
        <v>0</v>
      </c>
      <c r="AY116" s="321">
        <f t="shared" si="48"/>
        <v>0</v>
      </c>
      <c r="AZ116" s="321">
        <f t="shared" si="48"/>
        <v>0</v>
      </c>
      <c r="BA116" s="321">
        <f t="shared" si="48"/>
        <v>0</v>
      </c>
      <c r="BB116" s="321">
        <f t="shared" si="48"/>
        <v>0</v>
      </c>
      <c r="BC116" s="321">
        <f t="shared" si="48"/>
        <v>0</v>
      </c>
      <c r="BD116" s="321">
        <f t="shared" si="48"/>
        <v>0</v>
      </c>
      <c r="BE116" s="321">
        <f t="shared" si="48"/>
        <v>0</v>
      </c>
      <c r="BF116" s="321">
        <f t="shared" si="48"/>
        <v>0</v>
      </c>
      <c r="BG116" s="321">
        <f t="shared" si="48"/>
        <v>0</v>
      </c>
      <c r="BH116" s="321">
        <f t="shared" si="48"/>
        <v>0</v>
      </c>
      <c r="BI116" s="321">
        <f t="shared" si="48"/>
        <v>0</v>
      </c>
      <c r="BJ116" s="321">
        <f t="shared" si="48"/>
        <v>0</v>
      </c>
      <c r="BK116" s="321">
        <f t="shared" si="48"/>
        <v>0</v>
      </c>
      <c r="BL116" s="321">
        <f t="shared" si="48"/>
        <v>0</v>
      </c>
      <c r="BM116" s="321">
        <f t="shared" si="48"/>
        <v>0</v>
      </c>
      <c r="BN116" s="321">
        <f t="shared" si="48"/>
        <v>0</v>
      </c>
      <c r="BO116" s="321">
        <f t="shared" si="48"/>
        <v>0</v>
      </c>
      <c r="BP116" s="321">
        <f t="shared" si="48"/>
        <v>0</v>
      </c>
      <c r="BQ116" s="321">
        <f t="shared" si="48"/>
        <v>0</v>
      </c>
      <c r="BR116" s="321">
        <f t="shared" si="48"/>
        <v>0</v>
      </c>
      <c r="BS116" s="321">
        <f t="shared" si="48"/>
        <v>0</v>
      </c>
      <c r="BT116" s="321">
        <f t="shared" si="48"/>
        <v>0</v>
      </c>
      <c r="BU116" s="321">
        <f t="shared" si="48"/>
        <v>0</v>
      </c>
      <c r="BV116" s="321">
        <f t="shared" si="48"/>
        <v>0</v>
      </c>
      <c r="BW116" s="321">
        <f t="shared" si="48"/>
        <v>0</v>
      </c>
      <c r="BX116" s="321">
        <f>BX110+BX111+BX112+BX113+BX114+BX115</f>
        <v>65014162.702550903</v>
      </c>
      <c r="BY116" s="222"/>
      <c r="BZ116" s="222"/>
      <c r="CA116" s="222"/>
      <c r="CB116" s="222"/>
      <c r="CC116" s="222"/>
      <c r="CD116" s="222"/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2"/>
      <c r="CQ116" s="222"/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2"/>
      <c r="DD116" s="222"/>
      <c r="DE116" s="222"/>
      <c r="DF116" s="222"/>
      <c r="DG116" s="222"/>
      <c r="DH116" s="222"/>
      <c r="DI116" s="222"/>
      <c r="DJ116" s="222"/>
      <c r="DK116" s="222"/>
      <c r="DL116" s="222"/>
      <c r="DM116" s="222"/>
      <c r="DN116" s="222"/>
      <c r="DO116" s="222"/>
      <c r="DP116" s="222"/>
      <c r="DQ116" s="222"/>
      <c r="DR116" s="222"/>
      <c r="DS116" s="222"/>
      <c r="DT116" s="222"/>
      <c r="DU116" s="222"/>
      <c r="DV116" s="222"/>
      <c r="DW116" s="222"/>
      <c r="DX116" s="222"/>
      <c r="DY116" s="222"/>
      <c r="DZ116" s="222"/>
      <c r="EA116" s="222"/>
      <c r="EB116" s="222"/>
      <c r="EC116" s="222"/>
      <c r="ED116" s="222"/>
      <c r="EE116" s="222"/>
      <c r="EF116" s="222"/>
      <c r="EG116" s="222"/>
      <c r="EH116" s="222"/>
    </row>
    <row r="117" spans="1:138">
      <c r="A117" s="222"/>
      <c r="B117" s="318"/>
      <c r="C117" s="313" t="s">
        <v>292</v>
      </c>
      <c r="D117" s="322">
        <f>IRR(E116:BX116)*12</f>
        <v>1.1962963542772025</v>
      </c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22"/>
      <c r="BC117" s="222"/>
      <c r="BD117" s="222"/>
      <c r="BE117" s="222"/>
      <c r="BF117" s="222"/>
      <c r="BG117" s="222"/>
      <c r="BH117" s="222"/>
      <c r="BI117" s="222"/>
      <c r="BJ117" s="222"/>
      <c r="BK117" s="222"/>
      <c r="BL117" s="222"/>
      <c r="BM117" s="222"/>
      <c r="BN117" s="222"/>
      <c r="BO117" s="222"/>
      <c r="BP117" s="222"/>
      <c r="BQ117" s="222"/>
      <c r="BR117" s="222"/>
      <c r="BS117" s="222"/>
      <c r="BT117" s="222"/>
      <c r="BU117" s="222"/>
      <c r="BV117" s="222"/>
      <c r="BW117" s="222"/>
      <c r="BX117" s="222"/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</row>
    <row r="118" spans="1:138">
      <c r="A118" s="222"/>
      <c r="B118" s="318"/>
      <c r="C118" s="323" t="s">
        <v>300</v>
      </c>
      <c r="D118" s="324">
        <f>SUM(BY5:BY6)</f>
        <v>22465002</v>
      </c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>
        <f>T110+8333000</f>
        <v>30798002</v>
      </c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2"/>
      <c r="BN118" s="222"/>
      <c r="BO118" s="222"/>
      <c r="BP118" s="222"/>
      <c r="BQ118" s="222"/>
      <c r="BR118" s="222"/>
      <c r="BS118" s="222"/>
      <c r="BT118" s="222"/>
      <c r="BU118" s="222"/>
      <c r="BV118" s="222"/>
      <c r="BW118" s="222"/>
      <c r="BX118" s="222"/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2"/>
      <c r="CQ118" s="222"/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2"/>
      <c r="DD118" s="222"/>
      <c r="DE118" s="222"/>
      <c r="DF118" s="222"/>
      <c r="DG118" s="222"/>
      <c r="DH118" s="222"/>
      <c r="DI118" s="222"/>
      <c r="DJ118" s="222"/>
      <c r="DK118" s="222"/>
      <c r="DL118" s="222"/>
      <c r="DM118" s="222"/>
      <c r="DN118" s="222"/>
      <c r="DO118" s="222"/>
      <c r="DP118" s="222"/>
      <c r="DQ118" s="222"/>
      <c r="DR118" s="222"/>
      <c r="DS118" s="222"/>
      <c r="DT118" s="222"/>
      <c r="DU118" s="222"/>
      <c r="DV118" s="222"/>
      <c r="DW118" s="222"/>
      <c r="DX118" s="222"/>
      <c r="DY118" s="222"/>
      <c r="DZ118" s="222"/>
      <c r="EA118" s="222"/>
      <c r="EB118" s="222"/>
      <c r="EC118" s="222"/>
      <c r="ED118" s="222"/>
      <c r="EE118" s="222"/>
      <c r="EF118" s="222"/>
      <c r="EG118" s="222"/>
      <c r="EH118" s="222"/>
    </row>
    <row r="119" spans="1:138">
      <c r="A119" s="222"/>
      <c r="B119" s="318"/>
      <c r="C119" s="323" t="s">
        <v>301</v>
      </c>
      <c r="D119" s="324">
        <f>-SUM(E111:BM111)</f>
        <v>8333333</v>
      </c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>
        <f>T118+11000000</f>
        <v>41798002</v>
      </c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  <c r="CY119" s="222"/>
      <c r="CZ119" s="222"/>
      <c r="DA119" s="222"/>
      <c r="DB119" s="222"/>
      <c r="DC119" s="222"/>
      <c r="DD119" s="222"/>
      <c r="DE119" s="222"/>
      <c r="DF119" s="222"/>
      <c r="DG119" s="222"/>
      <c r="DH119" s="222"/>
      <c r="DI119" s="222"/>
      <c r="DJ119" s="222"/>
      <c r="DK119" s="222"/>
      <c r="DL119" s="222"/>
      <c r="DM119" s="222"/>
      <c r="DN119" s="222"/>
      <c r="DO119" s="222"/>
      <c r="DP119" s="222"/>
      <c r="DQ119" s="222"/>
      <c r="DR119" s="222"/>
      <c r="DS119" s="222"/>
      <c r="DT119" s="222"/>
      <c r="DU119" s="222"/>
      <c r="DV119" s="222"/>
      <c r="DW119" s="325"/>
      <c r="DX119" s="325"/>
      <c r="DY119" s="325"/>
      <c r="DZ119" s="325"/>
      <c r="EA119" s="325"/>
      <c r="EB119" s="325"/>
      <c r="EC119" s="325"/>
      <c r="ED119" s="325"/>
      <c r="EE119" s="325"/>
      <c r="EF119" s="325"/>
      <c r="EG119" s="325"/>
      <c r="EH119" s="325"/>
    </row>
    <row r="120" spans="1:138">
      <c r="A120" s="222"/>
      <c r="B120" s="318"/>
      <c r="C120" s="313" t="s">
        <v>302</v>
      </c>
      <c r="D120" s="326">
        <f>D118+D119</f>
        <v>30798335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>
        <f>T119-T116</f>
        <v>-45878037.702550903</v>
      </c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2"/>
      <c r="BN120" s="222"/>
      <c r="BO120" s="222"/>
      <c r="BP120" s="222"/>
      <c r="BQ120" s="222"/>
      <c r="BR120" s="222"/>
      <c r="BS120" s="222"/>
      <c r="BT120" s="222"/>
      <c r="BU120" s="222"/>
      <c r="BV120" s="222"/>
      <c r="BW120" s="222"/>
      <c r="BX120" s="222"/>
      <c r="BY120" s="222"/>
      <c r="BZ120" s="222"/>
      <c r="CA120" s="222"/>
      <c r="CB120" s="222"/>
      <c r="CC120" s="222"/>
      <c r="CD120" s="222"/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2"/>
      <c r="CQ120" s="222"/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2"/>
      <c r="DD120" s="222"/>
      <c r="DE120" s="222"/>
      <c r="DF120" s="222"/>
      <c r="DG120" s="222"/>
      <c r="DH120" s="222"/>
      <c r="DI120" s="222"/>
      <c r="DJ120" s="222"/>
      <c r="DK120" s="222"/>
      <c r="DL120" s="222"/>
      <c r="DM120" s="222"/>
      <c r="DN120" s="222"/>
      <c r="DO120" s="222"/>
      <c r="DP120" s="222"/>
      <c r="DQ120" s="222"/>
      <c r="DR120" s="222"/>
      <c r="DS120" s="222"/>
      <c r="DT120" s="222"/>
      <c r="DU120" s="222"/>
      <c r="DV120" s="222"/>
      <c r="DW120" s="325"/>
      <c r="DX120" s="325"/>
      <c r="DY120" s="325"/>
      <c r="DZ120" s="325"/>
      <c r="EA120" s="325"/>
      <c r="EB120" s="325"/>
      <c r="EC120" s="325"/>
      <c r="ED120" s="325"/>
      <c r="EE120" s="325"/>
      <c r="EF120" s="325"/>
      <c r="EG120" s="325"/>
      <c r="EH120" s="325"/>
    </row>
    <row r="121" spans="1:138">
      <c r="A121" s="222"/>
      <c r="B121" s="318"/>
      <c r="C121" s="313" t="s">
        <v>303</v>
      </c>
      <c r="D121" s="326">
        <f>T116-D118</f>
        <v>65211037.702550903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2"/>
      <c r="BN121" s="222"/>
      <c r="BO121" s="222"/>
      <c r="BP121" s="222"/>
      <c r="BQ121" s="222"/>
      <c r="BR121" s="222"/>
      <c r="BS121" s="222"/>
      <c r="BT121" s="222"/>
      <c r="BU121" s="222"/>
      <c r="BV121" s="222"/>
      <c r="BW121" s="222"/>
      <c r="BX121" s="222"/>
      <c r="BY121" s="222"/>
      <c r="BZ121" s="238"/>
      <c r="CA121" s="222"/>
      <c r="CB121" s="222"/>
      <c r="CC121" s="222"/>
      <c r="CD121" s="222"/>
      <c r="CE121" s="222"/>
      <c r="CF121" s="222"/>
      <c r="CG121" s="222"/>
      <c r="CH121" s="222"/>
      <c r="CI121" s="222"/>
      <c r="CJ121" s="222"/>
      <c r="CK121" s="222"/>
      <c r="CL121" s="222"/>
      <c r="CM121" s="222"/>
      <c r="CN121" s="222"/>
      <c r="CO121" s="222"/>
      <c r="CP121" s="222"/>
      <c r="CQ121" s="222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222"/>
      <c r="DC121" s="222"/>
      <c r="DD121" s="222"/>
      <c r="DE121" s="222"/>
      <c r="DF121" s="222"/>
      <c r="DG121" s="222"/>
      <c r="DH121" s="222"/>
      <c r="DI121" s="222"/>
      <c r="DJ121" s="222"/>
      <c r="DK121" s="222"/>
      <c r="DL121" s="222"/>
      <c r="DM121" s="222"/>
      <c r="DN121" s="222"/>
      <c r="DO121" s="222"/>
      <c r="DP121" s="222"/>
      <c r="DQ121" s="222"/>
      <c r="DR121" s="222"/>
      <c r="DS121" s="222"/>
      <c r="DT121" s="222"/>
      <c r="DU121" s="222"/>
      <c r="DV121" s="222"/>
      <c r="DW121" s="325"/>
      <c r="DX121" s="325"/>
      <c r="DY121" s="325"/>
      <c r="DZ121" s="325"/>
      <c r="EA121" s="325"/>
      <c r="EB121" s="325"/>
      <c r="EC121" s="325"/>
      <c r="ED121" s="325"/>
      <c r="EE121" s="325"/>
      <c r="EF121" s="325"/>
      <c r="EG121" s="325"/>
      <c r="EH121" s="325"/>
    </row>
    <row r="122" spans="1:138">
      <c r="A122" s="222"/>
      <c r="B122" s="318"/>
      <c r="C122" s="313" t="s">
        <v>147</v>
      </c>
      <c r="D122" s="322">
        <f>(D121-D119)/D120</f>
        <v>1.8467785580795488</v>
      </c>
      <c r="E122" s="222"/>
      <c r="F122" s="238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2"/>
      <c r="BO122" s="222"/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2"/>
      <c r="CB122" s="222"/>
      <c r="CC122" s="222"/>
      <c r="CD122" s="222"/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2"/>
      <c r="CQ122" s="222"/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22"/>
      <c r="DO122" s="222"/>
      <c r="DP122" s="222"/>
      <c r="DQ122" s="222"/>
      <c r="DR122" s="222"/>
      <c r="DS122" s="222"/>
      <c r="DT122" s="222"/>
      <c r="DU122" s="222"/>
      <c r="DV122" s="222"/>
      <c r="DW122" s="325"/>
      <c r="DX122" s="325"/>
      <c r="DY122" s="325"/>
      <c r="DZ122" s="325"/>
      <c r="EA122" s="325"/>
      <c r="EB122" s="325"/>
      <c r="EC122" s="325"/>
      <c r="ED122" s="325"/>
      <c r="EE122" s="325"/>
      <c r="EF122" s="325"/>
      <c r="EG122" s="325"/>
      <c r="EH122" s="325"/>
    </row>
    <row r="123" spans="1:138">
      <c r="A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2"/>
      <c r="BN123" s="222"/>
      <c r="BO123" s="222"/>
      <c r="BP123" s="222"/>
      <c r="BQ123" s="222"/>
      <c r="BR123" s="222"/>
      <c r="BS123" s="222"/>
      <c r="BT123" s="222"/>
      <c r="BU123" s="222"/>
      <c r="BV123" s="222"/>
      <c r="BW123" s="222"/>
      <c r="BX123" s="222"/>
      <c r="BY123" s="222"/>
      <c r="BZ123" s="222"/>
      <c r="CA123" s="222"/>
      <c r="CB123" s="222"/>
      <c r="CC123" s="222"/>
      <c r="CD123" s="222"/>
      <c r="CE123" s="222"/>
      <c r="CF123" s="222"/>
      <c r="CG123" s="222"/>
      <c r="CH123" s="222"/>
      <c r="CI123" s="222"/>
      <c r="CJ123" s="222"/>
      <c r="CK123" s="222"/>
      <c r="CL123" s="222"/>
      <c r="CM123" s="222"/>
      <c r="CN123" s="222"/>
      <c r="CO123" s="222"/>
      <c r="CP123" s="222"/>
      <c r="CQ123" s="222"/>
      <c r="CR123" s="222"/>
      <c r="CS123" s="222"/>
      <c r="CT123" s="222"/>
      <c r="CU123" s="222"/>
      <c r="CV123" s="222"/>
      <c r="CW123" s="222"/>
      <c r="CX123" s="222"/>
      <c r="CY123" s="222"/>
      <c r="CZ123" s="222"/>
      <c r="DA123" s="222"/>
      <c r="DB123" s="222"/>
      <c r="DC123" s="222"/>
      <c r="DD123" s="222"/>
      <c r="DE123" s="222"/>
      <c r="DF123" s="222"/>
      <c r="DG123" s="222"/>
      <c r="DH123" s="222"/>
      <c r="DI123" s="222"/>
      <c r="DJ123" s="222"/>
      <c r="DK123" s="222"/>
      <c r="DL123" s="222"/>
      <c r="DM123" s="222"/>
      <c r="DN123" s="222"/>
      <c r="DO123" s="222"/>
      <c r="DP123" s="222"/>
      <c r="DQ123" s="222"/>
      <c r="DR123" s="222"/>
      <c r="DS123" s="222"/>
      <c r="DT123" s="222"/>
      <c r="DU123" s="222"/>
      <c r="DV123" s="222"/>
      <c r="DW123" s="325"/>
      <c r="DX123" s="325"/>
      <c r="DY123" s="325"/>
      <c r="DZ123" s="325"/>
      <c r="EA123" s="325"/>
      <c r="EB123" s="325"/>
      <c r="EC123" s="325"/>
      <c r="ED123" s="325"/>
      <c r="EE123" s="325"/>
      <c r="EF123" s="325"/>
      <c r="EG123" s="325"/>
      <c r="EH123" s="325"/>
    </row>
    <row r="124" spans="1:138">
      <c r="A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2"/>
      <c r="BV124" s="222"/>
      <c r="BW124" s="222"/>
      <c r="BX124" s="222"/>
      <c r="BY124" s="222"/>
      <c r="BZ124" s="222"/>
      <c r="CA124" s="222"/>
      <c r="CB124" s="222"/>
      <c r="CC124" s="222"/>
      <c r="CD124" s="222"/>
      <c r="CE124" s="222"/>
      <c r="CF124" s="222"/>
      <c r="CG124" s="222"/>
      <c r="CH124" s="222"/>
      <c r="CI124" s="222"/>
      <c r="CJ124" s="222"/>
      <c r="CK124" s="222"/>
      <c r="CL124" s="222"/>
      <c r="CM124" s="222"/>
      <c r="CN124" s="222"/>
      <c r="CO124" s="222"/>
      <c r="CP124" s="222"/>
      <c r="CQ124" s="222"/>
      <c r="CR124" s="222"/>
      <c r="CS124" s="222"/>
      <c r="CT124" s="222"/>
      <c r="CU124" s="222"/>
      <c r="CV124" s="222"/>
      <c r="CW124" s="222"/>
      <c r="CX124" s="222"/>
      <c r="CY124" s="222"/>
      <c r="CZ124" s="222"/>
      <c r="DA124" s="222"/>
      <c r="DB124" s="222"/>
      <c r="DC124" s="222"/>
      <c r="DD124" s="222"/>
      <c r="DE124" s="222"/>
      <c r="DF124" s="222"/>
      <c r="DG124" s="222"/>
      <c r="DH124" s="222"/>
      <c r="DI124" s="222"/>
      <c r="DJ124" s="222"/>
      <c r="DK124" s="222"/>
      <c r="DL124" s="222"/>
      <c r="DM124" s="222"/>
      <c r="DN124" s="222"/>
      <c r="DO124" s="222"/>
      <c r="DP124" s="222"/>
      <c r="DQ124" s="222"/>
      <c r="DR124" s="222"/>
      <c r="DS124" s="222"/>
      <c r="DT124" s="222"/>
      <c r="DU124" s="222"/>
      <c r="DV124" s="222"/>
      <c r="DW124" s="325"/>
      <c r="DX124" s="325"/>
      <c r="DY124" s="325"/>
      <c r="DZ124" s="325"/>
      <c r="EA124" s="325"/>
      <c r="EB124" s="325"/>
      <c r="EC124" s="325"/>
      <c r="ED124" s="325"/>
      <c r="EE124" s="325"/>
      <c r="EF124" s="325"/>
      <c r="EG124" s="325"/>
      <c r="EH124" s="325"/>
    </row>
    <row r="125" spans="1:138">
      <c r="A125" s="222"/>
      <c r="B125" s="318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325"/>
      <c r="DX125" s="325"/>
      <c r="DY125" s="325"/>
      <c r="DZ125" s="325"/>
      <c r="EA125" s="325"/>
      <c r="EB125" s="325"/>
      <c r="EC125" s="325"/>
      <c r="ED125" s="325"/>
      <c r="EE125" s="325"/>
      <c r="EF125" s="325"/>
      <c r="EG125" s="325"/>
      <c r="EH125" s="325"/>
    </row>
    <row r="126" spans="1:138">
      <c r="A126" s="222"/>
      <c r="B126" s="318"/>
      <c r="C126" s="310" t="s">
        <v>304</v>
      </c>
      <c r="D126" s="311"/>
      <c r="E126" s="311">
        <f t="shared" ref="E126:BX126" si="49">-(E6+E90)</f>
        <v>0</v>
      </c>
      <c r="F126" s="311">
        <f t="shared" si="49"/>
        <v>0</v>
      </c>
      <c r="G126" s="311">
        <f t="shared" si="49"/>
        <v>0</v>
      </c>
      <c r="H126" s="311">
        <f t="shared" si="49"/>
        <v>0</v>
      </c>
      <c r="I126" s="311">
        <f t="shared" si="49"/>
        <v>-1000000</v>
      </c>
      <c r="J126" s="311">
        <f t="shared" si="49"/>
        <v>0</v>
      </c>
      <c r="K126" s="311">
        <f t="shared" si="49"/>
        <v>0</v>
      </c>
      <c r="L126" s="311">
        <f t="shared" si="49"/>
        <v>0</v>
      </c>
      <c r="M126" s="311">
        <f t="shared" si="49"/>
        <v>0</v>
      </c>
      <c r="N126" s="311">
        <f t="shared" si="49"/>
        <v>0</v>
      </c>
      <c r="O126" s="311">
        <f t="shared" si="49"/>
        <v>0</v>
      </c>
      <c r="P126" s="311">
        <f t="shared" si="49"/>
        <v>-2100000</v>
      </c>
      <c r="Q126" s="311">
        <f t="shared" si="49"/>
        <v>0</v>
      </c>
      <c r="R126" s="311">
        <f t="shared" si="49"/>
        <v>0</v>
      </c>
      <c r="S126" s="311">
        <f t="shared" si="49"/>
        <v>0</v>
      </c>
      <c r="T126" s="311">
        <f t="shared" si="49"/>
        <v>3100000</v>
      </c>
      <c r="U126" s="311">
        <f t="shared" si="49"/>
        <v>0</v>
      </c>
      <c r="V126" s="311">
        <f t="shared" si="49"/>
        <v>0</v>
      </c>
      <c r="W126" s="311">
        <f t="shared" si="49"/>
        <v>0</v>
      </c>
      <c r="X126" s="311">
        <f t="shared" si="49"/>
        <v>0</v>
      </c>
      <c r="Y126" s="311">
        <f t="shared" si="49"/>
        <v>0</v>
      </c>
      <c r="Z126" s="311">
        <f t="shared" si="49"/>
        <v>0</v>
      </c>
      <c r="AA126" s="311">
        <f t="shared" si="49"/>
        <v>0</v>
      </c>
      <c r="AB126" s="311">
        <f t="shared" si="49"/>
        <v>0</v>
      </c>
      <c r="AC126" s="311">
        <f t="shared" si="49"/>
        <v>0</v>
      </c>
      <c r="AD126" s="311">
        <f t="shared" si="49"/>
        <v>0</v>
      </c>
      <c r="AE126" s="311">
        <f t="shared" si="49"/>
        <v>0</v>
      </c>
      <c r="AF126" s="311">
        <f t="shared" si="49"/>
        <v>0</v>
      </c>
      <c r="AG126" s="311">
        <f t="shared" si="49"/>
        <v>0</v>
      </c>
      <c r="AH126" s="311">
        <f t="shared" si="49"/>
        <v>0</v>
      </c>
      <c r="AI126" s="311">
        <f t="shared" si="49"/>
        <v>0</v>
      </c>
      <c r="AJ126" s="311">
        <f t="shared" si="49"/>
        <v>0</v>
      </c>
      <c r="AK126" s="311">
        <f t="shared" si="49"/>
        <v>0</v>
      </c>
      <c r="AL126" s="311">
        <f t="shared" si="49"/>
        <v>0</v>
      </c>
      <c r="AM126" s="311">
        <f t="shared" si="49"/>
        <v>0</v>
      </c>
      <c r="AN126" s="311">
        <f t="shared" si="49"/>
        <v>0</v>
      </c>
      <c r="AO126" s="311">
        <f t="shared" si="49"/>
        <v>0</v>
      </c>
      <c r="AP126" s="311">
        <f t="shared" si="49"/>
        <v>0</v>
      </c>
      <c r="AQ126" s="311">
        <f t="shared" si="49"/>
        <v>0</v>
      </c>
      <c r="AR126" s="311">
        <f t="shared" si="49"/>
        <v>0</v>
      </c>
      <c r="AS126" s="311">
        <f t="shared" si="49"/>
        <v>0</v>
      </c>
      <c r="AT126" s="311">
        <f t="shared" si="49"/>
        <v>0</v>
      </c>
      <c r="AU126" s="311">
        <f t="shared" si="49"/>
        <v>0</v>
      </c>
      <c r="AV126" s="311">
        <f t="shared" si="49"/>
        <v>0</v>
      </c>
      <c r="AW126" s="311">
        <f t="shared" si="49"/>
        <v>0</v>
      </c>
      <c r="AX126" s="311">
        <f t="shared" si="49"/>
        <v>0</v>
      </c>
      <c r="AY126" s="311">
        <f t="shared" si="49"/>
        <v>0</v>
      </c>
      <c r="AZ126" s="311">
        <f t="shared" si="49"/>
        <v>0</v>
      </c>
      <c r="BA126" s="311">
        <f t="shared" si="49"/>
        <v>0</v>
      </c>
      <c r="BB126" s="311">
        <f t="shared" si="49"/>
        <v>0</v>
      </c>
      <c r="BC126" s="311">
        <f t="shared" si="49"/>
        <v>0</v>
      </c>
      <c r="BD126" s="311">
        <f t="shared" si="49"/>
        <v>0</v>
      </c>
      <c r="BE126" s="311">
        <f t="shared" si="49"/>
        <v>0</v>
      </c>
      <c r="BF126" s="311">
        <f t="shared" si="49"/>
        <v>0</v>
      </c>
      <c r="BG126" s="311">
        <f t="shared" si="49"/>
        <v>0</v>
      </c>
      <c r="BH126" s="311">
        <f t="shared" si="49"/>
        <v>0</v>
      </c>
      <c r="BI126" s="311">
        <f t="shared" si="49"/>
        <v>0</v>
      </c>
      <c r="BJ126" s="311">
        <f t="shared" si="49"/>
        <v>0</v>
      </c>
      <c r="BK126" s="311">
        <f t="shared" si="49"/>
        <v>0</v>
      </c>
      <c r="BL126" s="311">
        <f t="shared" si="49"/>
        <v>0</v>
      </c>
      <c r="BM126" s="311">
        <f t="shared" si="49"/>
        <v>0</v>
      </c>
      <c r="BN126" s="311">
        <f t="shared" si="49"/>
        <v>0</v>
      </c>
      <c r="BO126" s="311">
        <f t="shared" si="49"/>
        <v>0</v>
      </c>
      <c r="BP126" s="311">
        <f t="shared" si="49"/>
        <v>0</v>
      </c>
      <c r="BQ126" s="311">
        <f t="shared" si="49"/>
        <v>0</v>
      </c>
      <c r="BR126" s="311">
        <f t="shared" si="49"/>
        <v>0</v>
      </c>
      <c r="BS126" s="311">
        <f t="shared" si="49"/>
        <v>0</v>
      </c>
      <c r="BT126" s="311">
        <f t="shared" si="49"/>
        <v>0</v>
      </c>
      <c r="BU126" s="311">
        <f t="shared" si="49"/>
        <v>0</v>
      </c>
      <c r="BV126" s="311">
        <f t="shared" si="49"/>
        <v>0</v>
      </c>
      <c r="BW126" s="311">
        <f t="shared" si="49"/>
        <v>0</v>
      </c>
      <c r="BX126" s="311">
        <f t="shared" si="49"/>
        <v>0</v>
      </c>
      <c r="BY126" s="222"/>
      <c r="BZ126" s="222"/>
      <c r="CA126" s="222"/>
      <c r="CB126" s="222"/>
      <c r="CC126" s="222"/>
      <c r="CD126" s="222"/>
      <c r="CE126" s="222"/>
      <c r="CF126" s="222"/>
      <c r="CG126" s="222"/>
      <c r="CH126" s="222"/>
      <c r="CI126" s="222"/>
      <c r="CJ126" s="222"/>
      <c r="CK126" s="222"/>
      <c r="CL126" s="222"/>
      <c r="CM126" s="222"/>
      <c r="CN126" s="222"/>
      <c r="CO126" s="222"/>
      <c r="CP126" s="222"/>
      <c r="CQ126" s="222"/>
      <c r="CR126" s="222"/>
      <c r="CS126" s="222"/>
      <c r="CT126" s="222"/>
      <c r="CU126" s="222"/>
      <c r="CV126" s="222"/>
      <c r="CW126" s="222"/>
      <c r="CX126" s="222"/>
      <c r="CY126" s="222"/>
      <c r="CZ126" s="222"/>
      <c r="DA126" s="222"/>
      <c r="DB126" s="222"/>
      <c r="DC126" s="222"/>
      <c r="DD126" s="222"/>
      <c r="DE126" s="222"/>
      <c r="DF126" s="222"/>
      <c r="DG126" s="222"/>
      <c r="DH126" s="222"/>
      <c r="DI126" s="222"/>
      <c r="DJ126" s="222"/>
      <c r="DK126" s="222"/>
      <c r="DL126" s="222"/>
      <c r="DM126" s="222"/>
      <c r="DN126" s="222"/>
      <c r="DO126" s="222"/>
      <c r="DP126" s="222"/>
      <c r="DQ126" s="222"/>
      <c r="DR126" s="222"/>
      <c r="DS126" s="222"/>
      <c r="DT126" s="222"/>
      <c r="DU126" s="222"/>
      <c r="DV126" s="222"/>
      <c r="DW126" s="325"/>
      <c r="DX126" s="325"/>
      <c r="DY126" s="325"/>
      <c r="DZ126" s="325"/>
      <c r="EA126" s="325"/>
      <c r="EB126" s="325"/>
      <c r="EC126" s="325"/>
      <c r="ED126" s="325"/>
      <c r="EE126" s="325"/>
      <c r="EF126" s="325"/>
      <c r="EG126" s="325"/>
      <c r="EH126" s="325"/>
    </row>
    <row r="127" spans="1:138">
      <c r="A127" s="222"/>
      <c r="B127" s="318"/>
      <c r="C127" s="310" t="s">
        <v>305</v>
      </c>
      <c r="D127" s="319"/>
      <c r="E127" s="311"/>
      <c r="F127" s="311"/>
      <c r="G127" s="311"/>
      <c r="H127" s="311"/>
      <c r="I127" s="311"/>
      <c r="J127" s="311"/>
      <c r="K127" s="311"/>
      <c r="L127" s="311"/>
      <c r="M127" s="311"/>
      <c r="N127" s="311"/>
      <c r="O127" s="311"/>
      <c r="P127" s="311"/>
      <c r="Q127" s="311"/>
      <c r="R127" s="311"/>
      <c r="S127" s="311"/>
      <c r="T127" s="311"/>
      <c r="U127" s="311"/>
      <c r="V127" s="311"/>
      <c r="W127" s="311"/>
      <c r="X127" s="311"/>
      <c r="Y127" s="311"/>
      <c r="Z127" s="311"/>
      <c r="AA127" s="311"/>
      <c r="AB127" s="311"/>
      <c r="AC127" s="311"/>
      <c r="AD127" s="311"/>
      <c r="AE127" s="311"/>
      <c r="AF127" s="311"/>
      <c r="AG127" s="311"/>
      <c r="AH127" s="311"/>
      <c r="AI127" s="311"/>
      <c r="AJ127" s="311"/>
      <c r="AK127" s="311"/>
      <c r="AL127" s="311"/>
      <c r="AM127" s="311"/>
      <c r="AN127" s="311"/>
      <c r="AO127" s="311"/>
      <c r="AP127" s="311"/>
      <c r="AQ127" s="311"/>
      <c r="AR127" s="311"/>
      <c r="AS127" s="311"/>
      <c r="AT127" s="311"/>
      <c r="AU127" s="311"/>
      <c r="AV127" s="311"/>
      <c r="AW127" s="311"/>
      <c r="AX127" s="311"/>
      <c r="AY127" s="311"/>
      <c r="AZ127" s="311"/>
      <c r="BA127" s="311"/>
      <c r="BB127" s="311"/>
      <c r="BC127" s="311"/>
      <c r="BD127" s="311"/>
      <c r="BE127" s="311"/>
      <c r="BF127" s="311"/>
      <c r="BG127" s="311"/>
      <c r="BH127" s="311"/>
      <c r="BI127" s="311"/>
      <c r="BJ127" s="311"/>
      <c r="BK127" s="311"/>
      <c r="BL127" s="311"/>
      <c r="BM127" s="311"/>
      <c r="BN127" s="311"/>
      <c r="BO127" s="311"/>
      <c r="BP127" s="311"/>
      <c r="BQ127" s="311"/>
      <c r="BR127" s="311"/>
      <c r="BS127" s="311"/>
      <c r="BT127" s="311"/>
      <c r="BU127" s="311"/>
      <c r="BV127" s="311"/>
      <c r="BW127" s="311"/>
      <c r="BX127" s="311"/>
      <c r="BY127" s="222"/>
      <c r="BZ127" s="222"/>
      <c r="CA127" s="222"/>
      <c r="CB127" s="222"/>
      <c r="CC127" s="222"/>
      <c r="CD127" s="222"/>
      <c r="CE127" s="222"/>
      <c r="CF127" s="222"/>
      <c r="CG127" s="222"/>
      <c r="CH127" s="222"/>
      <c r="CI127" s="222"/>
      <c r="CJ127" s="222"/>
      <c r="CK127" s="222"/>
      <c r="CL127" s="222"/>
      <c r="CM127" s="222"/>
      <c r="CN127" s="222"/>
      <c r="CO127" s="222"/>
      <c r="CP127" s="222"/>
      <c r="CQ127" s="222"/>
      <c r="CR127" s="222"/>
      <c r="CS127" s="222"/>
      <c r="CT127" s="222"/>
      <c r="CU127" s="222"/>
      <c r="CV127" s="222"/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2"/>
      <c r="DI127" s="222"/>
      <c r="DJ127" s="222"/>
      <c r="DK127" s="222"/>
      <c r="DL127" s="222"/>
      <c r="DM127" s="222"/>
      <c r="DN127" s="222"/>
      <c r="DO127" s="222"/>
      <c r="DP127" s="222"/>
      <c r="DQ127" s="222"/>
      <c r="DR127" s="222"/>
      <c r="DS127" s="222"/>
      <c r="DT127" s="222"/>
      <c r="DU127" s="222"/>
      <c r="DV127" s="222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</row>
    <row r="128" spans="1:138">
      <c r="A128" s="222"/>
      <c r="B128" s="318"/>
      <c r="C128" s="310" t="s">
        <v>296</v>
      </c>
      <c r="D128" s="319"/>
      <c r="E128" s="311">
        <f t="shared" ref="E128:BX128" si="50">-E55</f>
        <v>0</v>
      </c>
      <c r="F128" s="311">
        <f t="shared" si="50"/>
        <v>0</v>
      </c>
      <c r="G128" s="311">
        <f t="shared" si="50"/>
        <v>0</v>
      </c>
      <c r="H128" s="311">
        <f t="shared" si="50"/>
        <v>0</v>
      </c>
      <c r="I128" s="311">
        <f t="shared" si="50"/>
        <v>0</v>
      </c>
      <c r="J128" s="311">
        <f t="shared" si="50"/>
        <v>0</v>
      </c>
      <c r="K128" s="311">
        <f t="shared" si="50"/>
        <v>0</v>
      </c>
      <c r="L128" s="311">
        <f t="shared" si="50"/>
        <v>0</v>
      </c>
      <c r="M128" s="311">
        <f t="shared" si="50"/>
        <v>0</v>
      </c>
      <c r="N128" s="311">
        <f t="shared" si="50"/>
        <v>0</v>
      </c>
      <c r="O128" s="311">
        <f t="shared" si="50"/>
        <v>0</v>
      </c>
      <c r="P128" s="311">
        <f t="shared" si="50"/>
        <v>0</v>
      </c>
      <c r="Q128" s="311">
        <f t="shared" si="50"/>
        <v>0</v>
      </c>
      <c r="R128" s="311">
        <f t="shared" si="50"/>
        <v>0</v>
      </c>
      <c r="S128" s="311">
        <f t="shared" si="50"/>
        <v>0</v>
      </c>
      <c r="T128" s="311">
        <f t="shared" si="50"/>
        <v>196875</v>
      </c>
      <c r="U128" s="311">
        <f t="shared" si="50"/>
        <v>0</v>
      </c>
      <c r="V128" s="311">
        <f t="shared" si="50"/>
        <v>0</v>
      </c>
      <c r="W128" s="311">
        <f t="shared" si="50"/>
        <v>0</v>
      </c>
      <c r="X128" s="311">
        <f t="shared" si="50"/>
        <v>0</v>
      </c>
      <c r="Y128" s="311">
        <f t="shared" si="50"/>
        <v>0</v>
      </c>
      <c r="Z128" s="311">
        <f t="shared" si="50"/>
        <v>0</v>
      </c>
      <c r="AA128" s="311">
        <f t="shared" si="50"/>
        <v>0</v>
      </c>
      <c r="AB128" s="311">
        <f t="shared" si="50"/>
        <v>0</v>
      </c>
      <c r="AC128" s="311">
        <f t="shared" si="50"/>
        <v>0</v>
      </c>
      <c r="AD128" s="311">
        <f t="shared" si="50"/>
        <v>0</v>
      </c>
      <c r="AE128" s="311">
        <f t="shared" si="50"/>
        <v>0</v>
      </c>
      <c r="AF128" s="311">
        <f t="shared" si="50"/>
        <v>0</v>
      </c>
      <c r="AG128" s="311">
        <f t="shared" si="50"/>
        <v>0</v>
      </c>
      <c r="AH128" s="311">
        <f t="shared" si="50"/>
        <v>0</v>
      </c>
      <c r="AI128" s="311">
        <f t="shared" si="50"/>
        <v>0</v>
      </c>
      <c r="AJ128" s="311">
        <f t="shared" si="50"/>
        <v>0</v>
      </c>
      <c r="AK128" s="311">
        <f t="shared" si="50"/>
        <v>0</v>
      </c>
      <c r="AL128" s="311">
        <f t="shared" si="50"/>
        <v>0</v>
      </c>
      <c r="AM128" s="311">
        <f t="shared" si="50"/>
        <v>0</v>
      </c>
      <c r="AN128" s="311">
        <f t="shared" si="50"/>
        <v>0</v>
      </c>
      <c r="AO128" s="311">
        <f t="shared" si="50"/>
        <v>0</v>
      </c>
      <c r="AP128" s="311">
        <f t="shared" si="50"/>
        <v>0</v>
      </c>
      <c r="AQ128" s="311">
        <f t="shared" si="50"/>
        <v>0</v>
      </c>
      <c r="AR128" s="311">
        <f t="shared" si="50"/>
        <v>0</v>
      </c>
      <c r="AS128" s="311">
        <f t="shared" si="50"/>
        <v>0</v>
      </c>
      <c r="AT128" s="311">
        <f t="shared" si="50"/>
        <v>0</v>
      </c>
      <c r="AU128" s="311">
        <f t="shared" si="50"/>
        <v>0</v>
      </c>
      <c r="AV128" s="311">
        <f t="shared" si="50"/>
        <v>0</v>
      </c>
      <c r="AW128" s="311">
        <f t="shared" si="50"/>
        <v>0</v>
      </c>
      <c r="AX128" s="311">
        <f t="shared" si="50"/>
        <v>0</v>
      </c>
      <c r="AY128" s="311">
        <f t="shared" si="50"/>
        <v>0</v>
      </c>
      <c r="AZ128" s="311">
        <f t="shared" si="50"/>
        <v>0</v>
      </c>
      <c r="BA128" s="311">
        <f t="shared" si="50"/>
        <v>0</v>
      </c>
      <c r="BB128" s="311">
        <f t="shared" si="50"/>
        <v>0</v>
      </c>
      <c r="BC128" s="311">
        <f t="shared" si="50"/>
        <v>0</v>
      </c>
      <c r="BD128" s="311">
        <f t="shared" si="50"/>
        <v>0</v>
      </c>
      <c r="BE128" s="311">
        <f t="shared" si="50"/>
        <v>0</v>
      </c>
      <c r="BF128" s="311">
        <f t="shared" si="50"/>
        <v>0</v>
      </c>
      <c r="BG128" s="311">
        <f t="shared" si="50"/>
        <v>0</v>
      </c>
      <c r="BH128" s="311">
        <f t="shared" si="50"/>
        <v>0</v>
      </c>
      <c r="BI128" s="311">
        <f t="shared" si="50"/>
        <v>0</v>
      </c>
      <c r="BJ128" s="311">
        <f t="shared" si="50"/>
        <v>0</v>
      </c>
      <c r="BK128" s="311">
        <f t="shared" si="50"/>
        <v>0</v>
      </c>
      <c r="BL128" s="311">
        <f t="shared" si="50"/>
        <v>0</v>
      </c>
      <c r="BM128" s="311">
        <f t="shared" si="50"/>
        <v>0</v>
      </c>
      <c r="BN128" s="311">
        <f t="shared" si="50"/>
        <v>0</v>
      </c>
      <c r="BO128" s="311">
        <f t="shared" si="50"/>
        <v>0</v>
      </c>
      <c r="BP128" s="311">
        <f t="shared" si="50"/>
        <v>0</v>
      </c>
      <c r="BQ128" s="311">
        <f t="shared" si="50"/>
        <v>0</v>
      </c>
      <c r="BR128" s="311">
        <f t="shared" si="50"/>
        <v>0</v>
      </c>
      <c r="BS128" s="311">
        <f t="shared" si="50"/>
        <v>0</v>
      </c>
      <c r="BT128" s="311">
        <f t="shared" si="50"/>
        <v>0</v>
      </c>
      <c r="BU128" s="311">
        <f t="shared" si="50"/>
        <v>0</v>
      </c>
      <c r="BV128" s="311">
        <f t="shared" si="50"/>
        <v>0</v>
      </c>
      <c r="BW128" s="311">
        <f t="shared" si="50"/>
        <v>0</v>
      </c>
      <c r="BX128" s="311">
        <f t="shared" si="50"/>
        <v>0</v>
      </c>
      <c r="BY128" s="222"/>
      <c r="BZ128" s="222"/>
      <c r="CA128" s="222"/>
      <c r="CB128" s="222"/>
      <c r="CC128" s="222"/>
      <c r="CD128" s="222"/>
      <c r="CE128" s="222"/>
      <c r="CF128" s="222"/>
      <c r="CG128" s="222"/>
      <c r="CH128" s="222"/>
      <c r="CI128" s="222"/>
      <c r="CJ128" s="222"/>
      <c r="CK128" s="222"/>
      <c r="CL128" s="222"/>
      <c r="CM128" s="222"/>
      <c r="CN128" s="222"/>
      <c r="CO128" s="222"/>
      <c r="CP128" s="222"/>
      <c r="CQ128" s="222"/>
      <c r="CR128" s="222"/>
      <c r="CS128" s="222"/>
      <c r="CT128" s="222"/>
      <c r="CU128" s="222"/>
      <c r="CV128" s="222"/>
      <c r="CW128" s="222"/>
      <c r="CX128" s="222"/>
      <c r="CY128" s="222"/>
      <c r="CZ128" s="222"/>
      <c r="DA128" s="222"/>
      <c r="DB128" s="222"/>
      <c r="DC128" s="222"/>
      <c r="DD128" s="222"/>
      <c r="DE128" s="222"/>
      <c r="DF128" s="222"/>
      <c r="DG128" s="222"/>
      <c r="DH128" s="222"/>
      <c r="DI128" s="222"/>
      <c r="DJ128" s="222"/>
      <c r="DK128" s="222"/>
      <c r="DL128" s="222"/>
      <c r="DM128" s="222"/>
      <c r="DN128" s="222"/>
      <c r="DO128" s="222"/>
      <c r="DP128" s="222"/>
      <c r="DQ128" s="222"/>
      <c r="DR128" s="222"/>
      <c r="DS128" s="222"/>
      <c r="DT128" s="222"/>
      <c r="DU128" s="222"/>
      <c r="DV128" s="222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</row>
    <row r="129" spans="1:138">
      <c r="A129" s="222"/>
      <c r="B129" s="318"/>
      <c r="C129" s="310" t="s">
        <v>297</v>
      </c>
      <c r="D129" s="319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>
        <f>IF(D103&gt;0.25,(BX98-BX106)*D130,BX98*D130)</f>
        <v>20804532.064816292</v>
      </c>
      <c r="BY129" s="222"/>
      <c r="BZ129" s="222"/>
      <c r="CA129" s="222"/>
      <c r="CB129" s="222"/>
      <c r="CC129" s="222"/>
      <c r="CD129" s="222"/>
      <c r="CE129" s="222"/>
      <c r="CF129" s="222"/>
      <c r="CG129" s="222"/>
      <c r="CH129" s="222"/>
      <c r="CI129" s="222"/>
      <c r="CJ129" s="222"/>
      <c r="CK129" s="222"/>
      <c r="CL129" s="222"/>
      <c r="CM129" s="222"/>
      <c r="CN129" s="222"/>
      <c r="CO129" s="222"/>
      <c r="CP129" s="222"/>
      <c r="CQ129" s="222"/>
      <c r="CR129" s="222"/>
      <c r="CS129" s="222"/>
      <c r="CT129" s="222"/>
      <c r="CU129" s="222"/>
      <c r="CV129" s="222"/>
      <c r="CW129" s="222"/>
      <c r="CX129" s="222"/>
      <c r="CY129" s="222"/>
      <c r="CZ129" s="222"/>
      <c r="DA129" s="222"/>
      <c r="DB129" s="222"/>
      <c r="DC129" s="222"/>
      <c r="DD129" s="222"/>
      <c r="DE129" s="222"/>
      <c r="DF129" s="222"/>
      <c r="DG129" s="222"/>
      <c r="DH129" s="222"/>
      <c r="DI129" s="222"/>
      <c r="DJ129" s="222"/>
      <c r="DK129" s="222"/>
      <c r="DL129" s="222"/>
      <c r="DM129" s="222"/>
      <c r="DN129" s="222"/>
      <c r="DO129" s="222"/>
      <c r="DP129" s="222"/>
      <c r="DQ129" s="222"/>
      <c r="DR129" s="222"/>
      <c r="DS129" s="222"/>
      <c r="DT129" s="222"/>
      <c r="DU129" s="222"/>
      <c r="DV129" s="222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</row>
    <row r="130" spans="1:138">
      <c r="A130" s="222"/>
      <c r="B130" s="318"/>
      <c r="C130" s="313" t="s">
        <v>298</v>
      </c>
      <c r="D130" s="319">
        <v>0.4</v>
      </c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>
        <f>T98-T145-T161-T177</f>
        <v>54014162.702550903</v>
      </c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K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22"/>
      <c r="BZ130" s="222"/>
      <c r="CA130" s="222"/>
      <c r="CB130" s="222"/>
      <c r="CC130" s="222"/>
      <c r="CD130" s="222"/>
      <c r="CE130" s="222"/>
      <c r="CF130" s="222"/>
      <c r="CG130" s="222"/>
      <c r="CH130" s="222"/>
      <c r="CI130" s="222"/>
      <c r="CJ130" s="222"/>
      <c r="CK130" s="222"/>
      <c r="CL130" s="222"/>
      <c r="CM130" s="222"/>
      <c r="CN130" s="222"/>
      <c r="CO130" s="222"/>
      <c r="CP130" s="222"/>
      <c r="CQ130" s="222"/>
      <c r="CR130" s="222"/>
      <c r="CS130" s="222"/>
      <c r="CT130" s="222"/>
      <c r="CU130" s="222"/>
      <c r="CV130" s="222"/>
      <c r="CW130" s="222"/>
      <c r="CX130" s="222"/>
      <c r="CY130" s="222"/>
      <c r="CZ130" s="222"/>
      <c r="DA130" s="222"/>
      <c r="DB130" s="222"/>
      <c r="DC130" s="222"/>
      <c r="DD130" s="222"/>
      <c r="DE130" s="222"/>
      <c r="DF130" s="222"/>
      <c r="DG130" s="222"/>
      <c r="DH130" s="222"/>
      <c r="DI130" s="222"/>
      <c r="DJ130" s="222"/>
      <c r="DK130" s="222"/>
      <c r="DL130" s="222"/>
      <c r="DM130" s="222"/>
      <c r="DN130" s="222"/>
      <c r="DO130" s="222"/>
      <c r="DP130" s="222"/>
      <c r="DQ130" s="222"/>
      <c r="DR130" s="222"/>
      <c r="DS130" s="222"/>
      <c r="DT130" s="222"/>
      <c r="DU130" s="222"/>
      <c r="DV130" s="222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</row>
    <row r="131" spans="1:138">
      <c r="A131" s="222"/>
      <c r="B131" s="318"/>
      <c r="C131" s="310" t="s">
        <v>299</v>
      </c>
      <c r="D131" s="311"/>
      <c r="E131" s="321">
        <f t="shared" ref="E131:BX131" si="51">E126+E127+E128+E129+E130</f>
        <v>0</v>
      </c>
      <c r="F131" s="321">
        <f t="shared" si="51"/>
        <v>0</v>
      </c>
      <c r="G131" s="321">
        <f t="shared" si="51"/>
        <v>0</v>
      </c>
      <c r="H131" s="321">
        <f t="shared" si="51"/>
        <v>0</v>
      </c>
      <c r="I131" s="321">
        <f t="shared" si="51"/>
        <v>-1000000</v>
      </c>
      <c r="J131" s="321">
        <f t="shared" si="51"/>
        <v>0</v>
      </c>
      <c r="K131" s="321">
        <f t="shared" si="51"/>
        <v>0</v>
      </c>
      <c r="L131" s="321">
        <f t="shared" si="51"/>
        <v>0</v>
      </c>
      <c r="M131" s="321">
        <f t="shared" si="51"/>
        <v>0</v>
      </c>
      <c r="N131" s="321">
        <f t="shared" si="51"/>
        <v>0</v>
      </c>
      <c r="O131" s="321">
        <f t="shared" si="51"/>
        <v>0</v>
      </c>
      <c r="P131" s="321">
        <f t="shared" si="51"/>
        <v>-2100000</v>
      </c>
      <c r="Q131" s="321">
        <f t="shared" si="51"/>
        <v>0</v>
      </c>
      <c r="R131" s="321">
        <f t="shared" si="51"/>
        <v>0</v>
      </c>
      <c r="S131" s="321">
        <f t="shared" si="51"/>
        <v>0</v>
      </c>
      <c r="T131" s="321">
        <f t="shared" si="51"/>
        <v>57311037.702550903</v>
      </c>
      <c r="U131" s="321">
        <f t="shared" si="51"/>
        <v>0</v>
      </c>
      <c r="V131" s="321">
        <f t="shared" si="51"/>
        <v>0</v>
      </c>
      <c r="W131" s="321">
        <f t="shared" si="51"/>
        <v>0</v>
      </c>
      <c r="X131" s="321">
        <f t="shared" si="51"/>
        <v>0</v>
      </c>
      <c r="Y131" s="321">
        <f t="shared" si="51"/>
        <v>0</v>
      </c>
      <c r="Z131" s="321">
        <f t="shared" si="51"/>
        <v>0</v>
      </c>
      <c r="AA131" s="321">
        <f t="shared" si="51"/>
        <v>0</v>
      </c>
      <c r="AB131" s="321">
        <f t="shared" si="51"/>
        <v>0</v>
      </c>
      <c r="AC131" s="321">
        <f t="shared" si="51"/>
        <v>0</v>
      </c>
      <c r="AD131" s="321">
        <f t="shared" si="51"/>
        <v>0</v>
      </c>
      <c r="AE131" s="321">
        <f t="shared" si="51"/>
        <v>0</v>
      </c>
      <c r="AF131" s="321">
        <f t="shared" si="51"/>
        <v>0</v>
      </c>
      <c r="AG131" s="321">
        <f t="shared" si="51"/>
        <v>0</v>
      </c>
      <c r="AH131" s="321">
        <f t="shared" si="51"/>
        <v>0</v>
      </c>
      <c r="AI131" s="321">
        <f t="shared" si="51"/>
        <v>0</v>
      </c>
      <c r="AJ131" s="321">
        <f t="shared" si="51"/>
        <v>0</v>
      </c>
      <c r="AK131" s="321">
        <f t="shared" si="51"/>
        <v>0</v>
      </c>
      <c r="AL131" s="321">
        <f t="shared" si="51"/>
        <v>0</v>
      </c>
      <c r="AM131" s="321">
        <f t="shared" si="51"/>
        <v>0</v>
      </c>
      <c r="AN131" s="321">
        <f t="shared" si="51"/>
        <v>0</v>
      </c>
      <c r="AO131" s="321">
        <f t="shared" si="51"/>
        <v>0</v>
      </c>
      <c r="AP131" s="321">
        <f t="shared" si="51"/>
        <v>0</v>
      </c>
      <c r="AQ131" s="321">
        <f t="shared" si="51"/>
        <v>0</v>
      </c>
      <c r="AR131" s="321">
        <f t="shared" si="51"/>
        <v>0</v>
      </c>
      <c r="AS131" s="321">
        <f t="shared" si="51"/>
        <v>0</v>
      </c>
      <c r="AT131" s="321">
        <f t="shared" si="51"/>
        <v>0</v>
      </c>
      <c r="AU131" s="321">
        <f t="shared" si="51"/>
        <v>0</v>
      </c>
      <c r="AV131" s="321">
        <f t="shared" si="51"/>
        <v>0</v>
      </c>
      <c r="AW131" s="321">
        <f t="shared" si="51"/>
        <v>0</v>
      </c>
      <c r="AX131" s="321">
        <f t="shared" si="51"/>
        <v>0</v>
      </c>
      <c r="AY131" s="321">
        <f t="shared" si="51"/>
        <v>0</v>
      </c>
      <c r="AZ131" s="321">
        <f t="shared" si="51"/>
        <v>0</v>
      </c>
      <c r="BA131" s="321">
        <f t="shared" si="51"/>
        <v>0</v>
      </c>
      <c r="BB131" s="321">
        <f t="shared" si="51"/>
        <v>0</v>
      </c>
      <c r="BC131" s="321">
        <f t="shared" si="51"/>
        <v>0</v>
      </c>
      <c r="BD131" s="321">
        <f t="shared" si="51"/>
        <v>0</v>
      </c>
      <c r="BE131" s="321">
        <f t="shared" si="51"/>
        <v>0</v>
      </c>
      <c r="BF131" s="321">
        <f t="shared" si="51"/>
        <v>0</v>
      </c>
      <c r="BG131" s="321">
        <f t="shared" si="51"/>
        <v>0</v>
      </c>
      <c r="BH131" s="321">
        <f t="shared" si="51"/>
        <v>0</v>
      </c>
      <c r="BI131" s="321">
        <f t="shared" si="51"/>
        <v>0</v>
      </c>
      <c r="BJ131" s="321">
        <f t="shared" si="51"/>
        <v>0</v>
      </c>
      <c r="BK131" s="321">
        <f t="shared" si="51"/>
        <v>0</v>
      </c>
      <c r="BL131" s="321">
        <f t="shared" si="51"/>
        <v>0</v>
      </c>
      <c r="BM131" s="321">
        <f t="shared" si="51"/>
        <v>0</v>
      </c>
      <c r="BN131" s="321">
        <f t="shared" si="51"/>
        <v>0</v>
      </c>
      <c r="BO131" s="321">
        <f t="shared" si="51"/>
        <v>0</v>
      </c>
      <c r="BP131" s="321">
        <f t="shared" si="51"/>
        <v>0</v>
      </c>
      <c r="BQ131" s="321">
        <f t="shared" si="51"/>
        <v>0</v>
      </c>
      <c r="BR131" s="321">
        <f t="shared" si="51"/>
        <v>0</v>
      </c>
      <c r="BS131" s="321">
        <f t="shared" si="51"/>
        <v>0</v>
      </c>
      <c r="BT131" s="321">
        <f t="shared" si="51"/>
        <v>0</v>
      </c>
      <c r="BU131" s="321">
        <f t="shared" si="51"/>
        <v>0</v>
      </c>
      <c r="BV131" s="321">
        <f t="shared" si="51"/>
        <v>0</v>
      </c>
      <c r="BW131" s="321">
        <f t="shared" si="51"/>
        <v>0</v>
      </c>
      <c r="BX131" s="321">
        <f t="shared" si="51"/>
        <v>20804532.064816292</v>
      </c>
      <c r="BY131" s="222"/>
      <c r="BZ131" s="222"/>
      <c r="CA131" s="222"/>
      <c r="CB131" s="222"/>
      <c r="CC131" s="222"/>
      <c r="CD131" s="222"/>
      <c r="CE131" s="222"/>
      <c r="CF131" s="222"/>
      <c r="CG131" s="222"/>
      <c r="CH131" s="222"/>
      <c r="CI131" s="222"/>
      <c r="CJ131" s="222"/>
      <c r="CK131" s="222"/>
      <c r="CL131" s="222"/>
      <c r="CM131" s="222"/>
      <c r="CN131" s="222"/>
      <c r="CO131" s="222"/>
      <c r="CP131" s="222"/>
      <c r="CQ131" s="222"/>
      <c r="CR131" s="222"/>
      <c r="CS131" s="222"/>
      <c r="CT131" s="222"/>
      <c r="CU131" s="222"/>
      <c r="CV131" s="222"/>
      <c r="CW131" s="222"/>
      <c r="CX131" s="222"/>
      <c r="CY131" s="222"/>
      <c r="CZ131" s="222"/>
      <c r="DA131" s="222"/>
      <c r="DB131" s="222"/>
      <c r="DC131" s="222"/>
      <c r="DD131" s="222"/>
      <c r="DE131" s="222"/>
      <c r="DF131" s="222"/>
      <c r="DG131" s="222"/>
      <c r="DH131" s="222"/>
      <c r="DI131" s="222"/>
      <c r="DJ131" s="222"/>
      <c r="DK131" s="222"/>
      <c r="DL131" s="222"/>
      <c r="DM131" s="222"/>
      <c r="DN131" s="222"/>
      <c r="DO131" s="222"/>
      <c r="DP131" s="222"/>
      <c r="DQ131" s="222"/>
      <c r="DR131" s="222"/>
      <c r="DS131" s="222"/>
      <c r="DT131" s="222"/>
      <c r="DU131" s="222"/>
      <c r="DV131" s="222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</row>
    <row r="132" spans="1:138">
      <c r="A132" s="222"/>
      <c r="B132" s="318"/>
      <c r="C132" s="314"/>
      <c r="D132" s="322" t="s">
        <v>306</v>
      </c>
      <c r="E132" s="327">
        <f>E131</f>
        <v>0</v>
      </c>
      <c r="F132" s="327">
        <f t="shared" ref="F132:BX132" si="52">E132+F131</f>
        <v>0</v>
      </c>
      <c r="G132" s="327">
        <f t="shared" si="52"/>
        <v>0</v>
      </c>
      <c r="H132" s="327">
        <f t="shared" si="52"/>
        <v>0</v>
      </c>
      <c r="I132" s="327">
        <f t="shared" si="52"/>
        <v>-1000000</v>
      </c>
      <c r="J132" s="327">
        <f t="shared" si="52"/>
        <v>-1000000</v>
      </c>
      <c r="K132" s="327">
        <f t="shared" si="52"/>
        <v>-1000000</v>
      </c>
      <c r="L132" s="327">
        <f t="shared" si="52"/>
        <v>-1000000</v>
      </c>
      <c r="M132" s="327">
        <f t="shared" si="52"/>
        <v>-1000000</v>
      </c>
      <c r="N132" s="327">
        <f t="shared" si="52"/>
        <v>-1000000</v>
      </c>
      <c r="O132" s="327">
        <f t="shared" si="52"/>
        <v>-1000000</v>
      </c>
      <c r="P132" s="327">
        <f t="shared" si="52"/>
        <v>-3100000</v>
      </c>
      <c r="Q132" s="327">
        <f t="shared" si="52"/>
        <v>-3100000</v>
      </c>
      <c r="R132" s="327">
        <f t="shared" si="52"/>
        <v>-3100000</v>
      </c>
      <c r="S132" s="327">
        <f t="shared" si="52"/>
        <v>-3100000</v>
      </c>
      <c r="T132" s="327">
        <f t="shared" si="52"/>
        <v>54211037.702550903</v>
      </c>
      <c r="U132" s="327">
        <f t="shared" si="52"/>
        <v>54211037.702550903</v>
      </c>
      <c r="V132" s="327">
        <f t="shared" si="52"/>
        <v>54211037.702550903</v>
      </c>
      <c r="W132" s="327">
        <f t="shared" si="52"/>
        <v>54211037.702550903</v>
      </c>
      <c r="X132" s="327">
        <f t="shared" si="52"/>
        <v>54211037.702550903</v>
      </c>
      <c r="Y132" s="327">
        <f t="shared" si="52"/>
        <v>54211037.702550903</v>
      </c>
      <c r="Z132" s="327">
        <f t="shared" si="52"/>
        <v>54211037.702550903</v>
      </c>
      <c r="AA132" s="327">
        <f t="shared" si="52"/>
        <v>54211037.702550903</v>
      </c>
      <c r="AB132" s="327">
        <f t="shared" si="52"/>
        <v>54211037.702550903</v>
      </c>
      <c r="AC132" s="327">
        <f t="shared" si="52"/>
        <v>54211037.702550903</v>
      </c>
      <c r="AD132" s="327">
        <f t="shared" si="52"/>
        <v>54211037.702550903</v>
      </c>
      <c r="AE132" s="327">
        <f t="shared" si="52"/>
        <v>54211037.702550903</v>
      </c>
      <c r="AF132" s="327">
        <f t="shared" si="52"/>
        <v>54211037.702550903</v>
      </c>
      <c r="AG132" s="327">
        <f t="shared" si="52"/>
        <v>54211037.702550903</v>
      </c>
      <c r="AH132" s="327">
        <f t="shared" si="52"/>
        <v>54211037.702550903</v>
      </c>
      <c r="AI132" s="327">
        <f t="shared" si="52"/>
        <v>54211037.702550903</v>
      </c>
      <c r="AJ132" s="327">
        <f t="shared" si="52"/>
        <v>54211037.702550903</v>
      </c>
      <c r="AK132" s="327">
        <f t="shared" si="52"/>
        <v>54211037.702550903</v>
      </c>
      <c r="AL132" s="327">
        <f t="shared" si="52"/>
        <v>54211037.702550903</v>
      </c>
      <c r="AM132" s="327">
        <f t="shared" si="52"/>
        <v>54211037.702550903</v>
      </c>
      <c r="AN132" s="327">
        <f t="shared" si="52"/>
        <v>54211037.702550903</v>
      </c>
      <c r="AO132" s="327">
        <f t="shared" si="52"/>
        <v>54211037.702550903</v>
      </c>
      <c r="AP132" s="327">
        <f t="shared" si="52"/>
        <v>54211037.702550903</v>
      </c>
      <c r="AQ132" s="327">
        <f t="shared" si="52"/>
        <v>54211037.702550903</v>
      </c>
      <c r="AR132" s="327">
        <f t="shared" si="52"/>
        <v>54211037.702550903</v>
      </c>
      <c r="AS132" s="327">
        <f t="shared" si="52"/>
        <v>54211037.702550903</v>
      </c>
      <c r="AT132" s="327">
        <f t="shared" si="52"/>
        <v>54211037.702550903</v>
      </c>
      <c r="AU132" s="327">
        <f t="shared" si="52"/>
        <v>54211037.702550903</v>
      </c>
      <c r="AV132" s="327">
        <f t="shared" si="52"/>
        <v>54211037.702550903</v>
      </c>
      <c r="AW132" s="327">
        <f t="shared" si="52"/>
        <v>54211037.702550903</v>
      </c>
      <c r="AX132" s="327">
        <f t="shared" si="52"/>
        <v>54211037.702550903</v>
      </c>
      <c r="AY132" s="327">
        <f t="shared" si="52"/>
        <v>54211037.702550903</v>
      </c>
      <c r="AZ132" s="327">
        <f t="shared" si="52"/>
        <v>54211037.702550903</v>
      </c>
      <c r="BA132" s="327">
        <f t="shared" si="52"/>
        <v>54211037.702550903</v>
      </c>
      <c r="BB132" s="327">
        <f t="shared" si="52"/>
        <v>54211037.702550903</v>
      </c>
      <c r="BC132" s="327">
        <f t="shared" si="52"/>
        <v>54211037.702550903</v>
      </c>
      <c r="BD132" s="327">
        <f t="shared" si="52"/>
        <v>54211037.702550903</v>
      </c>
      <c r="BE132" s="327">
        <f t="shared" si="52"/>
        <v>54211037.702550903</v>
      </c>
      <c r="BF132" s="327">
        <f t="shared" si="52"/>
        <v>54211037.702550903</v>
      </c>
      <c r="BG132" s="327">
        <f t="shared" si="52"/>
        <v>54211037.702550903</v>
      </c>
      <c r="BH132" s="327">
        <f t="shared" si="52"/>
        <v>54211037.702550903</v>
      </c>
      <c r="BI132" s="327">
        <f t="shared" si="52"/>
        <v>54211037.702550903</v>
      </c>
      <c r="BJ132" s="327">
        <f t="shared" si="52"/>
        <v>54211037.702550903</v>
      </c>
      <c r="BK132" s="327">
        <f t="shared" si="52"/>
        <v>54211037.702550903</v>
      </c>
      <c r="BL132" s="327">
        <f t="shared" si="52"/>
        <v>54211037.702550903</v>
      </c>
      <c r="BM132" s="327">
        <f t="shared" si="52"/>
        <v>54211037.702550903</v>
      </c>
      <c r="BN132" s="327">
        <f t="shared" si="52"/>
        <v>54211037.702550903</v>
      </c>
      <c r="BO132" s="327">
        <f t="shared" si="52"/>
        <v>54211037.702550903</v>
      </c>
      <c r="BP132" s="327">
        <f t="shared" si="52"/>
        <v>54211037.702550903</v>
      </c>
      <c r="BQ132" s="327">
        <f t="shared" si="52"/>
        <v>54211037.702550903</v>
      </c>
      <c r="BR132" s="327">
        <f t="shared" si="52"/>
        <v>54211037.702550903</v>
      </c>
      <c r="BS132" s="327">
        <f t="shared" si="52"/>
        <v>54211037.702550903</v>
      </c>
      <c r="BT132" s="327">
        <f t="shared" si="52"/>
        <v>54211037.702550903</v>
      </c>
      <c r="BU132" s="327">
        <f t="shared" si="52"/>
        <v>54211037.702550903</v>
      </c>
      <c r="BV132" s="327">
        <f t="shared" si="52"/>
        <v>54211037.702550903</v>
      </c>
      <c r="BW132" s="327">
        <f t="shared" si="52"/>
        <v>54211037.702550903</v>
      </c>
      <c r="BX132" s="327">
        <f t="shared" si="52"/>
        <v>75015569.767367199</v>
      </c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2"/>
      <c r="DL132" s="222"/>
      <c r="DM132" s="222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</row>
    <row r="133" spans="1:138">
      <c r="A133" s="222"/>
      <c r="B133" s="318"/>
      <c r="C133" s="313" t="s">
        <v>292</v>
      </c>
      <c r="D133" s="322">
        <f>IRR(E131:BX131)*12</f>
        <v>5.0836519071654589</v>
      </c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22"/>
      <c r="AD133" s="222"/>
      <c r="AE133" s="222"/>
      <c r="AF133" s="222"/>
      <c r="AG133" s="222"/>
      <c r="AH133" s="222"/>
      <c r="AI133" s="222"/>
      <c r="AJ133" s="222"/>
      <c r="AK133" s="222"/>
      <c r="AL133" s="222"/>
      <c r="AM133" s="222"/>
      <c r="AN133" s="222"/>
      <c r="AO133" s="222"/>
      <c r="AP133" s="222"/>
      <c r="AQ133" s="222"/>
      <c r="AR133" s="222"/>
      <c r="AS133" s="222"/>
      <c r="AT133" s="222"/>
      <c r="AU133" s="222"/>
      <c r="AV133" s="222"/>
      <c r="AW133" s="222"/>
      <c r="AX133" s="222"/>
      <c r="AY133" s="222"/>
      <c r="AZ133" s="222"/>
      <c r="BA133" s="222"/>
      <c r="BB133" s="222"/>
      <c r="BC133" s="222"/>
      <c r="BD133" s="222"/>
      <c r="BE133" s="222"/>
      <c r="BF133" s="222"/>
      <c r="BG133" s="222"/>
      <c r="BH133" s="222"/>
      <c r="BI133" s="222"/>
      <c r="BJ133" s="222"/>
      <c r="BK133" s="222"/>
      <c r="BL133" s="222"/>
      <c r="BM133" s="222"/>
      <c r="BN133" s="222"/>
      <c r="BO133" s="222"/>
      <c r="BP133" s="222"/>
      <c r="BQ133" s="222"/>
      <c r="BR133" s="222"/>
      <c r="BS133" s="222"/>
      <c r="BT133" s="222"/>
      <c r="BU133" s="222"/>
      <c r="BV133" s="222"/>
      <c r="BW133" s="222"/>
      <c r="BX133" s="222"/>
      <c r="BY133" s="222"/>
      <c r="BZ133" s="222"/>
      <c r="CA133" s="222"/>
      <c r="CB133" s="222"/>
      <c r="CC133" s="222"/>
      <c r="CD133" s="222"/>
      <c r="CE133" s="222"/>
      <c r="CF133" s="222"/>
      <c r="CG133" s="222"/>
      <c r="CH133" s="222"/>
      <c r="CI133" s="222"/>
      <c r="CJ133" s="222"/>
      <c r="CK133" s="222"/>
      <c r="CL133" s="222"/>
      <c r="CM133" s="222"/>
      <c r="CN133" s="222"/>
      <c r="CO133" s="222"/>
      <c r="CP133" s="222"/>
      <c r="CQ133" s="222"/>
      <c r="CR133" s="222"/>
      <c r="CS133" s="222"/>
      <c r="CT133" s="222"/>
      <c r="CU133" s="222"/>
      <c r="CV133" s="222"/>
      <c r="CW133" s="222"/>
      <c r="CX133" s="222"/>
      <c r="CY133" s="222"/>
      <c r="CZ133" s="222"/>
      <c r="DA133" s="222"/>
      <c r="DB133" s="222"/>
      <c r="DC133" s="222"/>
      <c r="DD133" s="222"/>
      <c r="DE133" s="222"/>
      <c r="DF133" s="222"/>
      <c r="DG133" s="222"/>
      <c r="DH133" s="222"/>
      <c r="DI133" s="222"/>
      <c r="DJ133" s="222"/>
      <c r="DK133" s="222"/>
      <c r="DL133" s="222"/>
      <c r="DM133" s="222"/>
      <c r="DN133" s="222"/>
      <c r="DO133" s="222"/>
      <c r="DP133" s="222"/>
      <c r="DQ133" s="222"/>
      <c r="DR133" s="222"/>
      <c r="DS133" s="222"/>
      <c r="DT133" s="222"/>
      <c r="DU133" s="222"/>
      <c r="DV133" s="222"/>
      <c r="DW133" s="325"/>
      <c r="DX133" s="325"/>
      <c r="DY133" s="325"/>
      <c r="DZ133" s="325"/>
      <c r="EA133" s="325"/>
      <c r="EB133" s="325"/>
      <c r="EC133" s="325"/>
      <c r="ED133" s="325"/>
      <c r="EE133" s="325"/>
      <c r="EF133" s="325"/>
      <c r="EG133" s="325"/>
      <c r="EH133" s="325"/>
    </row>
    <row r="134" spans="1:138">
      <c r="A134" s="222"/>
      <c r="B134" s="318"/>
      <c r="C134" s="323" t="s">
        <v>300</v>
      </c>
      <c r="D134" s="324">
        <f>BY6</f>
        <v>3100000</v>
      </c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222"/>
      <c r="AF134" s="222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2"/>
      <c r="BN134" s="222"/>
      <c r="BO134" s="222"/>
      <c r="BP134" s="222"/>
      <c r="BQ134" s="222"/>
      <c r="BR134" s="222"/>
      <c r="BS134" s="222"/>
      <c r="BT134" s="222"/>
      <c r="BU134" s="222"/>
      <c r="BV134" s="222"/>
      <c r="BW134" s="222"/>
      <c r="BX134" s="222"/>
      <c r="BY134" s="222"/>
      <c r="BZ134" s="222"/>
      <c r="CA134" s="222"/>
      <c r="CB134" s="222"/>
      <c r="CC134" s="222"/>
      <c r="CD134" s="222"/>
      <c r="CE134" s="222"/>
      <c r="CF134" s="222"/>
      <c r="CG134" s="222"/>
      <c r="CH134" s="222"/>
      <c r="CI134" s="222"/>
      <c r="CJ134" s="222"/>
      <c r="CK134" s="222"/>
      <c r="CL134" s="222"/>
      <c r="CM134" s="222"/>
      <c r="CN134" s="222"/>
      <c r="CO134" s="222"/>
      <c r="CP134" s="222"/>
      <c r="CQ134" s="222"/>
      <c r="CR134" s="222"/>
      <c r="CS134" s="222"/>
      <c r="CT134" s="222"/>
      <c r="CU134" s="222"/>
      <c r="CV134" s="222"/>
      <c r="CW134" s="222"/>
      <c r="CX134" s="222"/>
      <c r="CY134" s="222"/>
      <c r="CZ134" s="222"/>
      <c r="DA134" s="222"/>
      <c r="DB134" s="222"/>
      <c r="DC134" s="222"/>
      <c r="DD134" s="222"/>
      <c r="DE134" s="222"/>
      <c r="DF134" s="222"/>
      <c r="DG134" s="222"/>
      <c r="DH134" s="222"/>
      <c r="DI134" s="222"/>
      <c r="DJ134" s="222"/>
      <c r="DK134" s="222"/>
      <c r="DL134" s="222"/>
      <c r="DM134" s="222"/>
      <c r="DN134" s="222"/>
      <c r="DO134" s="222"/>
      <c r="DP134" s="222"/>
      <c r="DQ134" s="222"/>
      <c r="DR134" s="222"/>
      <c r="DS134" s="222"/>
      <c r="DT134" s="222"/>
      <c r="DU134" s="222"/>
      <c r="DV134" s="222"/>
      <c r="DW134" s="325"/>
      <c r="DX134" s="325"/>
      <c r="DY134" s="325"/>
      <c r="DZ134" s="325"/>
      <c r="EA134" s="325"/>
      <c r="EB134" s="325"/>
      <c r="EC134" s="325"/>
      <c r="ED134" s="325"/>
      <c r="EE134" s="325"/>
      <c r="EF134" s="325"/>
      <c r="EG134" s="325"/>
      <c r="EH134" s="325"/>
    </row>
    <row r="135" spans="1:138">
      <c r="A135" s="222"/>
      <c r="B135" s="318"/>
      <c r="C135" s="323" t="s">
        <v>301</v>
      </c>
      <c r="D135" s="324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222"/>
      <c r="AF135" s="222"/>
      <c r="AG135" s="222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2"/>
      <c r="BN135" s="222"/>
      <c r="BO135" s="222"/>
      <c r="BP135" s="222"/>
      <c r="BQ135" s="222"/>
      <c r="BR135" s="222"/>
      <c r="BS135" s="222"/>
      <c r="BT135" s="222"/>
      <c r="BU135" s="222"/>
      <c r="BV135" s="222"/>
      <c r="BW135" s="222"/>
      <c r="BX135" s="222"/>
      <c r="BY135" s="222"/>
      <c r="BZ135" s="222"/>
      <c r="CA135" s="222"/>
      <c r="CB135" s="222"/>
      <c r="CC135" s="222"/>
      <c r="CD135" s="222"/>
      <c r="CE135" s="222"/>
      <c r="CF135" s="222"/>
      <c r="CG135" s="222"/>
      <c r="CH135" s="222"/>
      <c r="CI135" s="222"/>
      <c r="CJ135" s="222"/>
      <c r="CK135" s="222"/>
      <c r="CL135" s="222"/>
      <c r="CM135" s="222"/>
      <c r="CN135" s="222"/>
      <c r="CO135" s="222"/>
      <c r="CP135" s="222"/>
      <c r="CQ135" s="222"/>
      <c r="CR135" s="222"/>
      <c r="CS135" s="222"/>
      <c r="CT135" s="222"/>
      <c r="CU135" s="222"/>
      <c r="CV135" s="222"/>
      <c r="CW135" s="222"/>
      <c r="CX135" s="222"/>
      <c r="CY135" s="222"/>
      <c r="CZ135" s="222"/>
      <c r="DA135" s="222"/>
      <c r="DB135" s="222"/>
      <c r="DC135" s="222"/>
      <c r="DD135" s="222"/>
      <c r="DE135" s="222"/>
      <c r="DF135" s="222"/>
      <c r="DG135" s="222"/>
      <c r="DH135" s="222"/>
      <c r="DI135" s="222"/>
      <c r="DJ135" s="222"/>
      <c r="DK135" s="222"/>
      <c r="DL135" s="222"/>
      <c r="DM135" s="222"/>
      <c r="DN135" s="222"/>
      <c r="DO135" s="222"/>
      <c r="DP135" s="222"/>
      <c r="DQ135" s="222"/>
      <c r="DR135" s="222"/>
      <c r="DS135" s="222"/>
      <c r="DT135" s="222"/>
      <c r="DU135" s="222"/>
      <c r="DV135" s="222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</row>
    <row r="136" spans="1:138">
      <c r="A136" s="222"/>
      <c r="B136" s="318"/>
      <c r="C136" s="313" t="s">
        <v>302</v>
      </c>
      <c r="D136" s="326">
        <f>D135+D134</f>
        <v>3100000</v>
      </c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22"/>
      <c r="AD136" s="222"/>
      <c r="AE136" s="222"/>
      <c r="AF136" s="222"/>
      <c r="AG136" s="222"/>
      <c r="AH136" s="222"/>
      <c r="AI136" s="222"/>
      <c r="AJ136" s="222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2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2"/>
      <c r="BK136" s="222"/>
      <c r="BL136" s="222"/>
      <c r="BM136" s="222"/>
      <c r="BN136" s="222"/>
      <c r="BO136" s="222"/>
      <c r="BP136" s="222"/>
      <c r="BQ136" s="222"/>
      <c r="BR136" s="222"/>
      <c r="BS136" s="222"/>
      <c r="BT136" s="222"/>
      <c r="BU136" s="222"/>
      <c r="BV136" s="222"/>
      <c r="BW136" s="222"/>
      <c r="BX136" s="222"/>
      <c r="BY136" s="222"/>
      <c r="BZ136" s="222"/>
      <c r="CA136" s="222"/>
      <c r="CB136" s="222"/>
      <c r="CC136" s="222"/>
      <c r="CD136" s="222"/>
      <c r="CE136" s="222"/>
      <c r="CF136" s="222"/>
      <c r="CG136" s="222"/>
      <c r="CH136" s="222"/>
      <c r="CI136" s="222"/>
      <c r="CJ136" s="222"/>
      <c r="CK136" s="222"/>
      <c r="CL136" s="222"/>
      <c r="CM136" s="222"/>
      <c r="CN136" s="222"/>
      <c r="CO136" s="222"/>
      <c r="CP136" s="222"/>
      <c r="CQ136" s="222"/>
      <c r="CR136" s="222"/>
      <c r="CS136" s="222"/>
      <c r="CT136" s="222"/>
      <c r="CU136" s="222"/>
      <c r="CV136" s="222"/>
      <c r="CW136" s="222"/>
      <c r="CX136" s="222"/>
      <c r="CY136" s="222"/>
      <c r="CZ136" s="222"/>
      <c r="DA136" s="222"/>
      <c r="DB136" s="222"/>
      <c r="DC136" s="222"/>
      <c r="DD136" s="222"/>
      <c r="DE136" s="222"/>
      <c r="DF136" s="222"/>
      <c r="DG136" s="222"/>
      <c r="DH136" s="222"/>
      <c r="DI136" s="222"/>
      <c r="DJ136" s="222"/>
      <c r="DK136" s="222"/>
      <c r="DL136" s="222"/>
      <c r="DM136" s="222"/>
      <c r="DN136" s="222"/>
      <c r="DO136" s="222"/>
      <c r="DP136" s="222"/>
      <c r="DQ136" s="222"/>
      <c r="DR136" s="222"/>
      <c r="DS136" s="222"/>
      <c r="DT136" s="222"/>
      <c r="DU136" s="222"/>
      <c r="DV136" s="222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</row>
    <row r="137" spans="1:138">
      <c r="A137" s="222"/>
      <c r="B137" s="318"/>
      <c r="C137" s="313" t="s">
        <v>303</v>
      </c>
      <c r="D137" s="326">
        <f>T130+T128</f>
        <v>54211037.702550903</v>
      </c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2"/>
      <c r="BN137" s="222"/>
      <c r="BO137" s="222"/>
      <c r="BP137" s="222"/>
      <c r="BQ137" s="222"/>
      <c r="BR137" s="222"/>
      <c r="BS137" s="222"/>
      <c r="BT137" s="222"/>
      <c r="BU137" s="222"/>
      <c r="BV137" s="222"/>
      <c r="BW137" s="222"/>
      <c r="BX137" s="222"/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2"/>
      <c r="CV137" s="222"/>
      <c r="CW137" s="222"/>
      <c r="CX137" s="222"/>
      <c r="CY137" s="222"/>
      <c r="CZ137" s="222"/>
      <c r="DA137" s="222"/>
      <c r="DB137" s="222"/>
      <c r="DC137" s="222"/>
      <c r="DD137" s="222"/>
      <c r="DE137" s="222"/>
      <c r="DF137" s="222"/>
      <c r="DG137" s="222"/>
      <c r="DH137" s="222"/>
      <c r="DI137" s="222"/>
      <c r="DJ137" s="222"/>
      <c r="DK137" s="222"/>
      <c r="DL137" s="222"/>
      <c r="DM137" s="222"/>
      <c r="DN137" s="222"/>
      <c r="DO137" s="222"/>
      <c r="DP137" s="222"/>
      <c r="DQ137" s="222"/>
      <c r="DR137" s="222"/>
      <c r="DS137" s="222"/>
      <c r="DT137" s="222"/>
      <c r="DU137" s="222"/>
      <c r="DV137" s="222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</row>
    <row r="138" spans="1:138">
      <c r="A138" s="222"/>
      <c r="B138" s="318"/>
      <c r="C138" s="313" t="s">
        <v>147</v>
      </c>
      <c r="D138" s="322">
        <f>(D137-D135)/D136</f>
        <v>17.487431516951904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  <c r="BQ138" s="22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22"/>
      <c r="CO138" s="222"/>
      <c r="CP138" s="222"/>
      <c r="CQ138" s="222"/>
      <c r="CR138" s="222"/>
      <c r="CS138" s="222"/>
      <c r="CT138" s="222"/>
      <c r="CU138" s="222"/>
      <c r="CV138" s="222"/>
      <c r="CW138" s="222"/>
      <c r="CX138" s="222"/>
      <c r="CY138" s="222"/>
      <c r="CZ138" s="222"/>
      <c r="DA138" s="222"/>
      <c r="DB138" s="222"/>
      <c r="DC138" s="222"/>
      <c r="DD138" s="222"/>
      <c r="DE138" s="222"/>
      <c r="DF138" s="222"/>
      <c r="DG138" s="222"/>
      <c r="DH138" s="222"/>
      <c r="DI138" s="222"/>
      <c r="DJ138" s="222"/>
      <c r="DK138" s="222"/>
      <c r="DL138" s="222"/>
      <c r="DM138" s="222"/>
      <c r="DN138" s="222"/>
      <c r="DO138" s="222"/>
      <c r="DP138" s="222"/>
      <c r="DQ138" s="222"/>
      <c r="DR138" s="222"/>
      <c r="DS138" s="222"/>
      <c r="DT138" s="222"/>
      <c r="DU138" s="222"/>
      <c r="DV138" s="222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</row>
    <row r="139" spans="1:138">
      <c r="A139" s="222"/>
      <c r="B139" s="318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  <c r="BQ139" s="22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22"/>
      <c r="CO139" s="222"/>
      <c r="CP139" s="222"/>
      <c r="CQ139" s="222"/>
      <c r="CR139" s="222"/>
      <c r="CS139" s="222"/>
      <c r="CT139" s="222"/>
      <c r="CU139" s="222"/>
      <c r="CV139" s="222"/>
      <c r="CW139" s="222"/>
      <c r="CX139" s="222"/>
      <c r="CY139" s="222"/>
      <c r="CZ139" s="222"/>
      <c r="DA139" s="222"/>
      <c r="DB139" s="222"/>
      <c r="DC139" s="222"/>
      <c r="DD139" s="222"/>
      <c r="DE139" s="222"/>
      <c r="DF139" s="222"/>
      <c r="DG139" s="222"/>
      <c r="DH139" s="222"/>
      <c r="DI139" s="222"/>
      <c r="DJ139" s="222"/>
      <c r="DK139" s="222"/>
      <c r="DL139" s="222"/>
      <c r="DM139" s="222"/>
      <c r="DN139" s="222"/>
      <c r="DO139" s="222"/>
      <c r="DP139" s="222"/>
      <c r="DQ139" s="222"/>
      <c r="DR139" s="222"/>
      <c r="DS139" s="222"/>
      <c r="DT139" s="222"/>
      <c r="DU139" s="222"/>
      <c r="DV139" s="222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</row>
    <row r="140" spans="1:138">
      <c r="A140" s="222"/>
      <c r="B140" s="318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  <c r="BQ140" s="22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22"/>
      <c r="CO140" s="222"/>
      <c r="CP140" s="222"/>
      <c r="CQ140" s="222"/>
      <c r="CR140" s="222"/>
      <c r="CS140" s="222"/>
      <c r="CT140" s="222"/>
      <c r="CU140" s="222"/>
      <c r="CV140" s="222"/>
      <c r="CW140" s="222"/>
      <c r="CX140" s="222"/>
      <c r="CY140" s="222"/>
      <c r="CZ140" s="222"/>
      <c r="DA140" s="222"/>
      <c r="DB140" s="222"/>
      <c r="DC140" s="222"/>
      <c r="DD140" s="222"/>
      <c r="DE140" s="222"/>
      <c r="DF140" s="222"/>
      <c r="DG140" s="222"/>
      <c r="DH140" s="222"/>
      <c r="DI140" s="222"/>
      <c r="DJ140" s="222"/>
      <c r="DK140" s="222"/>
      <c r="DL140" s="222"/>
      <c r="DM140" s="222"/>
      <c r="DN140" s="222"/>
      <c r="DO140" s="222"/>
      <c r="DP140" s="222"/>
      <c r="DQ140" s="222"/>
      <c r="DR140" s="222"/>
      <c r="DS140" s="222"/>
      <c r="DT140" s="222"/>
      <c r="DU140" s="222"/>
      <c r="DV140" s="222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</row>
    <row r="141" spans="1:138">
      <c r="A141" s="222"/>
      <c r="B141" s="318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  <c r="BQ141" s="22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22"/>
      <c r="CO141" s="222"/>
      <c r="CP141" s="222"/>
      <c r="CQ141" s="222"/>
      <c r="CR141" s="222"/>
      <c r="CS141" s="222"/>
      <c r="CT141" s="222"/>
      <c r="CU141" s="222"/>
      <c r="CV141" s="222"/>
      <c r="CW141" s="222"/>
      <c r="CX141" s="222"/>
      <c r="CY141" s="222"/>
      <c r="CZ141" s="222"/>
      <c r="DA141" s="222"/>
      <c r="DB141" s="222"/>
      <c r="DC141" s="222"/>
      <c r="DD141" s="222"/>
      <c r="DE141" s="222"/>
      <c r="DF141" s="222"/>
      <c r="DG141" s="222"/>
      <c r="DH141" s="222"/>
      <c r="DI141" s="222"/>
      <c r="DJ141" s="222"/>
      <c r="DK141" s="222"/>
      <c r="DL141" s="222"/>
      <c r="DM141" s="222"/>
      <c r="DN141" s="222"/>
      <c r="DO141" s="222"/>
      <c r="DP141" s="222"/>
      <c r="DQ141" s="222"/>
      <c r="DR141" s="222"/>
      <c r="DS141" s="222"/>
      <c r="DT141" s="222"/>
      <c r="DU141" s="222"/>
      <c r="DV141" s="222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</row>
    <row r="142" spans="1:138">
      <c r="A142" s="222"/>
      <c r="B142" s="318"/>
      <c r="C142" s="310" t="s">
        <v>307</v>
      </c>
      <c r="D142" s="311"/>
      <c r="E142" s="312">
        <f t="shared" ref="E142:G142" si="53">-(E22+E106)</f>
        <v>0</v>
      </c>
      <c r="F142" s="312">
        <f t="shared" si="53"/>
        <v>0</v>
      </c>
      <c r="G142" s="312">
        <f t="shared" si="53"/>
        <v>0</v>
      </c>
      <c r="H142" s="312">
        <f>-10682501</f>
        <v>-10682501</v>
      </c>
      <c r="I142" s="312">
        <v>0</v>
      </c>
      <c r="J142" s="312">
        <f>-(J22+J106)</f>
        <v>0</v>
      </c>
      <c r="K142" s="312">
        <v>0</v>
      </c>
      <c r="L142" s="312">
        <f t="shared" ref="L142:S142" si="54">-(L22+L106)</f>
        <v>0</v>
      </c>
      <c r="M142" s="312">
        <f t="shared" si="54"/>
        <v>0</v>
      </c>
      <c r="N142" s="312">
        <f t="shared" si="54"/>
        <v>0</v>
      </c>
      <c r="O142" s="312">
        <f t="shared" si="54"/>
        <v>0</v>
      </c>
      <c r="P142" s="312">
        <f t="shared" si="54"/>
        <v>0</v>
      </c>
      <c r="Q142" s="312">
        <f t="shared" si="54"/>
        <v>0</v>
      </c>
      <c r="R142" s="312">
        <f t="shared" si="54"/>
        <v>0</v>
      </c>
      <c r="S142" s="312">
        <f t="shared" si="54"/>
        <v>0</v>
      </c>
      <c r="T142" s="312">
        <f>-H142</f>
        <v>10682501</v>
      </c>
      <c r="U142" s="312">
        <f t="shared" ref="U142:BX142" si="55">-(U22+U106)</f>
        <v>0</v>
      </c>
      <c r="V142" s="312">
        <f t="shared" si="55"/>
        <v>0</v>
      </c>
      <c r="W142" s="312">
        <f t="shared" si="55"/>
        <v>0</v>
      </c>
      <c r="X142" s="312">
        <f t="shared" si="55"/>
        <v>0</v>
      </c>
      <c r="Y142" s="312">
        <f t="shared" si="55"/>
        <v>0</v>
      </c>
      <c r="Z142" s="312">
        <f t="shared" si="55"/>
        <v>0</v>
      </c>
      <c r="AA142" s="312">
        <f t="shared" si="55"/>
        <v>0</v>
      </c>
      <c r="AB142" s="312">
        <f t="shared" si="55"/>
        <v>0</v>
      </c>
      <c r="AC142" s="312">
        <f t="shared" si="55"/>
        <v>0</v>
      </c>
      <c r="AD142" s="312">
        <f t="shared" si="55"/>
        <v>0</v>
      </c>
      <c r="AE142" s="312">
        <f t="shared" si="55"/>
        <v>0</v>
      </c>
      <c r="AF142" s="312">
        <f t="shared" si="55"/>
        <v>0</v>
      </c>
      <c r="AG142" s="312">
        <f t="shared" si="55"/>
        <v>0</v>
      </c>
      <c r="AH142" s="312">
        <f t="shared" si="55"/>
        <v>0</v>
      </c>
      <c r="AI142" s="312">
        <f t="shared" si="55"/>
        <v>0</v>
      </c>
      <c r="AJ142" s="312">
        <f t="shared" si="55"/>
        <v>0</v>
      </c>
      <c r="AK142" s="312">
        <f t="shared" si="55"/>
        <v>0</v>
      </c>
      <c r="AL142" s="312">
        <f t="shared" si="55"/>
        <v>0</v>
      </c>
      <c r="AM142" s="312">
        <f t="shared" si="55"/>
        <v>0</v>
      </c>
      <c r="AN142" s="312">
        <f t="shared" si="55"/>
        <v>0</v>
      </c>
      <c r="AO142" s="312">
        <f t="shared" si="55"/>
        <v>0</v>
      </c>
      <c r="AP142" s="312">
        <f t="shared" si="55"/>
        <v>0</v>
      </c>
      <c r="AQ142" s="312">
        <f t="shared" si="55"/>
        <v>0</v>
      </c>
      <c r="AR142" s="312">
        <f t="shared" si="55"/>
        <v>0</v>
      </c>
      <c r="AS142" s="312">
        <f t="shared" si="55"/>
        <v>0</v>
      </c>
      <c r="AT142" s="312">
        <f t="shared" si="55"/>
        <v>0</v>
      </c>
      <c r="AU142" s="312">
        <f t="shared" si="55"/>
        <v>0</v>
      </c>
      <c r="AV142" s="312">
        <f t="shared" si="55"/>
        <v>0</v>
      </c>
      <c r="AW142" s="312">
        <f t="shared" si="55"/>
        <v>0</v>
      </c>
      <c r="AX142" s="312">
        <f t="shared" si="55"/>
        <v>0</v>
      </c>
      <c r="AY142" s="312">
        <f t="shared" si="55"/>
        <v>0</v>
      </c>
      <c r="AZ142" s="312">
        <f t="shared" si="55"/>
        <v>0</v>
      </c>
      <c r="BA142" s="312">
        <f t="shared" si="55"/>
        <v>0</v>
      </c>
      <c r="BB142" s="312">
        <f t="shared" si="55"/>
        <v>0</v>
      </c>
      <c r="BC142" s="312">
        <f t="shared" si="55"/>
        <v>0</v>
      </c>
      <c r="BD142" s="312">
        <f t="shared" si="55"/>
        <v>0</v>
      </c>
      <c r="BE142" s="312">
        <f t="shared" si="55"/>
        <v>0</v>
      </c>
      <c r="BF142" s="312">
        <f t="shared" si="55"/>
        <v>0</v>
      </c>
      <c r="BG142" s="312">
        <f t="shared" si="55"/>
        <v>0</v>
      </c>
      <c r="BH142" s="312">
        <f t="shared" si="55"/>
        <v>0</v>
      </c>
      <c r="BI142" s="312">
        <f t="shared" si="55"/>
        <v>0</v>
      </c>
      <c r="BJ142" s="312">
        <f t="shared" si="55"/>
        <v>0</v>
      </c>
      <c r="BK142" s="312">
        <f t="shared" si="55"/>
        <v>0</v>
      </c>
      <c r="BL142" s="312">
        <f t="shared" si="55"/>
        <v>0</v>
      </c>
      <c r="BM142" s="312">
        <f t="shared" si="55"/>
        <v>0</v>
      </c>
      <c r="BN142" s="312">
        <f t="shared" si="55"/>
        <v>0</v>
      </c>
      <c r="BO142" s="312">
        <f t="shared" si="55"/>
        <v>0</v>
      </c>
      <c r="BP142" s="312">
        <f t="shared" si="55"/>
        <v>0</v>
      </c>
      <c r="BQ142" s="312">
        <f t="shared" si="55"/>
        <v>0</v>
      </c>
      <c r="BR142" s="312">
        <f t="shared" si="55"/>
        <v>0</v>
      </c>
      <c r="BS142" s="312">
        <f t="shared" si="55"/>
        <v>0</v>
      </c>
      <c r="BT142" s="312">
        <f t="shared" si="55"/>
        <v>0</v>
      </c>
      <c r="BU142" s="312">
        <f t="shared" si="55"/>
        <v>0</v>
      </c>
      <c r="BV142" s="312">
        <f t="shared" si="55"/>
        <v>0</v>
      </c>
      <c r="BW142" s="312">
        <f t="shared" si="55"/>
        <v>0</v>
      </c>
      <c r="BX142" s="312">
        <f t="shared" si="55"/>
        <v>-13002832.540510181</v>
      </c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2"/>
      <c r="CV142" s="222"/>
      <c r="CW142" s="222"/>
      <c r="CX142" s="222"/>
      <c r="CY142" s="222"/>
      <c r="CZ142" s="222"/>
      <c r="DA142" s="222"/>
      <c r="DB142" s="222"/>
      <c r="DC142" s="222"/>
      <c r="DD142" s="222"/>
      <c r="DE142" s="222"/>
      <c r="DF142" s="222"/>
      <c r="DG142" s="222"/>
      <c r="DH142" s="222"/>
      <c r="DI142" s="222"/>
      <c r="DJ142" s="222"/>
      <c r="DK142" s="222"/>
      <c r="DL142" s="222"/>
      <c r="DM142" s="222"/>
      <c r="DN142" s="222"/>
      <c r="DO142" s="222"/>
      <c r="DP142" s="222"/>
      <c r="DQ142" s="222"/>
      <c r="DR142" s="222"/>
      <c r="DS142" s="222"/>
      <c r="DT142" s="222"/>
      <c r="DU142" s="222"/>
      <c r="DV142" s="222"/>
      <c r="DW142" s="222"/>
      <c r="DX142" s="222"/>
      <c r="DY142" s="222"/>
      <c r="DZ142" s="222"/>
      <c r="EA142" s="222"/>
      <c r="EB142" s="222"/>
      <c r="EC142" s="222"/>
      <c r="ED142" s="222"/>
      <c r="EE142" s="222"/>
      <c r="EF142" s="222"/>
      <c r="EG142" s="222"/>
      <c r="EH142" s="222"/>
    </row>
    <row r="143" spans="1:138">
      <c r="A143" s="222"/>
      <c r="B143" s="318"/>
      <c r="C143" s="310" t="s">
        <v>305</v>
      </c>
      <c r="D143" s="319"/>
      <c r="E143" s="311"/>
      <c r="F143" s="311"/>
      <c r="G143" s="311"/>
      <c r="H143" s="311"/>
      <c r="I143" s="311"/>
      <c r="J143" s="311"/>
      <c r="K143" s="311"/>
      <c r="L143" s="311"/>
      <c r="M143" s="311"/>
      <c r="N143" s="311"/>
      <c r="O143" s="311"/>
      <c r="P143" s="311"/>
      <c r="Q143" s="311"/>
      <c r="R143" s="311"/>
      <c r="S143" s="311"/>
      <c r="T143" s="311"/>
      <c r="U143" s="311"/>
      <c r="V143" s="311"/>
      <c r="W143" s="311"/>
      <c r="X143" s="311"/>
      <c r="Y143" s="311"/>
      <c r="Z143" s="311"/>
      <c r="AA143" s="311"/>
      <c r="AB143" s="311"/>
      <c r="AC143" s="311"/>
      <c r="AD143" s="311"/>
      <c r="AE143" s="311"/>
      <c r="AF143" s="311"/>
      <c r="AG143" s="311"/>
      <c r="AH143" s="311"/>
      <c r="AI143" s="311"/>
      <c r="AJ143" s="311"/>
      <c r="AK143" s="311"/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1"/>
      <c r="AZ143" s="311"/>
      <c r="BA143" s="311"/>
      <c r="BB143" s="311"/>
      <c r="BC143" s="312"/>
      <c r="BD143" s="311"/>
      <c r="BE143" s="311"/>
      <c r="BF143" s="311"/>
      <c r="BG143" s="311"/>
      <c r="BH143" s="311"/>
      <c r="BI143" s="311"/>
      <c r="BJ143" s="311"/>
      <c r="BK143" s="311"/>
      <c r="BL143" s="311"/>
      <c r="BM143" s="311"/>
      <c r="BN143" s="311"/>
      <c r="BO143" s="311"/>
      <c r="BP143" s="311"/>
      <c r="BQ143" s="311"/>
      <c r="BR143" s="311"/>
      <c r="BS143" s="311"/>
      <c r="BT143" s="311"/>
      <c r="BU143" s="311"/>
      <c r="BV143" s="311"/>
      <c r="BW143" s="311"/>
      <c r="BX143" s="311"/>
      <c r="BY143" s="307"/>
      <c r="BZ143" s="307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22"/>
      <c r="CL143" s="222"/>
      <c r="CM143" s="222"/>
      <c r="CN143" s="222"/>
      <c r="CO143" s="222"/>
      <c r="CP143" s="222"/>
      <c r="CQ143" s="222"/>
      <c r="CR143" s="222"/>
      <c r="CS143" s="222"/>
      <c r="CT143" s="222"/>
      <c r="CU143" s="222"/>
      <c r="CV143" s="222"/>
      <c r="CW143" s="222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2"/>
      <c r="DI143" s="222"/>
      <c r="DJ143" s="222"/>
      <c r="DK143" s="222"/>
      <c r="DL143" s="222"/>
      <c r="DM143" s="222"/>
      <c r="DN143" s="222"/>
      <c r="DO143" s="222"/>
      <c r="DP143" s="222"/>
      <c r="DQ143" s="222"/>
      <c r="DR143" s="222"/>
      <c r="DS143" s="222"/>
      <c r="DT143" s="222"/>
      <c r="DU143" s="222"/>
      <c r="DV143" s="222"/>
      <c r="DW143" s="222"/>
      <c r="DX143" s="222"/>
      <c r="DY143" s="222"/>
      <c r="DZ143" s="222"/>
      <c r="EA143" s="222"/>
      <c r="EB143" s="222"/>
      <c r="EC143" s="222"/>
      <c r="ED143" s="222"/>
      <c r="EE143" s="222"/>
      <c r="EF143" s="222"/>
      <c r="EG143" s="222"/>
      <c r="EH143" s="222"/>
    </row>
    <row r="144" spans="1:138">
      <c r="A144" s="222"/>
      <c r="B144" s="318"/>
      <c r="C144" s="310" t="s">
        <v>296</v>
      </c>
      <c r="D144" s="319"/>
      <c r="E144" s="311">
        <f t="shared" ref="E144:BX144" si="56">-E71</f>
        <v>0</v>
      </c>
      <c r="F144" s="311">
        <f t="shared" si="56"/>
        <v>0</v>
      </c>
      <c r="G144" s="311">
        <f t="shared" si="56"/>
        <v>0</v>
      </c>
      <c r="H144" s="311">
        <f t="shared" si="56"/>
        <v>0</v>
      </c>
      <c r="I144" s="311">
        <f t="shared" si="56"/>
        <v>0</v>
      </c>
      <c r="J144" s="311">
        <f t="shared" si="56"/>
        <v>0</v>
      </c>
      <c r="K144" s="311">
        <f t="shared" si="56"/>
        <v>0</v>
      </c>
      <c r="L144" s="311">
        <f t="shared" si="56"/>
        <v>0</v>
      </c>
      <c r="M144" s="311">
        <f t="shared" si="56"/>
        <v>0</v>
      </c>
      <c r="N144" s="311">
        <f t="shared" si="56"/>
        <v>0</v>
      </c>
      <c r="O144" s="311">
        <f t="shared" si="56"/>
        <v>0</v>
      </c>
      <c r="P144" s="311">
        <f t="shared" si="56"/>
        <v>0</v>
      </c>
      <c r="Q144" s="311">
        <f t="shared" si="56"/>
        <v>0</v>
      </c>
      <c r="R144" s="311">
        <f t="shared" si="56"/>
        <v>0</v>
      </c>
      <c r="S144" s="311">
        <f t="shared" si="56"/>
        <v>0</v>
      </c>
      <c r="T144" s="311">
        <f t="shared" si="56"/>
        <v>0</v>
      </c>
      <c r="U144" s="311">
        <f t="shared" si="56"/>
        <v>0</v>
      </c>
      <c r="V144" s="311">
        <f t="shared" si="56"/>
        <v>0</v>
      </c>
      <c r="W144" s="311">
        <f t="shared" si="56"/>
        <v>0</v>
      </c>
      <c r="X144" s="311">
        <f t="shared" si="56"/>
        <v>0</v>
      </c>
      <c r="Y144" s="311">
        <f t="shared" si="56"/>
        <v>0</v>
      </c>
      <c r="Z144" s="311">
        <f t="shared" si="56"/>
        <v>0</v>
      </c>
      <c r="AA144" s="311">
        <f t="shared" si="56"/>
        <v>0</v>
      </c>
      <c r="AB144" s="311">
        <f t="shared" si="56"/>
        <v>0</v>
      </c>
      <c r="AC144" s="311">
        <f t="shared" si="56"/>
        <v>0</v>
      </c>
      <c r="AD144" s="311">
        <f t="shared" si="56"/>
        <v>0</v>
      </c>
      <c r="AE144" s="311">
        <f t="shared" si="56"/>
        <v>0</v>
      </c>
      <c r="AF144" s="311">
        <f t="shared" si="56"/>
        <v>0</v>
      </c>
      <c r="AG144" s="311">
        <f t="shared" si="56"/>
        <v>0</v>
      </c>
      <c r="AH144" s="311">
        <f t="shared" si="56"/>
        <v>0</v>
      </c>
      <c r="AI144" s="311">
        <f t="shared" si="56"/>
        <v>0</v>
      </c>
      <c r="AJ144" s="311">
        <f t="shared" si="56"/>
        <v>0</v>
      </c>
      <c r="AK144" s="311">
        <f t="shared" si="56"/>
        <v>0</v>
      </c>
      <c r="AL144" s="311">
        <f t="shared" si="56"/>
        <v>0</v>
      </c>
      <c r="AM144" s="311">
        <f t="shared" si="56"/>
        <v>0</v>
      </c>
      <c r="AN144" s="311">
        <f t="shared" si="56"/>
        <v>0</v>
      </c>
      <c r="AO144" s="311">
        <f t="shared" si="56"/>
        <v>0</v>
      </c>
      <c r="AP144" s="311">
        <f t="shared" si="56"/>
        <v>0</v>
      </c>
      <c r="AQ144" s="311">
        <f t="shared" si="56"/>
        <v>0</v>
      </c>
      <c r="AR144" s="311">
        <f t="shared" si="56"/>
        <v>0</v>
      </c>
      <c r="AS144" s="311">
        <f t="shared" si="56"/>
        <v>0</v>
      </c>
      <c r="AT144" s="311">
        <f t="shared" si="56"/>
        <v>0</v>
      </c>
      <c r="AU144" s="311">
        <f t="shared" si="56"/>
        <v>0</v>
      </c>
      <c r="AV144" s="311">
        <f t="shared" si="56"/>
        <v>0</v>
      </c>
      <c r="AW144" s="311">
        <f t="shared" si="56"/>
        <v>0</v>
      </c>
      <c r="AX144" s="311">
        <f t="shared" si="56"/>
        <v>0</v>
      </c>
      <c r="AY144" s="311">
        <f t="shared" si="56"/>
        <v>0</v>
      </c>
      <c r="AZ144" s="311">
        <f t="shared" si="56"/>
        <v>0</v>
      </c>
      <c r="BA144" s="311">
        <f t="shared" si="56"/>
        <v>0</v>
      </c>
      <c r="BB144" s="311">
        <f t="shared" si="56"/>
        <v>0</v>
      </c>
      <c r="BC144" s="311">
        <f t="shared" si="56"/>
        <v>0</v>
      </c>
      <c r="BD144" s="311">
        <f t="shared" si="56"/>
        <v>0</v>
      </c>
      <c r="BE144" s="311">
        <f t="shared" si="56"/>
        <v>0</v>
      </c>
      <c r="BF144" s="311">
        <f t="shared" si="56"/>
        <v>0</v>
      </c>
      <c r="BG144" s="311">
        <f t="shared" si="56"/>
        <v>0</v>
      </c>
      <c r="BH144" s="311">
        <f t="shared" si="56"/>
        <v>0</v>
      </c>
      <c r="BI144" s="311">
        <f t="shared" si="56"/>
        <v>0</v>
      </c>
      <c r="BJ144" s="311">
        <f t="shared" si="56"/>
        <v>0</v>
      </c>
      <c r="BK144" s="311">
        <f t="shared" si="56"/>
        <v>0</v>
      </c>
      <c r="BL144" s="311">
        <f t="shared" si="56"/>
        <v>0</v>
      </c>
      <c r="BM144" s="311">
        <f t="shared" si="56"/>
        <v>0</v>
      </c>
      <c r="BN144" s="311">
        <f t="shared" si="56"/>
        <v>0</v>
      </c>
      <c r="BO144" s="311">
        <f t="shared" si="56"/>
        <v>0</v>
      </c>
      <c r="BP144" s="311">
        <f t="shared" si="56"/>
        <v>0</v>
      </c>
      <c r="BQ144" s="311">
        <f t="shared" si="56"/>
        <v>0</v>
      </c>
      <c r="BR144" s="311">
        <f t="shared" si="56"/>
        <v>0</v>
      </c>
      <c r="BS144" s="311">
        <f t="shared" si="56"/>
        <v>0</v>
      </c>
      <c r="BT144" s="311">
        <f t="shared" si="56"/>
        <v>0</v>
      </c>
      <c r="BU144" s="311">
        <f t="shared" si="56"/>
        <v>0</v>
      </c>
      <c r="BV144" s="311">
        <f t="shared" si="56"/>
        <v>0</v>
      </c>
      <c r="BW144" s="311">
        <f t="shared" si="56"/>
        <v>0</v>
      </c>
      <c r="BX144" s="311">
        <f t="shared" si="56"/>
        <v>0</v>
      </c>
      <c r="BY144" s="307"/>
      <c r="BZ144" s="307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22"/>
      <c r="CL144" s="222"/>
      <c r="CM144" s="222"/>
      <c r="CN144" s="222"/>
      <c r="CO144" s="222"/>
      <c r="CP144" s="222"/>
      <c r="CQ144" s="222"/>
      <c r="CR144" s="222"/>
      <c r="CS144" s="222"/>
      <c r="CT144" s="222"/>
      <c r="CU144" s="222"/>
      <c r="CV144" s="222"/>
      <c r="CW144" s="222"/>
      <c r="CX144" s="222"/>
      <c r="CY144" s="222"/>
      <c r="CZ144" s="222"/>
      <c r="DA144" s="222"/>
      <c r="DB144" s="222"/>
      <c r="DC144" s="222"/>
      <c r="DD144" s="222"/>
      <c r="DE144" s="222"/>
      <c r="DF144" s="222"/>
      <c r="DG144" s="222"/>
      <c r="DH144" s="222"/>
      <c r="DI144" s="222"/>
      <c r="DJ144" s="222"/>
      <c r="DK144" s="222"/>
      <c r="DL144" s="222"/>
      <c r="DM144" s="222"/>
      <c r="DN144" s="222"/>
      <c r="DO144" s="222"/>
      <c r="DP144" s="222"/>
      <c r="DQ144" s="222"/>
      <c r="DR144" s="222"/>
      <c r="DS144" s="222"/>
      <c r="DT144" s="222"/>
      <c r="DU144" s="222"/>
      <c r="DV144" s="222"/>
      <c r="DW144" s="222"/>
      <c r="DX144" s="222"/>
      <c r="DY144" s="222"/>
      <c r="DZ144" s="222"/>
      <c r="EA144" s="222"/>
      <c r="EB144" s="222"/>
      <c r="EC144" s="222"/>
      <c r="ED144" s="222"/>
      <c r="EE144" s="222"/>
      <c r="EF144" s="222"/>
      <c r="EG144" s="222"/>
      <c r="EH144" s="222"/>
    </row>
    <row r="145" spans="1:138">
      <c r="A145" s="222"/>
      <c r="B145" s="318"/>
      <c r="C145" s="310" t="s">
        <v>297</v>
      </c>
      <c r="D145" s="319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  <c r="O145" s="311"/>
      <c r="P145" s="311"/>
      <c r="Q145" s="311"/>
      <c r="R145" s="311"/>
      <c r="S145" s="311"/>
      <c r="T145" s="311">
        <f>5500000</f>
        <v>5500000</v>
      </c>
      <c r="U145" s="311"/>
      <c r="V145" s="311"/>
      <c r="W145" s="311"/>
      <c r="X145" s="311"/>
      <c r="Y145" s="311"/>
      <c r="Z145" s="311"/>
      <c r="AA145" s="311"/>
      <c r="AB145" s="311"/>
      <c r="AC145" s="311"/>
      <c r="AD145" s="311"/>
      <c r="AE145" s="311"/>
      <c r="AF145" s="311"/>
      <c r="AG145" s="311"/>
      <c r="AH145" s="311"/>
      <c r="AI145" s="311"/>
      <c r="AJ145" s="311"/>
      <c r="AK145" s="311"/>
      <c r="AL145" s="311"/>
      <c r="AM145" s="311"/>
      <c r="AN145" s="311"/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1"/>
      <c r="AZ145" s="311"/>
      <c r="BA145" s="311"/>
      <c r="BB145" s="311"/>
      <c r="BC145" s="312"/>
      <c r="BD145" s="311"/>
      <c r="BE145" s="311"/>
      <c r="BF145" s="311"/>
      <c r="BG145" s="311"/>
      <c r="BH145" s="311"/>
      <c r="BI145" s="311"/>
      <c r="BJ145" s="311"/>
      <c r="BK145" s="311"/>
      <c r="BL145" s="311"/>
      <c r="BM145" s="311"/>
      <c r="BN145" s="311"/>
      <c r="BO145" s="311"/>
      <c r="BP145" s="311"/>
      <c r="BQ145" s="311"/>
      <c r="BR145" s="311"/>
      <c r="BS145" s="311"/>
      <c r="BT145" s="311"/>
      <c r="BU145" s="311"/>
      <c r="BV145" s="311"/>
      <c r="BW145" s="311"/>
      <c r="BX145" s="311">
        <f>IF(D117&gt;0.25,(BX112-BX120)*D146,BX112*D146)</f>
        <v>0</v>
      </c>
      <c r="BY145" s="307"/>
      <c r="BZ145" s="307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22"/>
      <c r="CL145" s="222"/>
      <c r="CM145" s="222"/>
      <c r="CN145" s="222"/>
      <c r="CO145" s="222"/>
      <c r="CP145" s="222"/>
      <c r="CQ145" s="222"/>
      <c r="CR145" s="222"/>
      <c r="CS145" s="222"/>
      <c r="CT145" s="222"/>
      <c r="CU145" s="222"/>
      <c r="CV145" s="222"/>
      <c r="CW145" s="222"/>
      <c r="CX145" s="222"/>
      <c r="CY145" s="222"/>
      <c r="CZ145" s="222"/>
      <c r="DA145" s="222"/>
      <c r="DB145" s="222"/>
      <c r="DC145" s="222"/>
      <c r="DD145" s="222"/>
      <c r="DE145" s="222"/>
      <c r="DF145" s="222"/>
      <c r="DG145" s="222"/>
      <c r="DH145" s="222"/>
      <c r="DI145" s="222"/>
      <c r="DJ145" s="222"/>
      <c r="DK145" s="222"/>
      <c r="DL145" s="222"/>
      <c r="DM145" s="222"/>
      <c r="DN145" s="222"/>
      <c r="DO145" s="222"/>
      <c r="DP145" s="222"/>
      <c r="DQ145" s="222"/>
      <c r="DR145" s="222"/>
      <c r="DS145" s="222"/>
      <c r="DT145" s="222"/>
      <c r="DU145" s="222"/>
      <c r="DV145" s="222"/>
      <c r="DW145" s="222"/>
      <c r="DX145" s="222"/>
      <c r="DY145" s="222"/>
      <c r="DZ145" s="222"/>
      <c r="EA145" s="222"/>
      <c r="EB145" s="222"/>
      <c r="EC145" s="222"/>
      <c r="ED145" s="222"/>
      <c r="EE145" s="222"/>
      <c r="EF145" s="222"/>
      <c r="EG145" s="222"/>
      <c r="EH145" s="222"/>
    </row>
    <row r="146" spans="1:138">
      <c r="A146" s="222"/>
      <c r="B146" s="318"/>
      <c r="C146" s="313" t="s">
        <v>298</v>
      </c>
      <c r="D146" s="319">
        <v>0.2</v>
      </c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  <c r="O146" s="311"/>
      <c r="P146" s="311"/>
      <c r="Q146" s="311"/>
      <c r="R146" s="311"/>
      <c r="S146" s="311"/>
      <c r="T146" s="311"/>
      <c r="U146" s="311"/>
      <c r="V146" s="311"/>
      <c r="W146" s="311"/>
      <c r="X146" s="311"/>
      <c r="Y146" s="311"/>
      <c r="Z146" s="311"/>
      <c r="AA146" s="311"/>
      <c r="AB146" s="311"/>
      <c r="AC146" s="311"/>
      <c r="AD146" s="311"/>
      <c r="AE146" s="311"/>
      <c r="AF146" s="311"/>
      <c r="AG146" s="311"/>
      <c r="AH146" s="311"/>
      <c r="AI146" s="311"/>
      <c r="AJ146" s="311"/>
      <c r="AK146" s="311"/>
      <c r="AL146" s="311"/>
      <c r="AM146" s="311"/>
      <c r="AN146" s="311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311"/>
      <c r="AZ146" s="311"/>
      <c r="BA146" s="311"/>
      <c r="BB146" s="311"/>
      <c r="BC146" s="312"/>
      <c r="BD146" s="311"/>
      <c r="BE146" s="311"/>
      <c r="BF146" s="311"/>
      <c r="BG146" s="311"/>
      <c r="BH146" s="311"/>
      <c r="BI146" s="311"/>
      <c r="BJ146" s="311"/>
      <c r="BK146" s="311"/>
      <c r="BL146" s="311"/>
      <c r="BM146" s="311"/>
      <c r="BN146" s="311"/>
      <c r="BO146" s="311"/>
      <c r="BP146" s="311"/>
      <c r="BQ146" s="311"/>
      <c r="BR146" s="311"/>
      <c r="BS146" s="311"/>
      <c r="BT146" s="311"/>
      <c r="BU146" s="311"/>
      <c r="BV146" s="311"/>
      <c r="BW146" s="311"/>
      <c r="BX146" s="311"/>
      <c r="BY146" s="307"/>
      <c r="BZ146" s="307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22"/>
      <c r="CO146" s="222"/>
      <c r="CP146" s="222"/>
      <c r="CQ146" s="222"/>
      <c r="CR146" s="222"/>
      <c r="CS146" s="222"/>
      <c r="CT146" s="222"/>
      <c r="CU146" s="222"/>
      <c r="CV146" s="222"/>
      <c r="CW146" s="222"/>
      <c r="CX146" s="222"/>
      <c r="CY146" s="222"/>
      <c r="CZ146" s="222"/>
      <c r="DA146" s="222"/>
      <c r="DB146" s="222"/>
      <c r="DC146" s="222"/>
      <c r="DD146" s="222"/>
      <c r="DE146" s="222"/>
      <c r="DF146" s="222"/>
      <c r="DG146" s="222"/>
      <c r="DH146" s="222"/>
      <c r="DI146" s="222"/>
      <c r="DJ146" s="222"/>
      <c r="DK146" s="222"/>
      <c r="DL146" s="222"/>
      <c r="DM146" s="222"/>
      <c r="DN146" s="222"/>
      <c r="DO146" s="222"/>
      <c r="DP146" s="222"/>
      <c r="DQ146" s="222"/>
      <c r="DR146" s="222"/>
      <c r="DS146" s="222"/>
      <c r="DT146" s="222"/>
      <c r="DU146" s="222"/>
      <c r="DV146" s="222"/>
      <c r="DW146" s="222"/>
      <c r="DX146" s="222"/>
      <c r="DY146" s="222"/>
      <c r="DZ146" s="222"/>
      <c r="EA146" s="222"/>
      <c r="EB146" s="222"/>
      <c r="EC146" s="222"/>
      <c r="ED146" s="222"/>
      <c r="EE146" s="222"/>
      <c r="EF146" s="222"/>
      <c r="EG146" s="222"/>
      <c r="EH146" s="222"/>
    </row>
    <row r="147" spans="1:138">
      <c r="A147" s="222"/>
      <c r="B147" s="318"/>
      <c r="C147" s="310" t="s">
        <v>299</v>
      </c>
      <c r="D147" s="311"/>
      <c r="E147" s="321">
        <f t="shared" ref="E147:BX147" si="57">E142+E143+E144+E145+E146</f>
        <v>0</v>
      </c>
      <c r="F147" s="321">
        <f t="shared" si="57"/>
        <v>0</v>
      </c>
      <c r="G147" s="321">
        <f t="shared" si="57"/>
        <v>0</v>
      </c>
      <c r="H147" s="321">
        <f t="shared" si="57"/>
        <v>-10682501</v>
      </c>
      <c r="I147" s="321">
        <f t="shared" si="57"/>
        <v>0</v>
      </c>
      <c r="J147" s="321">
        <f t="shared" si="57"/>
        <v>0</v>
      </c>
      <c r="K147" s="321">
        <f t="shared" si="57"/>
        <v>0</v>
      </c>
      <c r="L147" s="321">
        <f t="shared" si="57"/>
        <v>0</v>
      </c>
      <c r="M147" s="321">
        <f t="shared" si="57"/>
        <v>0</v>
      </c>
      <c r="N147" s="321">
        <f t="shared" si="57"/>
        <v>0</v>
      </c>
      <c r="O147" s="321">
        <f t="shared" si="57"/>
        <v>0</v>
      </c>
      <c r="P147" s="321">
        <f t="shared" si="57"/>
        <v>0</v>
      </c>
      <c r="Q147" s="321">
        <f t="shared" si="57"/>
        <v>0</v>
      </c>
      <c r="R147" s="321">
        <f t="shared" si="57"/>
        <v>0</v>
      </c>
      <c r="S147" s="321">
        <f t="shared" si="57"/>
        <v>0</v>
      </c>
      <c r="T147" s="321">
        <f t="shared" si="57"/>
        <v>16182501</v>
      </c>
      <c r="U147" s="321">
        <f t="shared" si="57"/>
        <v>0</v>
      </c>
      <c r="V147" s="321">
        <f t="shared" si="57"/>
        <v>0</v>
      </c>
      <c r="W147" s="321">
        <f t="shared" si="57"/>
        <v>0</v>
      </c>
      <c r="X147" s="321">
        <f t="shared" si="57"/>
        <v>0</v>
      </c>
      <c r="Y147" s="321">
        <f t="shared" si="57"/>
        <v>0</v>
      </c>
      <c r="Z147" s="321">
        <f t="shared" si="57"/>
        <v>0</v>
      </c>
      <c r="AA147" s="321">
        <f t="shared" si="57"/>
        <v>0</v>
      </c>
      <c r="AB147" s="321">
        <f t="shared" si="57"/>
        <v>0</v>
      </c>
      <c r="AC147" s="321">
        <f t="shared" si="57"/>
        <v>0</v>
      </c>
      <c r="AD147" s="321">
        <f t="shared" si="57"/>
        <v>0</v>
      </c>
      <c r="AE147" s="321">
        <f t="shared" si="57"/>
        <v>0</v>
      </c>
      <c r="AF147" s="321">
        <f t="shared" si="57"/>
        <v>0</v>
      </c>
      <c r="AG147" s="321">
        <f t="shared" si="57"/>
        <v>0</v>
      </c>
      <c r="AH147" s="321">
        <f t="shared" si="57"/>
        <v>0</v>
      </c>
      <c r="AI147" s="321">
        <f t="shared" si="57"/>
        <v>0</v>
      </c>
      <c r="AJ147" s="321">
        <f t="shared" si="57"/>
        <v>0</v>
      </c>
      <c r="AK147" s="321">
        <f t="shared" si="57"/>
        <v>0</v>
      </c>
      <c r="AL147" s="321">
        <f t="shared" si="57"/>
        <v>0</v>
      </c>
      <c r="AM147" s="321">
        <f t="shared" si="57"/>
        <v>0</v>
      </c>
      <c r="AN147" s="321">
        <f t="shared" si="57"/>
        <v>0</v>
      </c>
      <c r="AO147" s="321">
        <f t="shared" si="57"/>
        <v>0</v>
      </c>
      <c r="AP147" s="321">
        <f t="shared" si="57"/>
        <v>0</v>
      </c>
      <c r="AQ147" s="321">
        <f t="shared" si="57"/>
        <v>0</v>
      </c>
      <c r="AR147" s="321">
        <f t="shared" si="57"/>
        <v>0</v>
      </c>
      <c r="AS147" s="321">
        <f t="shared" si="57"/>
        <v>0</v>
      </c>
      <c r="AT147" s="321">
        <f t="shared" si="57"/>
        <v>0</v>
      </c>
      <c r="AU147" s="321">
        <f t="shared" si="57"/>
        <v>0</v>
      </c>
      <c r="AV147" s="321">
        <f t="shared" si="57"/>
        <v>0</v>
      </c>
      <c r="AW147" s="321">
        <f t="shared" si="57"/>
        <v>0</v>
      </c>
      <c r="AX147" s="321">
        <f t="shared" si="57"/>
        <v>0</v>
      </c>
      <c r="AY147" s="321">
        <f t="shared" si="57"/>
        <v>0</v>
      </c>
      <c r="AZ147" s="321">
        <f t="shared" si="57"/>
        <v>0</v>
      </c>
      <c r="BA147" s="321">
        <f t="shared" si="57"/>
        <v>0</v>
      </c>
      <c r="BB147" s="321">
        <f t="shared" si="57"/>
        <v>0</v>
      </c>
      <c r="BC147" s="321">
        <f t="shared" si="57"/>
        <v>0</v>
      </c>
      <c r="BD147" s="321">
        <f t="shared" si="57"/>
        <v>0</v>
      </c>
      <c r="BE147" s="321">
        <f t="shared" si="57"/>
        <v>0</v>
      </c>
      <c r="BF147" s="321">
        <f t="shared" si="57"/>
        <v>0</v>
      </c>
      <c r="BG147" s="321">
        <f t="shared" si="57"/>
        <v>0</v>
      </c>
      <c r="BH147" s="321">
        <f t="shared" si="57"/>
        <v>0</v>
      </c>
      <c r="BI147" s="321">
        <f t="shared" si="57"/>
        <v>0</v>
      </c>
      <c r="BJ147" s="321">
        <f t="shared" si="57"/>
        <v>0</v>
      </c>
      <c r="BK147" s="321">
        <f t="shared" si="57"/>
        <v>0</v>
      </c>
      <c r="BL147" s="321">
        <f t="shared" si="57"/>
        <v>0</v>
      </c>
      <c r="BM147" s="321">
        <f t="shared" si="57"/>
        <v>0</v>
      </c>
      <c r="BN147" s="321">
        <f t="shared" si="57"/>
        <v>0</v>
      </c>
      <c r="BO147" s="321">
        <f t="shared" si="57"/>
        <v>0</v>
      </c>
      <c r="BP147" s="321">
        <f t="shared" si="57"/>
        <v>0</v>
      </c>
      <c r="BQ147" s="321">
        <f t="shared" si="57"/>
        <v>0</v>
      </c>
      <c r="BR147" s="321">
        <f t="shared" si="57"/>
        <v>0</v>
      </c>
      <c r="BS147" s="321">
        <f t="shared" si="57"/>
        <v>0</v>
      </c>
      <c r="BT147" s="321">
        <f t="shared" si="57"/>
        <v>0</v>
      </c>
      <c r="BU147" s="321">
        <f t="shared" si="57"/>
        <v>0</v>
      </c>
      <c r="BV147" s="321">
        <f t="shared" si="57"/>
        <v>0</v>
      </c>
      <c r="BW147" s="321">
        <f t="shared" si="57"/>
        <v>0</v>
      </c>
      <c r="BX147" s="321">
        <f t="shared" si="57"/>
        <v>-13002832.540510181</v>
      </c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22"/>
      <c r="CO147" s="222"/>
      <c r="CP147" s="222"/>
      <c r="CQ147" s="222"/>
      <c r="CR147" s="222"/>
      <c r="CS147" s="222"/>
      <c r="CT147" s="222"/>
      <c r="CU147" s="222"/>
      <c r="CV147" s="222"/>
      <c r="CW147" s="222"/>
      <c r="CX147" s="222"/>
      <c r="CY147" s="222"/>
      <c r="CZ147" s="222"/>
      <c r="DA147" s="222"/>
      <c r="DB147" s="222"/>
      <c r="DC147" s="222"/>
      <c r="DD147" s="222"/>
      <c r="DE147" s="222"/>
      <c r="DF147" s="222"/>
      <c r="DG147" s="222"/>
      <c r="DH147" s="222"/>
      <c r="DI147" s="222"/>
      <c r="DJ147" s="222"/>
      <c r="DK147" s="222"/>
      <c r="DL147" s="222"/>
      <c r="DM147" s="222"/>
      <c r="DN147" s="222"/>
      <c r="DO147" s="222"/>
      <c r="DP147" s="222"/>
      <c r="DQ147" s="222"/>
      <c r="DR147" s="222"/>
      <c r="DS147" s="222"/>
      <c r="DT147" s="222"/>
      <c r="DU147" s="222"/>
      <c r="DV147" s="222"/>
      <c r="DW147" s="222"/>
      <c r="DX147" s="222"/>
      <c r="DY147" s="222"/>
      <c r="DZ147" s="222"/>
      <c r="EA147" s="222"/>
      <c r="EB147" s="222"/>
      <c r="EC147" s="222"/>
      <c r="ED147" s="222"/>
      <c r="EE147" s="222"/>
      <c r="EF147" s="222"/>
      <c r="EG147" s="222"/>
      <c r="EH147" s="222"/>
    </row>
    <row r="148" spans="1:138">
      <c r="A148" s="222"/>
      <c r="B148" s="318"/>
      <c r="C148" s="314"/>
      <c r="D148" s="322" t="s">
        <v>306</v>
      </c>
      <c r="E148" s="327">
        <f>E147</f>
        <v>0</v>
      </c>
      <c r="F148" s="327">
        <f t="shared" ref="F148:BX148" si="58">E148+F147</f>
        <v>0</v>
      </c>
      <c r="G148" s="327">
        <f t="shared" si="58"/>
        <v>0</v>
      </c>
      <c r="H148" s="327">
        <f t="shared" si="58"/>
        <v>-10682501</v>
      </c>
      <c r="I148" s="327">
        <f t="shared" si="58"/>
        <v>-10682501</v>
      </c>
      <c r="J148" s="327">
        <f t="shared" si="58"/>
        <v>-10682501</v>
      </c>
      <c r="K148" s="327">
        <f t="shared" si="58"/>
        <v>-10682501</v>
      </c>
      <c r="L148" s="327">
        <f t="shared" si="58"/>
        <v>-10682501</v>
      </c>
      <c r="M148" s="327">
        <f t="shared" si="58"/>
        <v>-10682501</v>
      </c>
      <c r="N148" s="327">
        <f t="shared" si="58"/>
        <v>-10682501</v>
      </c>
      <c r="O148" s="327">
        <f t="shared" si="58"/>
        <v>-10682501</v>
      </c>
      <c r="P148" s="327">
        <f t="shared" si="58"/>
        <v>-10682501</v>
      </c>
      <c r="Q148" s="327">
        <f t="shared" si="58"/>
        <v>-10682501</v>
      </c>
      <c r="R148" s="327">
        <f t="shared" si="58"/>
        <v>-10682501</v>
      </c>
      <c r="S148" s="327">
        <f t="shared" si="58"/>
        <v>-10682501</v>
      </c>
      <c r="T148" s="327">
        <f t="shared" si="58"/>
        <v>5500000</v>
      </c>
      <c r="U148" s="327">
        <f t="shared" si="58"/>
        <v>5500000</v>
      </c>
      <c r="V148" s="328">
        <f t="shared" si="58"/>
        <v>5500000</v>
      </c>
      <c r="W148" s="328">
        <f t="shared" si="58"/>
        <v>5500000</v>
      </c>
      <c r="X148" s="328">
        <f t="shared" si="58"/>
        <v>5500000</v>
      </c>
      <c r="Y148" s="328">
        <f t="shared" si="58"/>
        <v>5500000</v>
      </c>
      <c r="Z148" s="328">
        <f t="shared" si="58"/>
        <v>5500000</v>
      </c>
      <c r="AA148" s="328">
        <f t="shared" si="58"/>
        <v>5500000</v>
      </c>
      <c r="AB148" s="328">
        <f t="shared" si="58"/>
        <v>5500000</v>
      </c>
      <c r="AC148" s="328">
        <f t="shared" si="58"/>
        <v>5500000</v>
      </c>
      <c r="AD148" s="328">
        <f t="shared" si="58"/>
        <v>5500000</v>
      </c>
      <c r="AE148" s="328">
        <f t="shared" si="58"/>
        <v>5500000</v>
      </c>
      <c r="AF148" s="328">
        <f t="shared" si="58"/>
        <v>5500000</v>
      </c>
      <c r="AG148" s="328">
        <f t="shared" si="58"/>
        <v>5500000</v>
      </c>
      <c r="AH148" s="328">
        <f t="shared" si="58"/>
        <v>5500000</v>
      </c>
      <c r="AI148" s="328">
        <f t="shared" si="58"/>
        <v>5500000</v>
      </c>
      <c r="AJ148" s="328">
        <f t="shared" si="58"/>
        <v>5500000</v>
      </c>
      <c r="AK148" s="328">
        <f t="shared" si="58"/>
        <v>5500000</v>
      </c>
      <c r="AL148" s="328">
        <f t="shared" si="58"/>
        <v>5500000</v>
      </c>
      <c r="AM148" s="328">
        <f t="shared" si="58"/>
        <v>5500000</v>
      </c>
      <c r="AN148" s="328">
        <f t="shared" si="58"/>
        <v>5500000</v>
      </c>
      <c r="AO148" s="328">
        <f t="shared" si="58"/>
        <v>5500000</v>
      </c>
      <c r="AP148" s="328">
        <f t="shared" si="58"/>
        <v>5500000</v>
      </c>
      <c r="AQ148" s="328">
        <f t="shared" si="58"/>
        <v>5500000</v>
      </c>
      <c r="AR148" s="328">
        <f t="shared" si="58"/>
        <v>5500000</v>
      </c>
      <c r="AS148" s="328">
        <f t="shared" si="58"/>
        <v>5500000</v>
      </c>
      <c r="AT148" s="328">
        <f t="shared" si="58"/>
        <v>5500000</v>
      </c>
      <c r="AU148" s="328">
        <f t="shared" si="58"/>
        <v>5500000</v>
      </c>
      <c r="AV148" s="328">
        <f t="shared" si="58"/>
        <v>5500000</v>
      </c>
      <c r="AW148" s="328">
        <f t="shared" si="58"/>
        <v>5500000</v>
      </c>
      <c r="AX148" s="328">
        <f t="shared" si="58"/>
        <v>5500000</v>
      </c>
      <c r="AY148" s="328">
        <f t="shared" si="58"/>
        <v>5500000</v>
      </c>
      <c r="AZ148" s="328">
        <f t="shared" si="58"/>
        <v>5500000</v>
      </c>
      <c r="BA148" s="328">
        <f t="shared" si="58"/>
        <v>5500000</v>
      </c>
      <c r="BB148" s="328">
        <f t="shared" si="58"/>
        <v>5500000</v>
      </c>
      <c r="BC148" s="327">
        <f t="shared" si="58"/>
        <v>5500000</v>
      </c>
      <c r="BD148" s="327">
        <f t="shared" si="58"/>
        <v>5500000</v>
      </c>
      <c r="BE148" s="327">
        <f t="shared" si="58"/>
        <v>5500000</v>
      </c>
      <c r="BF148" s="327">
        <f t="shared" si="58"/>
        <v>5500000</v>
      </c>
      <c r="BG148" s="327">
        <f t="shared" si="58"/>
        <v>5500000</v>
      </c>
      <c r="BH148" s="327">
        <f t="shared" si="58"/>
        <v>5500000</v>
      </c>
      <c r="BI148" s="327">
        <f t="shared" si="58"/>
        <v>5500000</v>
      </c>
      <c r="BJ148" s="327">
        <f t="shared" si="58"/>
        <v>5500000</v>
      </c>
      <c r="BK148" s="327">
        <f t="shared" si="58"/>
        <v>5500000</v>
      </c>
      <c r="BL148" s="327">
        <f t="shared" si="58"/>
        <v>5500000</v>
      </c>
      <c r="BM148" s="327">
        <f t="shared" si="58"/>
        <v>5500000</v>
      </c>
      <c r="BN148" s="327">
        <f t="shared" si="58"/>
        <v>5500000</v>
      </c>
      <c r="BO148" s="327">
        <f t="shared" si="58"/>
        <v>5500000</v>
      </c>
      <c r="BP148" s="327">
        <f t="shared" si="58"/>
        <v>5500000</v>
      </c>
      <c r="BQ148" s="327">
        <f t="shared" si="58"/>
        <v>5500000</v>
      </c>
      <c r="BR148" s="327">
        <f t="shared" si="58"/>
        <v>5500000</v>
      </c>
      <c r="BS148" s="327">
        <f t="shared" si="58"/>
        <v>5500000</v>
      </c>
      <c r="BT148" s="327">
        <f t="shared" si="58"/>
        <v>5500000</v>
      </c>
      <c r="BU148" s="327">
        <f t="shared" si="58"/>
        <v>5500000</v>
      </c>
      <c r="BV148" s="327">
        <f t="shared" si="58"/>
        <v>5500000</v>
      </c>
      <c r="BW148" s="327">
        <f t="shared" si="58"/>
        <v>5500000</v>
      </c>
      <c r="BX148" s="327">
        <f t="shared" si="58"/>
        <v>-7502832.5405101813</v>
      </c>
      <c r="BY148" s="222"/>
      <c r="BZ148" s="222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2"/>
      <c r="CU148" s="222"/>
      <c r="CV148" s="222"/>
      <c r="CW148" s="222"/>
      <c r="CX148" s="222"/>
      <c r="CY148" s="222"/>
      <c r="CZ148" s="222"/>
      <c r="DA148" s="222"/>
      <c r="DB148" s="222"/>
      <c r="DC148" s="222"/>
      <c r="DD148" s="222"/>
      <c r="DE148" s="222"/>
      <c r="DF148" s="222"/>
      <c r="DG148" s="222"/>
      <c r="DH148" s="222"/>
      <c r="DI148" s="222"/>
      <c r="DJ148" s="222"/>
      <c r="DK148" s="222"/>
      <c r="DL148" s="222"/>
      <c r="DM148" s="222"/>
      <c r="DN148" s="222"/>
      <c r="DO148" s="222"/>
      <c r="DP148" s="222"/>
      <c r="DQ148" s="222"/>
      <c r="DR148" s="222"/>
      <c r="DS148" s="222"/>
      <c r="DT148" s="222"/>
      <c r="DU148" s="222"/>
      <c r="DV148" s="222"/>
      <c r="DW148" s="222"/>
      <c r="DX148" s="222"/>
      <c r="DY148" s="222"/>
      <c r="DZ148" s="222"/>
      <c r="EA148" s="222"/>
      <c r="EB148" s="222"/>
      <c r="EC148" s="222"/>
      <c r="ED148" s="222"/>
      <c r="EE148" s="222"/>
      <c r="EF148" s="222"/>
      <c r="EG148" s="222"/>
      <c r="EH148" s="222"/>
    </row>
    <row r="149" spans="1:138">
      <c r="A149" s="222"/>
      <c r="B149" s="318"/>
      <c r="C149" s="313" t="s">
        <v>292</v>
      </c>
      <c r="D149" s="322">
        <f>IRR(H147:T147)*12</f>
        <v>0.4225943643698109</v>
      </c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222"/>
      <c r="AF149" s="222"/>
      <c r="AG149" s="222"/>
      <c r="AH149" s="222"/>
      <c r="AI149" s="222"/>
      <c r="AJ149" s="222"/>
      <c r="AK149" s="222"/>
      <c r="AL149" s="222"/>
      <c r="AM149" s="222"/>
      <c r="AN149" s="222"/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  <c r="BL149" s="222"/>
      <c r="BM149" s="222"/>
      <c r="BN149" s="222"/>
      <c r="BO149" s="222"/>
      <c r="BP149" s="222"/>
      <c r="BQ149" s="222"/>
      <c r="BR149" s="222"/>
      <c r="BS149" s="222"/>
      <c r="BT149" s="222"/>
      <c r="BU149" s="222"/>
      <c r="BV149" s="222"/>
      <c r="BW149" s="222"/>
      <c r="BX149" s="222"/>
      <c r="BY149" s="222"/>
      <c r="BZ149" s="222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22"/>
      <c r="CO149" s="222"/>
      <c r="CP149" s="222"/>
      <c r="CQ149" s="222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222"/>
      <c r="DC149" s="222"/>
      <c r="DD149" s="222"/>
      <c r="DE149" s="222"/>
      <c r="DF149" s="222"/>
      <c r="DG149" s="222"/>
      <c r="DH149" s="222"/>
      <c r="DI149" s="222"/>
      <c r="DJ149" s="222"/>
      <c r="DK149" s="222"/>
      <c r="DL149" s="222"/>
      <c r="DM149" s="222"/>
      <c r="DN149" s="222"/>
      <c r="DO149" s="222"/>
      <c r="DP149" s="222"/>
      <c r="DQ149" s="222"/>
      <c r="DR149" s="222"/>
      <c r="DS149" s="222"/>
      <c r="DT149" s="222"/>
      <c r="DU149" s="222"/>
      <c r="DV149" s="222"/>
      <c r="DW149" s="222"/>
      <c r="DX149" s="222"/>
      <c r="DY149" s="222"/>
      <c r="DZ149" s="222"/>
      <c r="EA149" s="222"/>
      <c r="EB149" s="222"/>
      <c r="EC149" s="222"/>
      <c r="ED149" s="222"/>
      <c r="EE149" s="222"/>
      <c r="EF149" s="222"/>
      <c r="EG149" s="222"/>
      <c r="EH149" s="222"/>
    </row>
    <row r="150" spans="1:138">
      <c r="A150" s="222"/>
      <c r="B150" s="318"/>
      <c r="C150" s="323" t="s">
        <v>300</v>
      </c>
      <c r="D150" s="324">
        <f>-MIN(M148:BL148)-D151</f>
        <v>10682501</v>
      </c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22"/>
      <c r="AD150" s="222"/>
      <c r="AE150" s="222"/>
      <c r="AF150" s="222"/>
      <c r="AG150" s="222"/>
      <c r="AH150" s="222"/>
      <c r="AI150" s="222"/>
      <c r="AJ150" s="222"/>
      <c r="AK150" s="222"/>
      <c r="AL150" s="222"/>
      <c r="AM150" s="222"/>
      <c r="AN150" s="222"/>
      <c r="AO150" s="222"/>
      <c r="AP150" s="222"/>
      <c r="AQ150" s="222"/>
      <c r="AR150" s="222"/>
      <c r="AS150" s="222"/>
      <c r="AT150" s="222"/>
      <c r="AU150" s="222"/>
      <c r="AV150" s="222"/>
      <c r="AW150" s="222"/>
      <c r="AX150" s="222"/>
      <c r="AY150" s="222"/>
      <c r="AZ150" s="222"/>
      <c r="BA150" s="222"/>
      <c r="BB150" s="222"/>
      <c r="BC150" s="222"/>
      <c r="BD150" s="222"/>
      <c r="BE150" s="222"/>
      <c r="BF150" s="222"/>
      <c r="BG150" s="222"/>
      <c r="BH150" s="222"/>
      <c r="BI150" s="222"/>
      <c r="BJ150" s="222"/>
      <c r="BK150" s="222"/>
      <c r="BL150" s="222"/>
      <c r="BM150" s="222"/>
      <c r="BN150" s="222"/>
      <c r="BO150" s="222"/>
      <c r="BP150" s="222"/>
      <c r="BQ150" s="222"/>
      <c r="BR150" s="222"/>
      <c r="BS150" s="222"/>
      <c r="BT150" s="222"/>
      <c r="BU150" s="222"/>
      <c r="BV150" s="222"/>
      <c r="BW150" s="222"/>
      <c r="BX150" s="222"/>
      <c r="BY150" s="222"/>
      <c r="BZ150" s="222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22"/>
      <c r="CO150" s="222"/>
      <c r="CP150" s="222"/>
      <c r="CQ150" s="222"/>
      <c r="CR150" s="222"/>
      <c r="CS150" s="222"/>
      <c r="CT150" s="222"/>
      <c r="CU150" s="222"/>
      <c r="CV150" s="222"/>
      <c r="CW150" s="222"/>
      <c r="CX150" s="222"/>
      <c r="CY150" s="222"/>
      <c r="CZ150" s="222"/>
      <c r="DA150" s="222"/>
      <c r="DB150" s="222"/>
      <c r="DC150" s="222"/>
      <c r="DD150" s="222"/>
      <c r="DE150" s="222"/>
      <c r="DF150" s="222"/>
      <c r="DG150" s="222"/>
      <c r="DH150" s="222"/>
      <c r="DI150" s="222"/>
      <c r="DJ150" s="222"/>
      <c r="DK150" s="222"/>
      <c r="DL150" s="222"/>
      <c r="DM150" s="222"/>
      <c r="DN150" s="222"/>
      <c r="DO150" s="222"/>
      <c r="DP150" s="222"/>
      <c r="DQ150" s="222"/>
      <c r="DR150" s="222"/>
      <c r="DS150" s="222"/>
      <c r="DT150" s="222"/>
      <c r="DU150" s="222"/>
      <c r="DV150" s="222"/>
      <c r="DW150" s="222"/>
      <c r="DX150" s="222"/>
      <c r="DY150" s="222"/>
      <c r="DZ150" s="222"/>
      <c r="EA150" s="222"/>
      <c r="EB150" s="222"/>
      <c r="EC150" s="222"/>
      <c r="ED150" s="222"/>
      <c r="EE150" s="222"/>
      <c r="EF150" s="222"/>
      <c r="EG150" s="222"/>
      <c r="EH150" s="222"/>
    </row>
    <row r="151" spans="1:138">
      <c r="A151" s="222"/>
      <c r="B151" s="318"/>
      <c r="C151" s="323" t="s">
        <v>301</v>
      </c>
      <c r="D151" s="324">
        <f>-SUM(M146:BB146)</f>
        <v>0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22"/>
      <c r="AD151" s="222"/>
      <c r="AE151" s="222"/>
      <c r="AF151" s="222"/>
      <c r="AG151" s="222"/>
      <c r="AH151" s="222"/>
      <c r="AI151" s="222"/>
      <c r="AJ151" s="222"/>
      <c r="AK151" s="222"/>
      <c r="AL151" s="222"/>
      <c r="AM151" s="222"/>
      <c r="AN151" s="222"/>
      <c r="AO151" s="222"/>
      <c r="AP151" s="222"/>
      <c r="AQ151" s="222"/>
      <c r="AR151" s="222"/>
      <c r="AS151" s="222"/>
      <c r="AT151" s="222"/>
      <c r="AU151" s="222"/>
      <c r="AV151" s="222"/>
      <c r="AW151" s="222"/>
      <c r="AX151" s="222"/>
      <c r="AY151" s="222"/>
      <c r="AZ151" s="222"/>
      <c r="BA151" s="222"/>
      <c r="BB151" s="222"/>
      <c r="BC151" s="222"/>
      <c r="BD151" s="222"/>
      <c r="BE151" s="222"/>
      <c r="BF151" s="222"/>
      <c r="BG151" s="222"/>
      <c r="BH151" s="222"/>
      <c r="BI151" s="222"/>
      <c r="BJ151" s="222"/>
      <c r="BK151" s="222"/>
      <c r="BL151" s="222"/>
      <c r="BM151" s="222"/>
      <c r="BN151" s="222"/>
      <c r="BO151" s="222"/>
      <c r="BP151" s="222"/>
      <c r="BQ151" s="222"/>
      <c r="BR151" s="222"/>
      <c r="BS151" s="222"/>
      <c r="BT151" s="222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222"/>
      <c r="DX151" s="222"/>
      <c r="DY151" s="222"/>
      <c r="DZ151" s="222"/>
      <c r="EA151" s="222"/>
      <c r="EB151" s="222"/>
      <c r="EC151" s="222"/>
      <c r="ED151" s="222"/>
      <c r="EE151" s="222"/>
      <c r="EF151" s="222"/>
      <c r="EG151" s="222"/>
      <c r="EH151" s="222"/>
    </row>
    <row r="152" spans="1:138">
      <c r="A152" s="222"/>
      <c r="B152" s="318"/>
      <c r="C152" s="313" t="s">
        <v>302</v>
      </c>
      <c r="D152" s="326">
        <f>D151+D150</f>
        <v>10682501</v>
      </c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222"/>
      <c r="AF152" s="222"/>
      <c r="AG152" s="222"/>
      <c r="AH152" s="222"/>
      <c r="AI152" s="222"/>
      <c r="AJ152" s="222"/>
      <c r="AK152" s="222"/>
      <c r="AL152" s="222"/>
      <c r="AM152" s="222"/>
      <c r="AN152" s="222"/>
      <c r="AO152" s="222"/>
      <c r="AP152" s="222"/>
      <c r="AQ152" s="222"/>
      <c r="AR152" s="222"/>
      <c r="AS152" s="222"/>
      <c r="AT152" s="222"/>
      <c r="AU152" s="222"/>
      <c r="AV152" s="222"/>
      <c r="AW152" s="222"/>
      <c r="AX152" s="222"/>
      <c r="AY152" s="222"/>
      <c r="AZ152" s="222"/>
      <c r="BA152" s="222"/>
      <c r="BB152" s="222"/>
      <c r="BC152" s="222"/>
      <c r="BD152" s="222"/>
      <c r="BE152" s="222"/>
      <c r="BF152" s="222"/>
      <c r="BG152" s="222"/>
      <c r="BH152" s="222"/>
      <c r="BI152" s="222"/>
      <c r="BJ152" s="222"/>
      <c r="BK152" s="222"/>
      <c r="BL152" s="222"/>
      <c r="BM152" s="222"/>
      <c r="BN152" s="222"/>
      <c r="BO152" s="222"/>
      <c r="BP152" s="222"/>
      <c r="BQ152" s="222"/>
      <c r="BR152" s="222"/>
      <c r="BS152" s="222"/>
      <c r="BT152" s="222"/>
      <c r="BU152" s="222"/>
      <c r="BV152" s="222"/>
      <c r="BW152" s="222"/>
      <c r="BX152" s="222"/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22"/>
      <c r="CO152" s="222"/>
      <c r="CP152" s="222"/>
      <c r="CQ152" s="222"/>
      <c r="CR152" s="222"/>
      <c r="CS152" s="222"/>
      <c r="CT152" s="222"/>
      <c r="CU152" s="222"/>
      <c r="CV152" s="222"/>
      <c r="CW152" s="222"/>
      <c r="CX152" s="222"/>
      <c r="CY152" s="222"/>
      <c r="CZ152" s="222"/>
      <c r="DA152" s="222"/>
      <c r="DB152" s="222"/>
      <c r="DC152" s="222"/>
      <c r="DD152" s="222"/>
      <c r="DE152" s="222"/>
      <c r="DF152" s="222"/>
      <c r="DG152" s="222"/>
      <c r="DH152" s="222"/>
      <c r="DI152" s="222"/>
      <c r="DJ152" s="222"/>
      <c r="DK152" s="222"/>
      <c r="DL152" s="222"/>
      <c r="DM152" s="222"/>
      <c r="DN152" s="222"/>
      <c r="DO152" s="222"/>
      <c r="DP152" s="222"/>
      <c r="DQ152" s="222"/>
      <c r="DR152" s="222"/>
      <c r="DS152" s="222"/>
      <c r="DT152" s="222"/>
      <c r="DU152" s="222"/>
      <c r="DV152" s="222"/>
      <c r="DW152" s="325"/>
      <c r="DX152" s="325"/>
      <c r="DY152" s="325"/>
      <c r="DZ152" s="325"/>
      <c r="EA152" s="325"/>
      <c r="EB152" s="325"/>
      <c r="EC152" s="325"/>
      <c r="ED152" s="325"/>
      <c r="EE152" s="325"/>
      <c r="EF152" s="325"/>
      <c r="EG152" s="325"/>
      <c r="EH152" s="325"/>
    </row>
    <row r="153" spans="1:138">
      <c r="A153" s="222"/>
      <c r="B153" s="318"/>
      <c r="C153" s="313" t="s">
        <v>303</v>
      </c>
      <c r="D153" s="326">
        <f>T145</f>
        <v>5500000</v>
      </c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22"/>
      <c r="AD153" s="222"/>
      <c r="AE153" s="222"/>
      <c r="AF153" s="222"/>
      <c r="AG153" s="222"/>
      <c r="AH153" s="222"/>
      <c r="AI153" s="222"/>
      <c r="AJ153" s="222"/>
      <c r="AK153" s="222"/>
      <c r="AL153" s="222"/>
      <c r="AM153" s="222"/>
      <c r="AN153" s="222"/>
      <c r="AO153" s="222"/>
      <c r="AP153" s="222"/>
      <c r="AQ153" s="222"/>
      <c r="AR153" s="222"/>
      <c r="AS153" s="222"/>
      <c r="AT153" s="222"/>
      <c r="AU153" s="222"/>
      <c r="AV153" s="222"/>
      <c r="AW153" s="222"/>
      <c r="AX153" s="222"/>
      <c r="AY153" s="222"/>
      <c r="AZ153" s="222"/>
      <c r="BA153" s="222"/>
      <c r="BB153" s="222"/>
      <c r="BC153" s="222"/>
      <c r="BD153" s="222"/>
      <c r="BE153" s="222"/>
      <c r="BF153" s="222"/>
      <c r="BG153" s="222"/>
      <c r="BH153" s="222"/>
      <c r="BI153" s="222"/>
      <c r="BJ153" s="222"/>
      <c r="BK153" s="222"/>
      <c r="BL153" s="222"/>
      <c r="BM153" s="222"/>
      <c r="BN153" s="222"/>
      <c r="BO153" s="222"/>
      <c r="BP153" s="222"/>
      <c r="BQ153" s="222"/>
      <c r="BR153" s="222"/>
      <c r="BS153" s="222"/>
      <c r="BT153" s="222"/>
      <c r="BU153" s="222"/>
      <c r="BV153" s="222"/>
      <c r="BW153" s="222"/>
      <c r="BX153" s="222"/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22"/>
      <c r="CO153" s="222"/>
      <c r="CP153" s="222"/>
      <c r="CQ153" s="222"/>
      <c r="CR153" s="222"/>
      <c r="CS153" s="222"/>
      <c r="CT153" s="222"/>
      <c r="CU153" s="222"/>
      <c r="CV153" s="222"/>
      <c r="CW153" s="222"/>
      <c r="CX153" s="222"/>
      <c r="CY153" s="222"/>
      <c r="CZ153" s="222"/>
      <c r="DA153" s="222"/>
      <c r="DB153" s="222"/>
      <c r="DC153" s="222"/>
      <c r="DD153" s="222"/>
      <c r="DE153" s="222"/>
      <c r="DF153" s="222"/>
      <c r="DG153" s="222"/>
      <c r="DH153" s="222"/>
      <c r="DI153" s="222"/>
      <c r="DJ153" s="222"/>
      <c r="DK153" s="222"/>
      <c r="DL153" s="222"/>
      <c r="DM153" s="222"/>
      <c r="DN153" s="222"/>
      <c r="DO153" s="222"/>
      <c r="DP153" s="222"/>
      <c r="DQ153" s="222"/>
      <c r="DR153" s="222"/>
      <c r="DS153" s="222"/>
      <c r="DT153" s="222"/>
      <c r="DU153" s="222"/>
      <c r="DV153" s="222"/>
      <c r="DW153" s="325"/>
      <c r="DX153" s="325"/>
      <c r="DY153" s="325"/>
      <c r="DZ153" s="325"/>
      <c r="EA153" s="325"/>
      <c r="EB153" s="325"/>
      <c r="EC153" s="325"/>
      <c r="ED153" s="325"/>
      <c r="EE153" s="325"/>
      <c r="EF153" s="325"/>
      <c r="EG153" s="325"/>
      <c r="EH153" s="325"/>
    </row>
    <row r="154" spans="1:138">
      <c r="A154" s="222"/>
      <c r="B154" s="318"/>
      <c r="C154" s="313" t="s">
        <v>147</v>
      </c>
      <c r="D154" s="322">
        <f>(D153-D151)/D152</f>
        <v>0.51486070537227191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2"/>
      <c r="BN154" s="222"/>
      <c r="BO154" s="222"/>
      <c r="BP154" s="222"/>
      <c r="BQ154" s="22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22"/>
      <c r="CO154" s="222"/>
      <c r="CP154" s="222"/>
      <c r="CQ154" s="222"/>
      <c r="CR154" s="222"/>
      <c r="CS154" s="222"/>
      <c r="CT154" s="222"/>
      <c r="CU154" s="222"/>
      <c r="CV154" s="222"/>
      <c r="CW154" s="222"/>
      <c r="CX154" s="222"/>
      <c r="CY154" s="222"/>
      <c r="CZ154" s="222"/>
      <c r="DA154" s="222"/>
      <c r="DB154" s="222"/>
      <c r="DC154" s="222"/>
      <c r="DD154" s="222"/>
      <c r="DE154" s="222"/>
      <c r="DF154" s="222"/>
      <c r="DG154" s="222"/>
      <c r="DH154" s="222"/>
      <c r="DI154" s="222"/>
      <c r="DJ154" s="222"/>
      <c r="DK154" s="222"/>
      <c r="DL154" s="222"/>
      <c r="DM154" s="222"/>
      <c r="DN154" s="222"/>
      <c r="DO154" s="222"/>
      <c r="DP154" s="222"/>
      <c r="DQ154" s="222"/>
      <c r="DR154" s="222"/>
      <c r="DS154" s="222"/>
      <c r="DT154" s="222"/>
      <c r="DU154" s="222"/>
      <c r="DV154" s="222"/>
      <c r="DW154" s="325"/>
      <c r="DX154" s="325"/>
      <c r="DY154" s="325"/>
      <c r="DZ154" s="325"/>
      <c r="EA154" s="325"/>
      <c r="EB154" s="325"/>
      <c r="EC154" s="325"/>
      <c r="ED154" s="325"/>
      <c r="EE154" s="325"/>
      <c r="EF154" s="325"/>
      <c r="EG154" s="325"/>
      <c r="EH154" s="325"/>
    </row>
    <row r="157" spans="1:138">
      <c r="A157" s="222"/>
      <c r="B157" s="318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  <c r="BQ157" s="222"/>
      <c r="BR157" s="222"/>
      <c r="BS157" s="222"/>
      <c r="BT157" s="222"/>
      <c r="BU157" s="222"/>
      <c r="BV157" s="222"/>
      <c r="BW157" s="222"/>
      <c r="BX157" s="222"/>
      <c r="BY157" s="222"/>
      <c r="BZ157" s="222"/>
      <c r="CA157" s="222"/>
      <c r="CB157" s="222"/>
      <c r="CC157" s="222"/>
      <c r="CD157" s="222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2"/>
      <c r="CV157" s="222"/>
      <c r="CW157" s="222"/>
      <c r="CX157" s="222"/>
      <c r="CY157" s="222"/>
      <c r="CZ157" s="222"/>
      <c r="DA157" s="222"/>
      <c r="DB157" s="222"/>
      <c r="DC157" s="222"/>
      <c r="DD157" s="222"/>
      <c r="DE157" s="222"/>
      <c r="DF157" s="222"/>
      <c r="DG157" s="222"/>
      <c r="DH157" s="222"/>
      <c r="DI157" s="222"/>
      <c r="DJ157" s="222"/>
      <c r="DK157" s="222"/>
      <c r="DL157" s="222"/>
      <c r="DM157" s="222"/>
      <c r="DN157" s="222"/>
      <c r="DO157" s="222"/>
      <c r="DP157" s="222"/>
      <c r="DQ157" s="222"/>
      <c r="DR157" s="222"/>
      <c r="DS157" s="222"/>
      <c r="DT157" s="222"/>
      <c r="DU157" s="222"/>
      <c r="DV157" s="222"/>
      <c r="DW157" s="325"/>
      <c r="DX157" s="325"/>
      <c r="DY157" s="325"/>
      <c r="DZ157" s="325"/>
      <c r="EA157" s="325"/>
      <c r="EB157" s="325"/>
      <c r="EC157" s="325"/>
      <c r="ED157" s="325"/>
      <c r="EE157" s="325"/>
      <c r="EF157" s="325"/>
      <c r="EG157" s="325"/>
      <c r="EH157" s="325"/>
    </row>
    <row r="158" spans="1:138">
      <c r="A158" s="222"/>
      <c r="B158" s="318"/>
      <c r="C158" s="310" t="s">
        <v>308</v>
      </c>
      <c r="D158" s="311"/>
      <c r="E158" s="311">
        <f t="shared" ref="E158:G158" si="59">-(E5+E89)</f>
        <v>0</v>
      </c>
      <c r="F158" s="311">
        <f t="shared" si="59"/>
        <v>0</v>
      </c>
      <c r="G158" s="311">
        <f t="shared" si="59"/>
        <v>0</v>
      </c>
      <c r="H158" s="311">
        <f>-5341205.5</f>
        <v>-5341205.5</v>
      </c>
      <c r="I158" s="311">
        <f t="shared" ref="I158:S158" si="60">-(I5+I89)</f>
        <v>0</v>
      </c>
      <c r="J158" s="311">
        <f t="shared" si="60"/>
        <v>0</v>
      </c>
      <c r="K158" s="311">
        <f t="shared" si="60"/>
        <v>0</v>
      </c>
      <c r="L158" s="311">
        <f t="shared" si="60"/>
        <v>0</v>
      </c>
      <c r="M158" s="311">
        <f t="shared" si="60"/>
        <v>0</v>
      </c>
      <c r="N158" s="311">
        <f t="shared" si="60"/>
        <v>0</v>
      </c>
      <c r="O158" s="311">
        <f t="shared" si="60"/>
        <v>-3000000</v>
      </c>
      <c r="P158" s="311">
        <f t="shared" si="60"/>
        <v>0</v>
      </c>
      <c r="Q158" s="311">
        <f t="shared" si="60"/>
        <v>0</v>
      </c>
      <c r="R158" s="311">
        <f t="shared" si="60"/>
        <v>0</v>
      </c>
      <c r="S158" s="311">
        <f t="shared" si="60"/>
        <v>0</v>
      </c>
      <c r="T158" s="311">
        <f>5341205.5</f>
        <v>5341205.5</v>
      </c>
      <c r="U158" s="311">
        <f t="shared" ref="U158:BX158" si="61">-(U5+U89)</f>
        <v>0</v>
      </c>
      <c r="V158" s="311">
        <f t="shared" si="61"/>
        <v>0</v>
      </c>
      <c r="W158" s="311">
        <f t="shared" si="61"/>
        <v>0</v>
      </c>
      <c r="X158" s="311">
        <f t="shared" si="61"/>
        <v>0</v>
      </c>
      <c r="Y158" s="311">
        <f t="shared" si="61"/>
        <v>0</v>
      </c>
      <c r="Z158" s="311">
        <f t="shared" si="61"/>
        <v>0</v>
      </c>
      <c r="AA158" s="311">
        <f t="shared" si="61"/>
        <v>0</v>
      </c>
      <c r="AB158" s="311">
        <f t="shared" si="61"/>
        <v>0</v>
      </c>
      <c r="AC158" s="311">
        <f t="shared" si="61"/>
        <v>0</v>
      </c>
      <c r="AD158" s="311">
        <f t="shared" si="61"/>
        <v>0</v>
      </c>
      <c r="AE158" s="311">
        <f t="shared" si="61"/>
        <v>0</v>
      </c>
      <c r="AF158" s="311">
        <f t="shared" si="61"/>
        <v>0</v>
      </c>
      <c r="AG158" s="311">
        <f t="shared" si="61"/>
        <v>0</v>
      </c>
      <c r="AH158" s="311">
        <f t="shared" si="61"/>
        <v>0</v>
      </c>
      <c r="AI158" s="311">
        <f t="shared" si="61"/>
        <v>0</v>
      </c>
      <c r="AJ158" s="311">
        <f t="shared" si="61"/>
        <v>0</v>
      </c>
      <c r="AK158" s="311">
        <f t="shared" si="61"/>
        <v>0</v>
      </c>
      <c r="AL158" s="311">
        <f t="shared" si="61"/>
        <v>0</v>
      </c>
      <c r="AM158" s="311">
        <f t="shared" si="61"/>
        <v>0</v>
      </c>
      <c r="AN158" s="311">
        <f t="shared" si="61"/>
        <v>0</v>
      </c>
      <c r="AO158" s="311">
        <f t="shared" si="61"/>
        <v>0</v>
      </c>
      <c r="AP158" s="311">
        <f t="shared" si="61"/>
        <v>0</v>
      </c>
      <c r="AQ158" s="311">
        <f t="shared" si="61"/>
        <v>0</v>
      </c>
      <c r="AR158" s="311">
        <f t="shared" si="61"/>
        <v>0</v>
      </c>
      <c r="AS158" s="311">
        <f t="shared" si="61"/>
        <v>0</v>
      </c>
      <c r="AT158" s="311">
        <f t="shared" si="61"/>
        <v>0</v>
      </c>
      <c r="AU158" s="311">
        <f t="shared" si="61"/>
        <v>0</v>
      </c>
      <c r="AV158" s="311">
        <f t="shared" si="61"/>
        <v>0</v>
      </c>
      <c r="AW158" s="311">
        <f t="shared" si="61"/>
        <v>0</v>
      </c>
      <c r="AX158" s="311">
        <f t="shared" si="61"/>
        <v>0</v>
      </c>
      <c r="AY158" s="311">
        <f t="shared" si="61"/>
        <v>0</v>
      </c>
      <c r="AZ158" s="311">
        <f t="shared" si="61"/>
        <v>0</v>
      </c>
      <c r="BA158" s="311">
        <f t="shared" si="61"/>
        <v>0</v>
      </c>
      <c r="BB158" s="311">
        <f t="shared" si="61"/>
        <v>0</v>
      </c>
      <c r="BC158" s="311">
        <f t="shared" si="61"/>
        <v>0</v>
      </c>
      <c r="BD158" s="311">
        <f t="shared" si="61"/>
        <v>0</v>
      </c>
      <c r="BE158" s="311">
        <f t="shared" si="61"/>
        <v>0</v>
      </c>
      <c r="BF158" s="311">
        <f t="shared" si="61"/>
        <v>0</v>
      </c>
      <c r="BG158" s="311">
        <f t="shared" si="61"/>
        <v>0</v>
      </c>
      <c r="BH158" s="311">
        <f t="shared" si="61"/>
        <v>0</v>
      </c>
      <c r="BI158" s="311">
        <f t="shared" si="61"/>
        <v>0</v>
      </c>
      <c r="BJ158" s="311">
        <f t="shared" si="61"/>
        <v>0</v>
      </c>
      <c r="BK158" s="311">
        <f t="shared" si="61"/>
        <v>0</v>
      </c>
      <c r="BL158" s="311">
        <f t="shared" si="61"/>
        <v>0</v>
      </c>
      <c r="BM158" s="311">
        <f t="shared" si="61"/>
        <v>0</v>
      </c>
      <c r="BN158" s="311">
        <f t="shared" si="61"/>
        <v>0</v>
      </c>
      <c r="BO158" s="311">
        <f t="shared" si="61"/>
        <v>0</v>
      </c>
      <c r="BP158" s="311">
        <f t="shared" si="61"/>
        <v>0</v>
      </c>
      <c r="BQ158" s="311">
        <f t="shared" si="61"/>
        <v>0</v>
      </c>
      <c r="BR158" s="311">
        <f t="shared" si="61"/>
        <v>0</v>
      </c>
      <c r="BS158" s="311">
        <f t="shared" si="61"/>
        <v>0</v>
      </c>
      <c r="BT158" s="311">
        <f t="shared" si="61"/>
        <v>0</v>
      </c>
      <c r="BU158" s="311">
        <f t="shared" si="61"/>
        <v>0</v>
      </c>
      <c r="BV158" s="311">
        <f t="shared" si="61"/>
        <v>0</v>
      </c>
      <c r="BW158" s="311">
        <f t="shared" si="61"/>
        <v>0</v>
      </c>
      <c r="BX158" s="311">
        <f t="shared" si="61"/>
        <v>0</v>
      </c>
      <c r="BY158" s="222"/>
      <c r="BZ158" s="222"/>
      <c r="CA158" s="222"/>
      <c r="CB158" s="222"/>
      <c r="CC158" s="222"/>
      <c r="CD158" s="222"/>
      <c r="CE158" s="222"/>
      <c r="CF158" s="222"/>
      <c r="CG158" s="222"/>
      <c r="CH158" s="222"/>
      <c r="CI158" s="222"/>
      <c r="CJ158" s="222"/>
      <c r="CK158" s="222"/>
      <c r="CL158" s="222"/>
      <c r="CM158" s="222"/>
      <c r="CN158" s="222"/>
      <c r="CO158" s="222"/>
      <c r="CP158" s="222"/>
      <c r="CQ158" s="222"/>
      <c r="CR158" s="222"/>
      <c r="CS158" s="222"/>
      <c r="CT158" s="222"/>
      <c r="CU158" s="222"/>
      <c r="CV158" s="222"/>
      <c r="CW158" s="222"/>
      <c r="CX158" s="222"/>
      <c r="CY158" s="222"/>
      <c r="CZ158" s="222"/>
      <c r="DA158" s="222"/>
      <c r="DB158" s="222"/>
      <c r="DC158" s="222"/>
      <c r="DD158" s="222"/>
      <c r="DE158" s="222"/>
      <c r="DF158" s="222"/>
      <c r="DG158" s="222"/>
      <c r="DH158" s="222"/>
      <c r="DI158" s="222"/>
      <c r="DJ158" s="222"/>
      <c r="DK158" s="222"/>
      <c r="DL158" s="222"/>
      <c r="DM158" s="222"/>
      <c r="DN158" s="222"/>
      <c r="DO158" s="222"/>
      <c r="DP158" s="222"/>
      <c r="DQ158" s="222"/>
      <c r="DR158" s="222"/>
      <c r="DS158" s="222"/>
      <c r="DT158" s="222"/>
      <c r="DU158" s="222"/>
      <c r="DV158" s="222"/>
      <c r="DW158" s="325"/>
      <c r="DX158" s="325"/>
      <c r="DY158" s="325"/>
      <c r="DZ158" s="325"/>
      <c r="EA158" s="325"/>
      <c r="EB158" s="325"/>
      <c r="EC158" s="325"/>
      <c r="ED158" s="325"/>
      <c r="EE158" s="325"/>
      <c r="EF158" s="325"/>
      <c r="EG158" s="325"/>
      <c r="EH158" s="325"/>
    </row>
    <row r="159" spans="1:138">
      <c r="A159" s="222"/>
      <c r="B159" s="318"/>
      <c r="C159" s="310" t="s">
        <v>305</v>
      </c>
      <c r="D159" s="319"/>
      <c r="E159" s="311"/>
      <c r="F159" s="311"/>
      <c r="G159" s="311"/>
      <c r="H159" s="311"/>
      <c r="I159" s="311"/>
      <c r="J159" s="311"/>
      <c r="K159" s="311"/>
      <c r="L159" s="311"/>
      <c r="M159" s="311"/>
      <c r="N159" s="311"/>
      <c r="O159" s="311"/>
      <c r="P159" s="311"/>
      <c r="Q159" s="311"/>
      <c r="R159" s="311"/>
      <c r="S159" s="311"/>
      <c r="T159" s="311"/>
      <c r="U159" s="311"/>
      <c r="V159" s="311"/>
      <c r="W159" s="311"/>
      <c r="X159" s="311"/>
      <c r="Y159" s="311"/>
      <c r="Z159" s="311"/>
      <c r="AA159" s="311"/>
      <c r="AB159" s="311"/>
      <c r="AC159" s="311"/>
      <c r="AD159" s="311"/>
      <c r="AE159" s="311"/>
      <c r="AF159" s="311"/>
      <c r="AG159" s="311"/>
      <c r="AH159" s="311"/>
      <c r="AI159" s="311"/>
      <c r="AJ159" s="311"/>
      <c r="AK159" s="311"/>
      <c r="AL159" s="311"/>
      <c r="AM159" s="311"/>
      <c r="AN159" s="311"/>
      <c r="AO159" s="311"/>
      <c r="AP159" s="311"/>
      <c r="AQ159" s="311"/>
      <c r="AR159" s="311"/>
      <c r="AS159" s="311"/>
      <c r="AT159" s="311"/>
      <c r="AU159" s="311"/>
      <c r="AV159" s="311"/>
      <c r="AW159" s="311"/>
      <c r="AX159" s="311"/>
      <c r="AY159" s="311"/>
      <c r="AZ159" s="311"/>
      <c r="BA159" s="311"/>
      <c r="BB159" s="311"/>
      <c r="BC159" s="311"/>
      <c r="BD159" s="311"/>
      <c r="BE159" s="311"/>
      <c r="BF159" s="311"/>
      <c r="BG159" s="311"/>
      <c r="BH159" s="311"/>
      <c r="BI159" s="311"/>
      <c r="BJ159" s="311"/>
      <c r="BK159" s="311"/>
      <c r="BL159" s="311"/>
      <c r="BM159" s="311"/>
      <c r="BN159" s="311"/>
      <c r="BO159" s="311"/>
      <c r="BP159" s="311"/>
      <c r="BQ159" s="311"/>
      <c r="BR159" s="311"/>
      <c r="BS159" s="311"/>
      <c r="BT159" s="311"/>
      <c r="BU159" s="311"/>
      <c r="BV159" s="311"/>
      <c r="BW159" s="311"/>
      <c r="BX159" s="311"/>
      <c r="BY159" s="222"/>
      <c r="BZ159" s="222"/>
      <c r="CA159" s="222"/>
      <c r="CB159" s="222"/>
      <c r="CC159" s="222"/>
      <c r="CD159" s="222"/>
      <c r="CE159" s="222"/>
      <c r="CF159" s="222"/>
      <c r="CG159" s="222"/>
      <c r="CH159" s="222"/>
      <c r="CI159" s="222"/>
      <c r="CJ159" s="222"/>
      <c r="CK159" s="222"/>
      <c r="CL159" s="222"/>
      <c r="CM159" s="222"/>
      <c r="CN159" s="222"/>
      <c r="CO159" s="222"/>
      <c r="CP159" s="222"/>
      <c r="CQ159" s="222"/>
      <c r="CR159" s="222"/>
      <c r="CS159" s="222"/>
      <c r="CT159" s="222"/>
      <c r="CU159" s="222"/>
      <c r="CV159" s="222"/>
      <c r="CW159" s="222"/>
      <c r="CX159" s="222"/>
      <c r="CY159" s="222"/>
      <c r="CZ159" s="222"/>
      <c r="DA159" s="222"/>
      <c r="DB159" s="222"/>
      <c r="DC159" s="222"/>
      <c r="DD159" s="222"/>
      <c r="DE159" s="222"/>
      <c r="DF159" s="222"/>
      <c r="DG159" s="222"/>
      <c r="DH159" s="222"/>
      <c r="DI159" s="222"/>
      <c r="DJ159" s="222"/>
      <c r="DK159" s="222"/>
      <c r="DL159" s="222"/>
      <c r="DM159" s="222"/>
      <c r="DN159" s="222"/>
      <c r="DO159" s="222"/>
      <c r="DP159" s="222"/>
      <c r="DQ159" s="222"/>
      <c r="DR159" s="222"/>
      <c r="DS159" s="222"/>
      <c r="DT159" s="222"/>
      <c r="DU159" s="222"/>
      <c r="DV159" s="222"/>
      <c r="DW159" s="325"/>
      <c r="DX159" s="325"/>
      <c r="DY159" s="325"/>
      <c r="DZ159" s="325"/>
      <c r="EA159" s="325"/>
      <c r="EB159" s="325"/>
      <c r="EC159" s="325"/>
      <c r="ED159" s="325"/>
      <c r="EE159" s="325"/>
      <c r="EF159" s="325"/>
      <c r="EG159" s="325"/>
      <c r="EH159" s="325"/>
    </row>
    <row r="160" spans="1:138">
      <c r="A160" s="222"/>
      <c r="B160" s="318"/>
      <c r="C160" s="310" t="s">
        <v>296</v>
      </c>
      <c r="D160" s="319"/>
      <c r="E160" s="311">
        <f t="shared" ref="E160:BX160" si="62">-E54</f>
        <v>0</v>
      </c>
      <c r="F160" s="311">
        <f t="shared" si="62"/>
        <v>0</v>
      </c>
      <c r="G160" s="311">
        <f t="shared" si="62"/>
        <v>0</v>
      </c>
      <c r="H160" s="311">
        <f t="shared" si="62"/>
        <v>0</v>
      </c>
      <c r="I160" s="311">
        <f t="shared" si="62"/>
        <v>0</v>
      </c>
      <c r="J160" s="311">
        <f t="shared" si="62"/>
        <v>0</v>
      </c>
      <c r="K160" s="311">
        <f t="shared" si="62"/>
        <v>0</v>
      </c>
      <c r="L160" s="311">
        <f t="shared" si="62"/>
        <v>0</v>
      </c>
      <c r="M160" s="311">
        <f t="shared" si="62"/>
        <v>0</v>
      </c>
      <c r="N160" s="311">
        <f t="shared" si="62"/>
        <v>0</v>
      </c>
      <c r="O160" s="311">
        <f t="shared" si="62"/>
        <v>0</v>
      </c>
      <c r="P160" s="311">
        <f t="shared" si="62"/>
        <v>0</v>
      </c>
      <c r="Q160" s="311">
        <f t="shared" si="62"/>
        <v>0</v>
      </c>
      <c r="R160" s="311">
        <f t="shared" si="62"/>
        <v>0</v>
      </c>
      <c r="S160" s="311">
        <f t="shared" si="62"/>
        <v>0</v>
      </c>
      <c r="T160" s="311">
        <f t="shared" si="62"/>
        <v>0</v>
      </c>
      <c r="U160" s="311">
        <f t="shared" si="62"/>
        <v>0</v>
      </c>
      <c r="V160" s="311">
        <f t="shared" si="62"/>
        <v>0</v>
      </c>
      <c r="W160" s="311">
        <f t="shared" si="62"/>
        <v>0</v>
      </c>
      <c r="X160" s="311">
        <f t="shared" si="62"/>
        <v>0</v>
      </c>
      <c r="Y160" s="311">
        <f t="shared" si="62"/>
        <v>0</v>
      </c>
      <c r="Z160" s="311">
        <f t="shared" si="62"/>
        <v>0</v>
      </c>
      <c r="AA160" s="311">
        <f t="shared" si="62"/>
        <v>0</v>
      </c>
      <c r="AB160" s="311">
        <f t="shared" si="62"/>
        <v>0</v>
      </c>
      <c r="AC160" s="311">
        <f t="shared" si="62"/>
        <v>0</v>
      </c>
      <c r="AD160" s="311">
        <f t="shared" si="62"/>
        <v>0</v>
      </c>
      <c r="AE160" s="311">
        <f t="shared" si="62"/>
        <v>0</v>
      </c>
      <c r="AF160" s="311">
        <f t="shared" si="62"/>
        <v>0</v>
      </c>
      <c r="AG160" s="311">
        <f t="shared" si="62"/>
        <v>0</v>
      </c>
      <c r="AH160" s="311">
        <f t="shared" si="62"/>
        <v>0</v>
      </c>
      <c r="AI160" s="311">
        <f t="shared" si="62"/>
        <v>0</v>
      </c>
      <c r="AJ160" s="311">
        <f t="shared" si="62"/>
        <v>0</v>
      </c>
      <c r="AK160" s="311">
        <f t="shared" si="62"/>
        <v>0</v>
      </c>
      <c r="AL160" s="311">
        <f t="shared" si="62"/>
        <v>0</v>
      </c>
      <c r="AM160" s="311">
        <f t="shared" si="62"/>
        <v>0</v>
      </c>
      <c r="AN160" s="311">
        <f t="shared" si="62"/>
        <v>0</v>
      </c>
      <c r="AO160" s="311">
        <f t="shared" si="62"/>
        <v>0</v>
      </c>
      <c r="AP160" s="311">
        <f t="shared" si="62"/>
        <v>0</v>
      </c>
      <c r="AQ160" s="311">
        <f t="shared" si="62"/>
        <v>0</v>
      </c>
      <c r="AR160" s="311">
        <f t="shared" si="62"/>
        <v>0</v>
      </c>
      <c r="AS160" s="311">
        <f t="shared" si="62"/>
        <v>0</v>
      </c>
      <c r="AT160" s="311">
        <f t="shared" si="62"/>
        <v>0</v>
      </c>
      <c r="AU160" s="311">
        <f t="shared" si="62"/>
        <v>0</v>
      </c>
      <c r="AV160" s="311">
        <f t="shared" si="62"/>
        <v>0</v>
      </c>
      <c r="AW160" s="311">
        <f t="shared" si="62"/>
        <v>0</v>
      </c>
      <c r="AX160" s="311">
        <f t="shared" si="62"/>
        <v>0</v>
      </c>
      <c r="AY160" s="311">
        <f t="shared" si="62"/>
        <v>0</v>
      </c>
      <c r="AZ160" s="311">
        <f t="shared" si="62"/>
        <v>0</v>
      </c>
      <c r="BA160" s="311">
        <f t="shared" si="62"/>
        <v>0</v>
      </c>
      <c r="BB160" s="311">
        <f t="shared" si="62"/>
        <v>0</v>
      </c>
      <c r="BC160" s="311">
        <f t="shared" si="62"/>
        <v>0</v>
      </c>
      <c r="BD160" s="311">
        <f t="shared" si="62"/>
        <v>0</v>
      </c>
      <c r="BE160" s="311">
        <f t="shared" si="62"/>
        <v>0</v>
      </c>
      <c r="BF160" s="311">
        <f t="shared" si="62"/>
        <v>0</v>
      </c>
      <c r="BG160" s="311">
        <f t="shared" si="62"/>
        <v>0</v>
      </c>
      <c r="BH160" s="311">
        <f t="shared" si="62"/>
        <v>0</v>
      </c>
      <c r="BI160" s="311">
        <f t="shared" si="62"/>
        <v>0</v>
      </c>
      <c r="BJ160" s="311">
        <f t="shared" si="62"/>
        <v>0</v>
      </c>
      <c r="BK160" s="311">
        <f t="shared" si="62"/>
        <v>0</v>
      </c>
      <c r="BL160" s="311">
        <f t="shared" si="62"/>
        <v>0</v>
      </c>
      <c r="BM160" s="311">
        <f t="shared" si="62"/>
        <v>0</v>
      </c>
      <c r="BN160" s="311">
        <f t="shared" si="62"/>
        <v>0</v>
      </c>
      <c r="BO160" s="311">
        <f t="shared" si="62"/>
        <v>0</v>
      </c>
      <c r="BP160" s="311">
        <f t="shared" si="62"/>
        <v>0</v>
      </c>
      <c r="BQ160" s="311">
        <f t="shared" si="62"/>
        <v>0</v>
      </c>
      <c r="BR160" s="311">
        <f t="shared" si="62"/>
        <v>0</v>
      </c>
      <c r="BS160" s="311">
        <f t="shared" si="62"/>
        <v>0</v>
      </c>
      <c r="BT160" s="311">
        <f t="shared" si="62"/>
        <v>0</v>
      </c>
      <c r="BU160" s="311">
        <f t="shared" si="62"/>
        <v>0</v>
      </c>
      <c r="BV160" s="311">
        <f t="shared" si="62"/>
        <v>0</v>
      </c>
      <c r="BW160" s="311">
        <f t="shared" si="62"/>
        <v>0</v>
      </c>
      <c r="BX160" s="311">
        <f t="shared" si="62"/>
        <v>0</v>
      </c>
      <c r="BY160" s="222"/>
      <c r="BZ160" s="222"/>
      <c r="CA160" s="222"/>
      <c r="CB160" s="222"/>
      <c r="CC160" s="222"/>
      <c r="CD160" s="222"/>
      <c r="CE160" s="222"/>
      <c r="CF160" s="222"/>
      <c r="CG160" s="222"/>
      <c r="CH160" s="222"/>
      <c r="CI160" s="222"/>
      <c r="CJ160" s="222"/>
      <c r="CK160" s="222"/>
      <c r="CL160" s="222"/>
      <c r="CM160" s="222"/>
      <c r="CN160" s="222"/>
      <c r="CO160" s="222"/>
      <c r="CP160" s="222"/>
      <c r="CQ160" s="222"/>
      <c r="CR160" s="222"/>
      <c r="CS160" s="222"/>
      <c r="CT160" s="222"/>
      <c r="CU160" s="222"/>
      <c r="CV160" s="222"/>
      <c r="CW160" s="222"/>
      <c r="CX160" s="222"/>
      <c r="CY160" s="222"/>
      <c r="CZ160" s="222"/>
      <c r="DA160" s="222"/>
      <c r="DB160" s="222"/>
      <c r="DC160" s="222"/>
      <c r="DD160" s="222"/>
      <c r="DE160" s="222"/>
      <c r="DF160" s="222"/>
      <c r="DG160" s="222"/>
      <c r="DH160" s="222"/>
      <c r="DI160" s="222"/>
      <c r="DJ160" s="222"/>
      <c r="DK160" s="222"/>
      <c r="DL160" s="222"/>
      <c r="DM160" s="222"/>
      <c r="DN160" s="222"/>
      <c r="DO160" s="222"/>
      <c r="DP160" s="222"/>
      <c r="DQ160" s="222"/>
      <c r="DR160" s="222"/>
      <c r="DS160" s="222"/>
      <c r="DT160" s="222"/>
      <c r="DU160" s="222"/>
      <c r="DV160" s="222"/>
      <c r="DW160" s="325"/>
      <c r="DX160" s="325"/>
      <c r="DY160" s="325"/>
      <c r="DZ160" s="325"/>
      <c r="EA160" s="325"/>
      <c r="EB160" s="325"/>
      <c r="EC160" s="325"/>
      <c r="ED160" s="325"/>
      <c r="EE160" s="325"/>
      <c r="EF160" s="325"/>
      <c r="EG160" s="325"/>
      <c r="EH160" s="325"/>
    </row>
    <row r="161" spans="1:138">
      <c r="A161" s="222"/>
      <c r="B161" s="318"/>
      <c r="C161" s="310" t="s">
        <v>297</v>
      </c>
      <c r="D161" s="319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>
        <v>2750000</v>
      </c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>
        <f>IF(D101&gt;0.25,(BX96-BX104)*D162,BX96*D162)</f>
        <v>0</v>
      </c>
      <c r="BY161" s="222"/>
      <c r="BZ161" s="222"/>
      <c r="CA161" s="222"/>
      <c r="CB161" s="222"/>
      <c r="CC161" s="222"/>
      <c r="CD161" s="222"/>
      <c r="CE161" s="222"/>
      <c r="CF161" s="222"/>
      <c r="CG161" s="222"/>
      <c r="CH161" s="222"/>
      <c r="CI161" s="222"/>
      <c r="CJ161" s="222"/>
      <c r="CK161" s="222"/>
      <c r="CL161" s="222"/>
      <c r="CM161" s="222"/>
      <c r="CN161" s="222"/>
      <c r="CO161" s="222"/>
      <c r="CP161" s="222"/>
      <c r="CQ161" s="222"/>
      <c r="CR161" s="222"/>
      <c r="CS161" s="222"/>
      <c r="CT161" s="222"/>
      <c r="CU161" s="222"/>
      <c r="CV161" s="222"/>
      <c r="CW161" s="222"/>
      <c r="CX161" s="222"/>
      <c r="CY161" s="222"/>
      <c r="CZ161" s="222"/>
      <c r="DA161" s="222"/>
      <c r="DB161" s="222"/>
      <c r="DC161" s="222"/>
      <c r="DD161" s="222"/>
      <c r="DE161" s="222"/>
      <c r="DF161" s="222"/>
      <c r="DG161" s="222"/>
      <c r="DH161" s="222"/>
      <c r="DI161" s="222"/>
      <c r="DJ161" s="222"/>
      <c r="DK161" s="222"/>
      <c r="DL161" s="222"/>
      <c r="DM161" s="222"/>
      <c r="DN161" s="222"/>
      <c r="DO161" s="222"/>
      <c r="DP161" s="222"/>
      <c r="DQ161" s="222"/>
      <c r="DR161" s="222"/>
      <c r="DS161" s="222"/>
      <c r="DT161" s="222"/>
      <c r="DU161" s="222"/>
      <c r="DV161" s="222"/>
      <c r="DW161" s="325"/>
      <c r="DX161" s="325"/>
      <c r="DY161" s="325"/>
      <c r="DZ161" s="325"/>
      <c r="EA161" s="325"/>
      <c r="EB161" s="325"/>
      <c r="EC161" s="325"/>
      <c r="ED161" s="325"/>
      <c r="EE161" s="325"/>
      <c r="EF161" s="325"/>
      <c r="EG161" s="325"/>
      <c r="EH161" s="325"/>
    </row>
    <row r="162" spans="1:138">
      <c r="A162" s="222"/>
      <c r="B162" s="318"/>
      <c r="C162" s="313" t="s">
        <v>298</v>
      </c>
      <c r="D162" s="319">
        <v>0.2</v>
      </c>
      <c r="E162" s="242"/>
      <c r="F162" s="242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2"/>
      <c r="V162" s="242"/>
      <c r="W162" s="242"/>
      <c r="X162" s="242"/>
      <c r="Y162" s="242"/>
      <c r="Z162" s="242"/>
      <c r="AA162" s="242"/>
      <c r="AB162" s="242"/>
      <c r="AC162" s="242"/>
      <c r="AD162" s="242"/>
      <c r="AE162" s="242"/>
      <c r="AF162" s="242"/>
      <c r="AG162" s="242"/>
      <c r="AH162" s="242"/>
      <c r="AI162" s="242"/>
      <c r="AJ162" s="242"/>
      <c r="AK162" s="242"/>
      <c r="AL162" s="242"/>
      <c r="AM162" s="242"/>
      <c r="AN162" s="242"/>
      <c r="AO162" s="242"/>
      <c r="AP162" s="242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22"/>
      <c r="BZ162" s="222"/>
      <c r="CA162" s="222"/>
      <c r="CB162" s="222"/>
      <c r="CC162" s="222"/>
      <c r="CD162" s="222"/>
      <c r="CE162" s="222"/>
      <c r="CF162" s="222"/>
      <c r="CG162" s="222"/>
      <c r="CH162" s="222"/>
      <c r="CI162" s="222"/>
      <c r="CJ162" s="222"/>
      <c r="CK162" s="222"/>
      <c r="CL162" s="222"/>
      <c r="CM162" s="222"/>
      <c r="CN162" s="222"/>
      <c r="CO162" s="222"/>
      <c r="CP162" s="222"/>
      <c r="CQ162" s="222"/>
      <c r="CR162" s="222"/>
      <c r="CS162" s="222"/>
      <c r="CT162" s="222"/>
      <c r="CU162" s="222"/>
      <c r="CV162" s="222"/>
      <c r="CW162" s="222"/>
      <c r="CX162" s="222"/>
      <c r="CY162" s="222"/>
      <c r="CZ162" s="222"/>
      <c r="DA162" s="222"/>
      <c r="DB162" s="222"/>
      <c r="DC162" s="222"/>
      <c r="DD162" s="222"/>
      <c r="DE162" s="222"/>
      <c r="DF162" s="222"/>
      <c r="DG162" s="222"/>
      <c r="DH162" s="222"/>
      <c r="DI162" s="222"/>
      <c r="DJ162" s="222"/>
      <c r="DK162" s="222"/>
      <c r="DL162" s="222"/>
      <c r="DM162" s="222"/>
      <c r="DN162" s="222"/>
      <c r="DO162" s="222"/>
      <c r="DP162" s="222"/>
      <c r="DQ162" s="222"/>
      <c r="DR162" s="222"/>
      <c r="DS162" s="222"/>
      <c r="DT162" s="222"/>
      <c r="DU162" s="222"/>
      <c r="DV162" s="222"/>
      <c r="DW162" s="325"/>
      <c r="DX162" s="325"/>
      <c r="DY162" s="325"/>
      <c r="DZ162" s="325"/>
      <c r="EA162" s="325"/>
      <c r="EB162" s="325"/>
      <c r="EC162" s="325"/>
      <c r="ED162" s="325"/>
      <c r="EE162" s="325"/>
      <c r="EF162" s="325"/>
      <c r="EG162" s="325"/>
      <c r="EH162" s="325"/>
    </row>
    <row r="163" spans="1:138">
      <c r="A163" s="222"/>
      <c r="B163" s="318"/>
      <c r="C163" s="310" t="s">
        <v>299</v>
      </c>
      <c r="D163" s="311"/>
      <c r="E163" s="321">
        <f t="shared" ref="E163:BX163" si="63">E158+E159+E160+E161+E162</f>
        <v>0</v>
      </c>
      <c r="F163" s="321">
        <f t="shared" si="63"/>
        <v>0</v>
      </c>
      <c r="G163" s="321">
        <f t="shared" si="63"/>
        <v>0</v>
      </c>
      <c r="H163" s="321">
        <f t="shared" si="63"/>
        <v>-5341205.5</v>
      </c>
      <c r="I163" s="321">
        <f t="shared" si="63"/>
        <v>0</v>
      </c>
      <c r="J163" s="321">
        <f t="shared" si="63"/>
        <v>0</v>
      </c>
      <c r="K163" s="321">
        <f t="shared" si="63"/>
        <v>0</v>
      </c>
      <c r="L163" s="321">
        <f t="shared" si="63"/>
        <v>0</v>
      </c>
      <c r="M163" s="321">
        <f t="shared" si="63"/>
        <v>0</v>
      </c>
      <c r="N163" s="321">
        <f t="shared" si="63"/>
        <v>0</v>
      </c>
      <c r="O163" s="321">
        <f t="shared" si="63"/>
        <v>-3000000</v>
      </c>
      <c r="P163" s="321">
        <f t="shared" si="63"/>
        <v>0</v>
      </c>
      <c r="Q163" s="321">
        <f t="shared" si="63"/>
        <v>0</v>
      </c>
      <c r="R163" s="321">
        <f t="shared" si="63"/>
        <v>0</v>
      </c>
      <c r="S163" s="321">
        <f t="shared" si="63"/>
        <v>0</v>
      </c>
      <c r="T163" s="321">
        <f t="shared" si="63"/>
        <v>8091205.5</v>
      </c>
      <c r="U163" s="321">
        <f t="shared" si="63"/>
        <v>0</v>
      </c>
      <c r="V163" s="321">
        <f t="shared" si="63"/>
        <v>0</v>
      </c>
      <c r="W163" s="321">
        <f t="shared" si="63"/>
        <v>0</v>
      </c>
      <c r="X163" s="321">
        <f t="shared" si="63"/>
        <v>0</v>
      </c>
      <c r="Y163" s="321">
        <f t="shared" si="63"/>
        <v>0</v>
      </c>
      <c r="Z163" s="321">
        <f t="shared" si="63"/>
        <v>0</v>
      </c>
      <c r="AA163" s="321">
        <f t="shared" si="63"/>
        <v>0</v>
      </c>
      <c r="AB163" s="321">
        <f t="shared" si="63"/>
        <v>0</v>
      </c>
      <c r="AC163" s="321">
        <f t="shared" si="63"/>
        <v>0</v>
      </c>
      <c r="AD163" s="321">
        <f t="shared" si="63"/>
        <v>0</v>
      </c>
      <c r="AE163" s="321">
        <f t="shared" si="63"/>
        <v>0</v>
      </c>
      <c r="AF163" s="321">
        <f t="shared" si="63"/>
        <v>0</v>
      </c>
      <c r="AG163" s="321">
        <f t="shared" si="63"/>
        <v>0</v>
      </c>
      <c r="AH163" s="321">
        <f t="shared" si="63"/>
        <v>0</v>
      </c>
      <c r="AI163" s="321">
        <f t="shared" si="63"/>
        <v>0</v>
      </c>
      <c r="AJ163" s="321">
        <f t="shared" si="63"/>
        <v>0</v>
      </c>
      <c r="AK163" s="321">
        <f t="shared" si="63"/>
        <v>0</v>
      </c>
      <c r="AL163" s="321">
        <f t="shared" si="63"/>
        <v>0</v>
      </c>
      <c r="AM163" s="321">
        <f t="shared" si="63"/>
        <v>0</v>
      </c>
      <c r="AN163" s="321">
        <f t="shared" si="63"/>
        <v>0</v>
      </c>
      <c r="AO163" s="321">
        <f t="shared" si="63"/>
        <v>0</v>
      </c>
      <c r="AP163" s="321">
        <f t="shared" si="63"/>
        <v>0</v>
      </c>
      <c r="AQ163" s="321">
        <f t="shared" si="63"/>
        <v>0</v>
      </c>
      <c r="AR163" s="321">
        <f t="shared" si="63"/>
        <v>0</v>
      </c>
      <c r="AS163" s="321">
        <f t="shared" si="63"/>
        <v>0</v>
      </c>
      <c r="AT163" s="321">
        <f t="shared" si="63"/>
        <v>0</v>
      </c>
      <c r="AU163" s="321">
        <f t="shared" si="63"/>
        <v>0</v>
      </c>
      <c r="AV163" s="321">
        <f t="shared" si="63"/>
        <v>0</v>
      </c>
      <c r="AW163" s="321">
        <f t="shared" si="63"/>
        <v>0</v>
      </c>
      <c r="AX163" s="321">
        <f t="shared" si="63"/>
        <v>0</v>
      </c>
      <c r="AY163" s="321">
        <f t="shared" si="63"/>
        <v>0</v>
      </c>
      <c r="AZ163" s="321">
        <f t="shared" si="63"/>
        <v>0</v>
      </c>
      <c r="BA163" s="321">
        <f t="shared" si="63"/>
        <v>0</v>
      </c>
      <c r="BB163" s="321">
        <f t="shared" si="63"/>
        <v>0</v>
      </c>
      <c r="BC163" s="321">
        <f t="shared" si="63"/>
        <v>0</v>
      </c>
      <c r="BD163" s="321">
        <f t="shared" si="63"/>
        <v>0</v>
      </c>
      <c r="BE163" s="321">
        <f t="shared" si="63"/>
        <v>0</v>
      </c>
      <c r="BF163" s="321">
        <f t="shared" si="63"/>
        <v>0</v>
      </c>
      <c r="BG163" s="321">
        <f t="shared" si="63"/>
        <v>0</v>
      </c>
      <c r="BH163" s="321">
        <f t="shared" si="63"/>
        <v>0</v>
      </c>
      <c r="BI163" s="321">
        <f t="shared" si="63"/>
        <v>0</v>
      </c>
      <c r="BJ163" s="321">
        <f t="shared" si="63"/>
        <v>0</v>
      </c>
      <c r="BK163" s="321">
        <f t="shared" si="63"/>
        <v>0</v>
      </c>
      <c r="BL163" s="321">
        <f t="shared" si="63"/>
        <v>0</v>
      </c>
      <c r="BM163" s="321">
        <f t="shared" si="63"/>
        <v>0</v>
      </c>
      <c r="BN163" s="321">
        <f t="shared" si="63"/>
        <v>0</v>
      </c>
      <c r="BO163" s="321">
        <f t="shared" si="63"/>
        <v>0</v>
      </c>
      <c r="BP163" s="321">
        <f t="shared" si="63"/>
        <v>0</v>
      </c>
      <c r="BQ163" s="321">
        <f t="shared" si="63"/>
        <v>0</v>
      </c>
      <c r="BR163" s="321">
        <f t="shared" si="63"/>
        <v>0</v>
      </c>
      <c r="BS163" s="321">
        <f t="shared" si="63"/>
        <v>0</v>
      </c>
      <c r="BT163" s="321">
        <f t="shared" si="63"/>
        <v>0</v>
      </c>
      <c r="BU163" s="321">
        <f t="shared" si="63"/>
        <v>0</v>
      </c>
      <c r="BV163" s="321">
        <f t="shared" si="63"/>
        <v>0</v>
      </c>
      <c r="BW163" s="321">
        <f t="shared" si="63"/>
        <v>0</v>
      </c>
      <c r="BX163" s="321">
        <f t="shared" si="63"/>
        <v>0</v>
      </c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  <c r="CJ163" s="222"/>
      <c r="CK163" s="222"/>
      <c r="CL163" s="222"/>
      <c r="CM163" s="222"/>
      <c r="CN163" s="222"/>
      <c r="CO163" s="222"/>
      <c r="CP163" s="222"/>
      <c r="CQ163" s="222"/>
      <c r="CR163" s="222"/>
      <c r="CS163" s="222"/>
      <c r="CT163" s="222"/>
      <c r="CU163" s="222"/>
      <c r="CV163" s="222"/>
      <c r="CW163" s="222"/>
      <c r="CX163" s="222"/>
      <c r="CY163" s="222"/>
      <c r="CZ163" s="222"/>
      <c r="DA163" s="222"/>
      <c r="DB163" s="222"/>
      <c r="DC163" s="222"/>
      <c r="DD163" s="222"/>
      <c r="DE163" s="222"/>
      <c r="DF163" s="222"/>
      <c r="DG163" s="222"/>
      <c r="DH163" s="222"/>
      <c r="DI163" s="222"/>
      <c r="DJ163" s="222"/>
      <c r="DK163" s="222"/>
      <c r="DL163" s="222"/>
      <c r="DM163" s="222"/>
      <c r="DN163" s="222"/>
      <c r="DO163" s="222"/>
      <c r="DP163" s="222"/>
      <c r="DQ163" s="222"/>
      <c r="DR163" s="222"/>
      <c r="DS163" s="222"/>
      <c r="DT163" s="222"/>
      <c r="DU163" s="222"/>
      <c r="DV163" s="222"/>
      <c r="DW163" s="325"/>
      <c r="DX163" s="325"/>
      <c r="DY163" s="325"/>
      <c r="DZ163" s="325"/>
      <c r="EA163" s="325"/>
      <c r="EB163" s="325"/>
      <c r="EC163" s="325"/>
      <c r="ED163" s="325"/>
      <c r="EE163" s="325"/>
      <c r="EF163" s="325"/>
      <c r="EG163" s="325"/>
      <c r="EH163" s="325"/>
    </row>
    <row r="164" spans="1:138">
      <c r="A164" s="222"/>
      <c r="B164" s="318"/>
      <c r="C164" s="314"/>
      <c r="D164" s="322" t="s">
        <v>306</v>
      </c>
      <c r="E164" s="327">
        <f>E163</f>
        <v>0</v>
      </c>
      <c r="F164" s="327">
        <f t="shared" ref="F164:BX164" si="64">E164+F163</f>
        <v>0</v>
      </c>
      <c r="G164" s="327">
        <f t="shared" si="64"/>
        <v>0</v>
      </c>
      <c r="H164" s="327">
        <f t="shared" si="64"/>
        <v>-5341205.5</v>
      </c>
      <c r="I164" s="327">
        <f t="shared" si="64"/>
        <v>-5341205.5</v>
      </c>
      <c r="J164" s="327">
        <f t="shared" si="64"/>
        <v>-5341205.5</v>
      </c>
      <c r="K164" s="327">
        <f t="shared" si="64"/>
        <v>-5341205.5</v>
      </c>
      <c r="L164" s="327">
        <f t="shared" si="64"/>
        <v>-5341205.5</v>
      </c>
      <c r="M164" s="327">
        <f t="shared" si="64"/>
        <v>-5341205.5</v>
      </c>
      <c r="N164" s="327">
        <f t="shared" si="64"/>
        <v>-5341205.5</v>
      </c>
      <c r="O164" s="327">
        <f t="shared" si="64"/>
        <v>-8341205.5</v>
      </c>
      <c r="P164" s="327">
        <f t="shared" si="64"/>
        <v>-8341205.5</v>
      </c>
      <c r="Q164" s="327">
        <f t="shared" si="64"/>
        <v>-8341205.5</v>
      </c>
      <c r="R164" s="327">
        <f t="shared" si="64"/>
        <v>-8341205.5</v>
      </c>
      <c r="S164" s="327">
        <f t="shared" si="64"/>
        <v>-8341205.5</v>
      </c>
      <c r="T164" s="327">
        <f t="shared" si="64"/>
        <v>-250000</v>
      </c>
      <c r="U164" s="327">
        <f t="shared" si="64"/>
        <v>-250000</v>
      </c>
      <c r="V164" s="327">
        <f t="shared" si="64"/>
        <v>-250000</v>
      </c>
      <c r="W164" s="327">
        <f t="shared" si="64"/>
        <v>-250000</v>
      </c>
      <c r="X164" s="327">
        <f t="shared" si="64"/>
        <v>-250000</v>
      </c>
      <c r="Y164" s="327">
        <f t="shared" si="64"/>
        <v>-250000</v>
      </c>
      <c r="Z164" s="327">
        <f t="shared" si="64"/>
        <v>-250000</v>
      </c>
      <c r="AA164" s="327">
        <f t="shared" si="64"/>
        <v>-250000</v>
      </c>
      <c r="AB164" s="327">
        <f t="shared" si="64"/>
        <v>-250000</v>
      </c>
      <c r="AC164" s="327">
        <f t="shared" si="64"/>
        <v>-250000</v>
      </c>
      <c r="AD164" s="327">
        <f t="shared" si="64"/>
        <v>-250000</v>
      </c>
      <c r="AE164" s="327">
        <f t="shared" si="64"/>
        <v>-250000</v>
      </c>
      <c r="AF164" s="327">
        <f t="shared" si="64"/>
        <v>-250000</v>
      </c>
      <c r="AG164" s="327">
        <f t="shared" si="64"/>
        <v>-250000</v>
      </c>
      <c r="AH164" s="327">
        <f t="shared" si="64"/>
        <v>-250000</v>
      </c>
      <c r="AI164" s="327">
        <f t="shared" si="64"/>
        <v>-250000</v>
      </c>
      <c r="AJ164" s="327">
        <f t="shared" si="64"/>
        <v>-250000</v>
      </c>
      <c r="AK164" s="327">
        <f t="shared" si="64"/>
        <v>-250000</v>
      </c>
      <c r="AL164" s="327">
        <f t="shared" si="64"/>
        <v>-250000</v>
      </c>
      <c r="AM164" s="327">
        <f t="shared" si="64"/>
        <v>-250000</v>
      </c>
      <c r="AN164" s="327">
        <f t="shared" si="64"/>
        <v>-250000</v>
      </c>
      <c r="AO164" s="327">
        <f t="shared" si="64"/>
        <v>-250000</v>
      </c>
      <c r="AP164" s="327">
        <f t="shared" si="64"/>
        <v>-250000</v>
      </c>
      <c r="AQ164" s="327">
        <f t="shared" si="64"/>
        <v>-250000</v>
      </c>
      <c r="AR164" s="327">
        <f t="shared" si="64"/>
        <v>-250000</v>
      </c>
      <c r="AS164" s="327">
        <f t="shared" si="64"/>
        <v>-250000</v>
      </c>
      <c r="AT164" s="327">
        <f t="shared" si="64"/>
        <v>-250000</v>
      </c>
      <c r="AU164" s="327">
        <f t="shared" si="64"/>
        <v>-250000</v>
      </c>
      <c r="AV164" s="327">
        <f t="shared" si="64"/>
        <v>-250000</v>
      </c>
      <c r="AW164" s="327">
        <f t="shared" si="64"/>
        <v>-250000</v>
      </c>
      <c r="AX164" s="327">
        <f t="shared" si="64"/>
        <v>-250000</v>
      </c>
      <c r="AY164" s="327">
        <f t="shared" si="64"/>
        <v>-250000</v>
      </c>
      <c r="AZ164" s="327">
        <f t="shared" si="64"/>
        <v>-250000</v>
      </c>
      <c r="BA164" s="327">
        <f t="shared" si="64"/>
        <v>-250000</v>
      </c>
      <c r="BB164" s="327">
        <f t="shared" si="64"/>
        <v>-250000</v>
      </c>
      <c r="BC164" s="327">
        <f t="shared" si="64"/>
        <v>-250000</v>
      </c>
      <c r="BD164" s="327">
        <f t="shared" si="64"/>
        <v>-250000</v>
      </c>
      <c r="BE164" s="327">
        <f t="shared" si="64"/>
        <v>-250000</v>
      </c>
      <c r="BF164" s="327">
        <f t="shared" si="64"/>
        <v>-250000</v>
      </c>
      <c r="BG164" s="327">
        <f t="shared" si="64"/>
        <v>-250000</v>
      </c>
      <c r="BH164" s="327">
        <f t="shared" si="64"/>
        <v>-250000</v>
      </c>
      <c r="BI164" s="327">
        <f t="shared" si="64"/>
        <v>-250000</v>
      </c>
      <c r="BJ164" s="327">
        <f t="shared" si="64"/>
        <v>-250000</v>
      </c>
      <c r="BK164" s="327">
        <f t="shared" si="64"/>
        <v>-250000</v>
      </c>
      <c r="BL164" s="327">
        <f t="shared" si="64"/>
        <v>-250000</v>
      </c>
      <c r="BM164" s="327">
        <f t="shared" si="64"/>
        <v>-250000</v>
      </c>
      <c r="BN164" s="327">
        <f t="shared" si="64"/>
        <v>-250000</v>
      </c>
      <c r="BO164" s="327">
        <f t="shared" si="64"/>
        <v>-250000</v>
      </c>
      <c r="BP164" s="327">
        <f t="shared" si="64"/>
        <v>-250000</v>
      </c>
      <c r="BQ164" s="327">
        <f t="shared" si="64"/>
        <v>-250000</v>
      </c>
      <c r="BR164" s="327">
        <f t="shared" si="64"/>
        <v>-250000</v>
      </c>
      <c r="BS164" s="327">
        <f t="shared" si="64"/>
        <v>-250000</v>
      </c>
      <c r="BT164" s="327">
        <f t="shared" si="64"/>
        <v>-250000</v>
      </c>
      <c r="BU164" s="327">
        <f t="shared" si="64"/>
        <v>-250000</v>
      </c>
      <c r="BV164" s="327">
        <f t="shared" si="64"/>
        <v>-250000</v>
      </c>
      <c r="BW164" s="327">
        <f t="shared" si="64"/>
        <v>-250000</v>
      </c>
      <c r="BX164" s="327">
        <f t="shared" si="64"/>
        <v>-250000</v>
      </c>
      <c r="BY164" s="222"/>
      <c r="BZ164" s="222"/>
      <c r="CA164" s="222"/>
      <c r="CB164" s="222"/>
      <c r="CC164" s="222"/>
      <c r="CD164" s="222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2"/>
      <c r="CV164" s="222"/>
      <c r="CW164" s="222"/>
      <c r="CX164" s="222"/>
      <c r="CY164" s="222"/>
      <c r="CZ164" s="222"/>
      <c r="DA164" s="222"/>
      <c r="DB164" s="222"/>
      <c r="DC164" s="222"/>
      <c r="DD164" s="222"/>
      <c r="DE164" s="222"/>
      <c r="DF164" s="222"/>
      <c r="DG164" s="222"/>
      <c r="DH164" s="222"/>
      <c r="DI164" s="222"/>
      <c r="DJ164" s="222"/>
      <c r="DK164" s="222"/>
      <c r="DL164" s="222"/>
      <c r="DM164" s="222"/>
      <c r="DN164" s="222"/>
      <c r="DO164" s="222"/>
      <c r="DP164" s="222"/>
      <c r="DQ164" s="222"/>
      <c r="DR164" s="222"/>
      <c r="DS164" s="222"/>
      <c r="DT164" s="222"/>
      <c r="DU164" s="222"/>
      <c r="DV164" s="222"/>
      <c r="DW164" s="325"/>
      <c r="DX164" s="325"/>
      <c r="DY164" s="325"/>
      <c r="DZ164" s="325"/>
      <c r="EA164" s="325"/>
      <c r="EB164" s="325"/>
      <c r="EC164" s="325"/>
      <c r="ED164" s="325"/>
      <c r="EE164" s="325"/>
      <c r="EF164" s="325"/>
      <c r="EG164" s="325"/>
      <c r="EH164" s="325"/>
    </row>
    <row r="165" spans="1:138">
      <c r="A165" s="222"/>
      <c r="B165" s="318"/>
      <c r="C165" s="313" t="s">
        <v>292</v>
      </c>
      <c r="D165" s="322">
        <f>IRR(E163:BX163)*12</f>
        <v>-3.8521362505953949E-2</v>
      </c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22"/>
      <c r="AK165" s="222"/>
      <c r="AL165" s="222"/>
      <c r="AM165" s="222"/>
      <c r="AN165" s="222"/>
      <c r="AO165" s="222"/>
      <c r="AP165" s="222"/>
      <c r="AQ165" s="222"/>
      <c r="AR165" s="222"/>
      <c r="AS165" s="222"/>
      <c r="AT165" s="222"/>
      <c r="AU165" s="222"/>
      <c r="AV165" s="222"/>
      <c r="AW165" s="222"/>
      <c r="AX165" s="222"/>
      <c r="AY165" s="222"/>
      <c r="AZ165" s="222"/>
      <c r="BA165" s="222"/>
      <c r="BB165" s="222"/>
      <c r="BC165" s="222"/>
      <c r="BD165" s="222"/>
      <c r="BE165" s="222"/>
      <c r="BF165" s="222"/>
      <c r="BG165" s="222"/>
      <c r="BH165" s="222"/>
      <c r="BI165" s="222"/>
      <c r="BJ165" s="222"/>
      <c r="BK165" s="222"/>
      <c r="BL165" s="222"/>
      <c r="BM165" s="222"/>
      <c r="BN165" s="222"/>
      <c r="BO165" s="222"/>
      <c r="BP165" s="222"/>
      <c r="BQ165" s="222"/>
      <c r="BR165" s="222"/>
      <c r="BS165" s="222"/>
      <c r="BT165" s="222"/>
      <c r="BU165" s="222"/>
      <c r="BV165" s="222"/>
      <c r="BW165" s="222"/>
      <c r="BX165" s="222"/>
      <c r="BY165" s="222"/>
      <c r="BZ165" s="222"/>
      <c r="CA165" s="222"/>
      <c r="CB165" s="222"/>
      <c r="CC165" s="222"/>
      <c r="CD165" s="222"/>
      <c r="CE165" s="222"/>
      <c r="CF165" s="222"/>
      <c r="CG165" s="222"/>
      <c r="CH165" s="222"/>
      <c r="CI165" s="222"/>
      <c r="CJ165" s="222"/>
      <c r="CK165" s="222"/>
      <c r="CL165" s="222"/>
      <c r="CM165" s="222"/>
      <c r="CN165" s="222"/>
      <c r="CO165" s="222"/>
      <c r="CP165" s="222"/>
      <c r="CQ165" s="222"/>
      <c r="CR165" s="222"/>
      <c r="CS165" s="222"/>
      <c r="CT165" s="222"/>
      <c r="CU165" s="222"/>
      <c r="CV165" s="222"/>
      <c r="CW165" s="222"/>
      <c r="CX165" s="222"/>
      <c r="CY165" s="222"/>
      <c r="CZ165" s="222"/>
      <c r="DA165" s="222"/>
      <c r="DB165" s="222"/>
      <c r="DC165" s="222"/>
      <c r="DD165" s="222"/>
      <c r="DE165" s="222"/>
      <c r="DF165" s="222"/>
      <c r="DG165" s="222"/>
      <c r="DH165" s="222"/>
      <c r="DI165" s="222"/>
      <c r="DJ165" s="222"/>
      <c r="DK165" s="222"/>
      <c r="DL165" s="222"/>
      <c r="DM165" s="222"/>
      <c r="DN165" s="222"/>
      <c r="DO165" s="222"/>
      <c r="DP165" s="222"/>
      <c r="DQ165" s="222"/>
      <c r="DR165" s="222"/>
      <c r="DS165" s="222"/>
      <c r="DT165" s="222"/>
      <c r="DU165" s="222"/>
      <c r="DV165" s="222"/>
      <c r="DW165" s="325"/>
      <c r="DX165" s="325"/>
      <c r="DY165" s="325"/>
      <c r="DZ165" s="325"/>
      <c r="EA165" s="325"/>
      <c r="EB165" s="325"/>
      <c r="EC165" s="325"/>
      <c r="ED165" s="325"/>
      <c r="EE165" s="325"/>
      <c r="EF165" s="325"/>
      <c r="EG165" s="325"/>
      <c r="EH165" s="325"/>
    </row>
    <row r="166" spans="1:138">
      <c r="A166" s="222"/>
      <c r="B166" s="318"/>
      <c r="C166" s="323" t="s">
        <v>300</v>
      </c>
      <c r="D166" s="324">
        <f>-MIN(M164:BL164)-D167</f>
        <v>8341205.5</v>
      </c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22"/>
      <c r="AD166" s="222"/>
      <c r="AE166" s="222"/>
      <c r="AF166" s="222"/>
      <c r="AG166" s="222"/>
      <c r="AH166" s="222"/>
      <c r="AI166" s="222"/>
      <c r="AJ166" s="222"/>
      <c r="AK166" s="222"/>
      <c r="AL166" s="222"/>
      <c r="AM166" s="222"/>
      <c r="AN166" s="222"/>
      <c r="AO166" s="222"/>
      <c r="AP166" s="222"/>
      <c r="AQ166" s="222"/>
      <c r="AR166" s="222"/>
      <c r="AS166" s="222"/>
      <c r="AT166" s="222"/>
      <c r="AU166" s="222"/>
      <c r="AV166" s="222"/>
      <c r="AW166" s="222"/>
      <c r="AX166" s="222"/>
      <c r="AY166" s="222"/>
      <c r="AZ166" s="222"/>
      <c r="BA166" s="222"/>
      <c r="BB166" s="222"/>
      <c r="BC166" s="222"/>
      <c r="BD166" s="222"/>
      <c r="BE166" s="222"/>
      <c r="BF166" s="222"/>
      <c r="BG166" s="222"/>
      <c r="BH166" s="222"/>
      <c r="BI166" s="222"/>
      <c r="BJ166" s="222"/>
      <c r="BK166" s="222"/>
      <c r="BL166" s="222"/>
      <c r="BM166" s="222"/>
      <c r="BN166" s="222"/>
      <c r="BO166" s="222"/>
      <c r="BP166" s="222"/>
      <c r="BQ166" s="222"/>
      <c r="BR166" s="222"/>
      <c r="BS166" s="222"/>
      <c r="BT166" s="222"/>
      <c r="BU166" s="222"/>
      <c r="BV166" s="222"/>
      <c r="BW166" s="222"/>
      <c r="BX166" s="222"/>
      <c r="BY166" s="222"/>
      <c r="BZ166" s="222"/>
      <c r="CA166" s="222"/>
      <c r="CB166" s="222"/>
      <c r="CC166" s="222"/>
      <c r="CD166" s="222"/>
      <c r="CE166" s="222"/>
      <c r="CF166" s="222"/>
      <c r="CG166" s="222"/>
      <c r="CH166" s="222"/>
      <c r="CI166" s="222"/>
      <c r="CJ166" s="222"/>
      <c r="CK166" s="222"/>
      <c r="CL166" s="222"/>
      <c r="CM166" s="222"/>
      <c r="CN166" s="222"/>
      <c r="CO166" s="222"/>
      <c r="CP166" s="222"/>
      <c r="CQ166" s="222"/>
      <c r="CR166" s="222"/>
      <c r="CS166" s="222"/>
      <c r="CT166" s="222"/>
      <c r="CU166" s="222"/>
      <c r="CV166" s="222"/>
      <c r="CW166" s="222"/>
      <c r="CX166" s="222"/>
      <c r="CY166" s="222"/>
      <c r="CZ166" s="222"/>
      <c r="DA166" s="222"/>
      <c r="DB166" s="222"/>
      <c r="DC166" s="222"/>
      <c r="DD166" s="222"/>
      <c r="DE166" s="222"/>
      <c r="DF166" s="222"/>
      <c r="DG166" s="222"/>
      <c r="DH166" s="222"/>
      <c r="DI166" s="222"/>
      <c r="DJ166" s="222"/>
      <c r="DK166" s="222"/>
      <c r="DL166" s="222"/>
      <c r="DM166" s="222"/>
      <c r="DN166" s="222"/>
      <c r="DO166" s="222"/>
      <c r="DP166" s="222"/>
      <c r="DQ166" s="222"/>
      <c r="DR166" s="222"/>
      <c r="DS166" s="222"/>
      <c r="DT166" s="222"/>
      <c r="DU166" s="222"/>
      <c r="DV166" s="222"/>
      <c r="DW166" s="325"/>
      <c r="DX166" s="325"/>
      <c r="DY166" s="325"/>
      <c r="DZ166" s="325"/>
      <c r="EA166" s="325"/>
      <c r="EB166" s="325"/>
      <c r="EC166" s="325"/>
      <c r="ED166" s="325"/>
      <c r="EE166" s="325"/>
      <c r="EF166" s="325"/>
      <c r="EG166" s="325"/>
      <c r="EH166" s="325"/>
    </row>
    <row r="167" spans="1:138">
      <c r="A167" s="222"/>
      <c r="B167" s="318"/>
      <c r="C167" s="323" t="s">
        <v>301</v>
      </c>
      <c r="D167" s="324">
        <f>-SUM(M162:BB162)</f>
        <v>0</v>
      </c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222"/>
      <c r="AF167" s="222"/>
      <c r="AG167" s="222"/>
      <c r="AH167" s="222"/>
      <c r="AI167" s="222"/>
      <c r="AJ167" s="222"/>
      <c r="AK167" s="222"/>
      <c r="AL167" s="222"/>
      <c r="AM167" s="222"/>
      <c r="AN167" s="222"/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2"/>
      <c r="BN167" s="222"/>
      <c r="BO167" s="222"/>
      <c r="BP167" s="222"/>
      <c r="BQ167" s="222"/>
      <c r="BR167" s="222"/>
      <c r="BS167" s="222"/>
      <c r="BT167" s="222"/>
      <c r="BU167" s="222"/>
      <c r="BV167" s="222"/>
      <c r="BW167" s="222"/>
      <c r="BX167" s="222"/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  <c r="CJ167" s="222"/>
      <c r="CK167" s="222"/>
      <c r="CL167" s="222"/>
      <c r="CM167" s="222"/>
      <c r="CN167" s="222"/>
      <c r="CO167" s="222"/>
      <c r="CP167" s="222"/>
      <c r="CQ167" s="222"/>
      <c r="CR167" s="222"/>
      <c r="CS167" s="222"/>
      <c r="CT167" s="222"/>
      <c r="CU167" s="222"/>
      <c r="CV167" s="222"/>
      <c r="CW167" s="222"/>
      <c r="CX167" s="222"/>
      <c r="CY167" s="222"/>
      <c r="CZ167" s="222"/>
      <c r="DA167" s="222"/>
      <c r="DB167" s="222"/>
      <c r="DC167" s="222"/>
      <c r="DD167" s="222"/>
      <c r="DE167" s="222"/>
      <c r="DF167" s="222"/>
      <c r="DG167" s="222"/>
      <c r="DH167" s="222"/>
      <c r="DI167" s="222"/>
      <c r="DJ167" s="222"/>
      <c r="DK167" s="222"/>
      <c r="DL167" s="222"/>
      <c r="DM167" s="222"/>
      <c r="DN167" s="222"/>
      <c r="DO167" s="222"/>
      <c r="DP167" s="222"/>
      <c r="DQ167" s="222"/>
      <c r="DR167" s="222"/>
      <c r="DS167" s="222"/>
      <c r="DT167" s="222"/>
      <c r="DU167" s="222"/>
      <c r="DV167" s="222"/>
      <c r="DW167" s="325"/>
      <c r="DX167" s="325"/>
      <c r="DY167" s="325"/>
      <c r="DZ167" s="325"/>
      <c r="EA167" s="325"/>
      <c r="EB167" s="325"/>
      <c r="EC167" s="325"/>
      <c r="ED167" s="325"/>
      <c r="EE167" s="325"/>
      <c r="EF167" s="325"/>
      <c r="EG167" s="325"/>
      <c r="EH167" s="325"/>
    </row>
    <row r="168" spans="1:138">
      <c r="A168" s="222"/>
      <c r="B168" s="318"/>
      <c r="C168" s="313" t="s">
        <v>302</v>
      </c>
      <c r="D168" s="326">
        <f>D167+D166</f>
        <v>8341205.5</v>
      </c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222"/>
      <c r="AF168" s="222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222"/>
      <c r="AR168" s="222"/>
      <c r="AS168" s="222"/>
      <c r="AT168" s="222"/>
      <c r="AU168" s="222"/>
      <c r="AV168" s="222"/>
      <c r="AW168" s="222"/>
      <c r="AX168" s="222"/>
      <c r="AY168" s="222"/>
      <c r="AZ168" s="222"/>
      <c r="BA168" s="222"/>
      <c r="BB168" s="222"/>
      <c r="BC168" s="222"/>
      <c r="BD168" s="222"/>
      <c r="BE168" s="222"/>
      <c r="BF168" s="222"/>
      <c r="BG168" s="222"/>
      <c r="BH168" s="222"/>
      <c r="BI168" s="222"/>
      <c r="BJ168" s="222"/>
      <c r="BK168" s="222"/>
      <c r="BL168" s="222"/>
      <c r="BM168" s="222"/>
      <c r="BN168" s="222"/>
      <c r="BO168" s="222"/>
      <c r="BP168" s="222"/>
      <c r="BQ168" s="222"/>
      <c r="BR168" s="222"/>
      <c r="BS168" s="222"/>
      <c r="BT168" s="222"/>
      <c r="BU168" s="222"/>
      <c r="BV168" s="222"/>
      <c r="BW168" s="222"/>
      <c r="BX168" s="222"/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  <c r="CJ168" s="222"/>
      <c r="CK168" s="222"/>
      <c r="CL168" s="222"/>
      <c r="CM168" s="222"/>
      <c r="CN168" s="222"/>
      <c r="CO168" s="222"/>
      <c r="CP168" s="222"/>
      <c r="CQ168" s="222"/>
      <c r="CR168" s="222"/>
      <c r="CS168" s="222"/>
      <c r="CT168" s="222"/>
      <c r="CU168" s="222"/>
      <c r="CV168" s="222"/>
      <c r="CW168" s="222"/>
      <c r="CX168" s="222"/>
      <c r="CY168" s="222"/>
      <c r="CZ168" s="222"/>
      <c r="DA168" s="222"/>
      <c r="DB168" s="222"/>
      <c r="DC168" s="222"/>
      <c r="DD168" s="222"/>
      <c r="DE168" s="222"/>
      <c r="DF168" s="222"/>
      <c r="DG168" s="222"/>
      <c r="DH168" s="222"/>
      <c r="DI168" s="222"/>
      <c r="DJ168" s="222"/>
      <c r="DK168" s="222"/>
      <c r="DL168" s="222"/>
      <c r="DM168" s="222"/>
      <c r="DN168" s="222"/>
      <c r="DO168" s="222"/>
      <c r="DP168" s="222"/>
      <c r="DQ168" s="222"/>
      <c r="DR168" s="222"/>
      <c r="DS168" s="222"/>
      <c r="DT168" s="222"/>
      <c r="DU168" s="222"/>
      <c r="DV168" s="222"/>
      <c r="DW168" s="325"/>
      <c r="DX168" s="325"/>
      <c r="DY168" s="325"/>
      <c r="DZ168" s="325"/>
      <c r="EA168" s="325"/>
      <c r="EB168" s="325"/>
      <c r="EC168" s="325"/>
      <c r="ED168" s="325"/>
      <c r="EE168" s="325"/>
      <c r="EF168" s="325"/>
      <c r="EG168" s="325"/>
      <c r="EH168" s="325"/>
    </row>
    <row r="169" spans="1:138">
      <c r="A169" s="222"/>
      <c r="B169" s="318"/>
      <c r="C169" s="313" t="s">
        <v>303</v>
      </c>
      <c r="D169" s="326">
        <f>T161</f>
        <v>2750000</v>
      </c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222"/>
      <c r="AF169" s="222"/>
      <c r="AG169" s="222"/>
      <c r="AH169" s="222"/>
      <c r="AI169" s="222"/>
      <c r="AJ169" s="222"/>
      <c r="AK169" s="222"/>
      <c r="AL169" s="222"/>
      <c r="AM169" s="222"/>
      <c r="AN169" s="222"/>
      <c r="AO169" s="222"/>
      <c r="AP169" s="222"/>
      <c r="AQ169" s="222"/>
      <c r="AR169" s="222"/>
      <c r="AS169" s="222"/>
      <c r="AT169" s="222"/>
      <c r="AU169" s="222"/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222"/>
      <c r="BN169" s="222"/>
      <c r="BO169" s="222"/>
      <c r="BP169" s="222"/>
      <c r="BQ169" s="222"/>
      <c r="BR169" s="222"/>
      <c r="BS169" s="222"/>
      <c r="BT169" s="222"/>
      <c r="BU169" s="222"/>
      <c r="BV169" s="222"/>
      <c r="BW169" s="222"/>
      <c r="BX169" s="222"/>
      <c r="BY169" s="222"/>
      <c r="BZ169" s="222"/>
      <c r="CA169" s="222"/>
      <c r="CB169" s="222"/>
      <c r="CC169" s="222"/>
      <c r="CD169" s="222"/>
      <c r="CE169" s="222"/>
      <c r="CF169" s="222"/>
      <c r="CG169" s="222"/>
      <c r="CH169" s="222"/>
      <c r="CI169" s="222"/>
      <c r="CJ169" s="222"/>
      <c r="CK169" s="222"/>
      <c r="CL169" s="222"/>
      <c r="CM169" s="222"/>
      <c r="CN169" s="222"/>
      <c r="CO169" s="222"/>
      <c r="CP169" s="222"/>
      <c r="CQ169" s="222"/>
      <c r="CR169" s="222"/>
      <c r="CS169" s="222"/>
      <c r="CT169" s="222"/>
      <c r="CU169" s="222"/>
      <c r="CV169" s="222"/>
      <c r="CW169" s="222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2"/>
      <c r="DI169" s="222"/>
      <c r="DJ169" s="222"/>
      <c r="DK169" s="222"/>
      <c r="DL169" s="222"/>
      <c r="DM169" s="222"/>
      <c r="DN169" s="222"/>
      <c r="DO169" s="222"/>
      <c r="DP169" s="222"/>
      <c r="DQ169" s="222"/>
      <c r="DR169" s="222"/>
      <c r="DS169" s="222"/>
      <c r="DT169" s="222"/>
      <c r="DU169" s="222"/>
      <c r="DV169" s="222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</row>
    <row r="170" spans="1:138">
      <c r="A170" s="222"/>
      <c r="B170" s="318"/>
      <c r="C170" s="313" t="s">
        <v>147</v>
      </c>
      <c r="D170" s="322">
        <f>(D169-D167)/D168</f>
        <v>0.32968855640830336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  <c r="BQ170" s="222"/>
      <c r="BR170" s="222"/>
      <c r="BS170" s="222"/>
      <c r="BT170" s="222"/>
      <c r="BU170" s="222"/>
      <c r="BV170" s="222"/>
      <c r="BW170" s="222"/>
      <c r="BX170" s="222"/>
      <c r="BY170" s="222"/>
      <c r="BZ170" s="222"/>
      <c r="CA170" s="222"/>
      <c r="CB170" s="222"/>
      <c r="CC170" s="222"/>
      <c r="CD170" s="222"/>
      <c r="CE170" s="222"/>
      <c r="CF170" s="222"/>
      <c r="CG170" s="222"/>
      <c r="CH170" s="222"/>
      <c r="CI170" s="222"/>
      <c r="CJ170" s="222"/>
      <c r="CK170" s="222"/>
      <c r="CL170" s="222"/>
      <c r="CM170" s="222"/>
      <c r="CN170" s="222"/>
      <c r="CO170" s="222"/>
      <c r="CP170" s="222"/>
      <c r="CQ170" s="222"/>
      <c r="CR170" s="222"/>
      <c r="CS170" s="222"/>
      <c r="CT170" s="222"/>
      <c r="CU170" s="222"/>
      <c r="CV170" s="222"/>
      <c r="CW170" s="222"/>
      <c r="CX170" s="222"/>
      <c r="CY170" s="222"/>
      <c r="CZ170" s="222"/>
      <c r="DA170" s="222"/>
      <c r="DB170" s="222"/>
      <c r="DC170" s="222"/>
      <c r="DD170" s="222"/>
      <c r="DE170" s="222"/>
      <c r="DF170" s="222"/>
      <c r="DG170" s="222"/>
      <c r="DH170" s="222"/>
      <c r="DI170" s="222"/>
      <c r="DJ170" s="222"/>
      <c r="DK170" s="222"/>
      <c r="DL170" s="222"/>
      <c r="DM170" s="222"/>
      <c r="DN170" s="222"/>
      <c r="DO170" s="222"/>
      <c r="DP170" s="222"/>
      <c r="DQ170" s="222"/>
      <c r="DR170" s="222"/>
      <c r="DS170" s="222"/>
      <c r="DT170" s="222"/>
      <c r="DU170" s="222"/>
      <c r="DV170" s="222"/>
      <c r="DW170" s="325"/>
      <c r="DX170" s="325"/>
      <c r="DY170" s="325"/>
      <c r="DZ170" s="325"/>
      <c r="EA170" s="325"/>
      <c r="EB170" s="325"/>
      <c r="EC170" s="325"/>
      <c r="ED170" s="325"/>
      <c r="EE170" s="325"/>
      <c r="EF170" s="325"/>
      <c r="EG170" s="325"/>
      <c r="EH170" s="325"/>
    </row>
    <row r="171" spans="1:138">
      <c r="A171" s="222"/>
      <c r="B171" s="318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  <c r="BQ171" s="222"/>
      <c r="BR171" s="222"/>
      <c r="BS171" s="222"/>
      <c r="BT171" s="222"/>
      <c r="BU171" s="222"/>
      <c r="BV171" s="222"/>
      <c r="BW171" s="222"/>
      <c r="BX171" s="222"/>
      <c r="BY171" s="222"/>
      <c r="BZ171" s="222"/>
      <c r="CA171" s="222"/>
      <c r="CB171" s="222"/>
      <c r="CC171" s="222"/>
      <c r="CD171" s="222"/>
      <c r="CE171" s="222"/>
      <c r="CF171" s="222"/>
      <c r="CG171" s="222"/>
      <c r="CH171" s="222"/>
      <c r="CI171" s="222"/>
      <c r="CJ171" s="222"/>
      <c r="CK171" s="222"/>
      <c r="CL171" s="222"/>
      <c r="CM171" s="222"/>
      <c r="CN171" s="222"/>
      <c r="CO171" s="222"/>
      <c r="CP171" s="222"/>
      <c r="CQ171" s="222"/>
      <c r="CR171" s="222"/>
      <c r="CS171" s="222"/>
      <c r="CT171" s="222"/>
      <c r="CU171" s="222"/>
      <c r="CV171" s="222"/>
      <c r="CW171" s="222"/>
      <c r="CX171" s="222"/>
      <c r="CY171" s="222"/>
      <c r="CZ171" s="222"/>
      <c r="DA171" s="222"/>
      <c r="DB171" s="222"/>
      <c r="DC171" s="222"/>
      <c r="DD171" s="222"/>
      <c r="DE171" s="222"/>
      <c r="DF171" s="222"/>
      <c r="DG171" s="222"/>
      <c r="DH171" s="222"/>
      <c r="DI171" s="222"/>
      <c r="DJ171" s="222"/>
      <c r="DK171" s="222"/>
      <c r="DL171" s="222"/>
      <c r="DM171" s="222"/>
      <c r="DN171" s="222"/>
      <c r="DO171" s="222"/>
      <c r="DP171" s="222"/>
      <c r="DQ171" s="222"/>
      <c r="DR171" s="222"/>
      <c r="DS171" s="222"/>
      <c r="DT171" s="222"/>
      <c r="DU171" s="222"/>
      <c r="DV171" s="222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</row>
    <row r="172" spans="1:138">
      <c r="A172" s="222"/>
      <c r="B172" s="318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  <c r="BQ172" s="222"/>
      <c r="BR172" s="222"/>
      <c r="BS172" s="222"/>
      <c r="BT172" s="222"/>
      <c r="BU172" s="222"/>
      <c r="BV172" s="222"/>
      <c r="BW172" s="222"/>
      <c r="BX172" s="222"/>
      <c r="BY172" s="222"/>
      <c r="BZ172" s="222"/>
      <c r="CA172" s="222"/>
      <c r="CB172" s="222"/>
      <c r="CC172" s="222"/>
      <c r="CD172" s="222"/>
      <c r="CE172" s="222"/>
      <c r="CF172" s="222"/>
      <c r="CG172" s="222"/>
      <c r="CH172" s="222"/>
      <c r="CI172" s="222"/>
      <c r="CJ172" s="222"/>
      <c r="CK172" s="222"/>
      <c r="CL172" s="222"/>
      <c r="CM172" s="222"/>
      <c r="CN172" s="222"/>
      <c r="CO172" s="222"/>
      <c r="CP172" s="222"/>
      <c r="CQ172" s="222"/>
      <c r="CR172" s="222"/>
      <c r="CS172" s="222"/>
      <c r="CT172" s="222"/>
      <c r="CU172" s="222"/>
      <c r="CV172" s="222"/>
      <c r="CW172" s="222"/>
      <c r="CX172" s="222"/>
      <c r="CY172" s="222"/>
      <c r="CZ172" s="222"/>
      <c r="DA172" s="222"/>
      <c r="DB172" s="222"/>
      <c r="DC172" s="222"/>
      <c r="DD172" s="222"/>
      <c r="DE172" s="222"/>
      <c r="DF172" s="222"/>
      <c r="DG172" s="222"/>
      <c r="DH172" s="222"/>
      <c r="DI172" s="222"/>
      <c r="DJ172" s="222"/>
      <c r="DK172" s="222"/>
      <c r="DL172" s="222"/>
      <c r="DM172" s="222"/>
      <c r="DN172" s="222"/>
      <c r="DO172" s="222"/>
      <c r="DP172" s="222"/>
      <c r="DQ172" s="222"/>
      <c r="DR172" s="222"/>
      <c r="DS172" s="222"/>
      <c r="DT172" s="222"/>
      <c r="DU172" s="222"/>
      <c r="DV172" s="222"/>
      <c r="DW172" s="325"/>
      <c r="DX172" s="325"/>
      <c r="DY172" s="325"/>
      <c r="DZ172" s="325"/>
      <c r="EA172" s="325"/>
      <c r="EB172" s="325"/>
      <c r="EC172" s="325"/>
      <c r="ED172" s="325"/>
      <c r="EE172" s="325"/>
      <c r="EF172" s="325"/>
      <c r="EG172" s="325"/>
      <c r="EH172" s="325"/>
    </row>
    <row r="173" spans="1:138">
      <c r="A173" s="222"/>
      <c r="B173" s="318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/>
      <c r="BX173" s="222"/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  <c r="CJ173" s="222"/>
      <c r="CK173" s="222"/>
      <c r="CL173" s="222"/>
      <c r="CM173" s="222"/>
      <c r="CN173" s="222"/>
      <c r="CO173" s="222"/>
      <c r="CP173" s="222"/>
      <c r="CQ173" s="222"/>
      <c r="CR173" s="222"/>
      <c r="CS173" s="222"/>
      <c r="CT173" s="222"/>
      <c r="CU173" s="222"/>
      <c r="CV173" s="222"/>
      <c r="CW173" s="222"/>
      <c r="CX173" s="222"/>
      <c r="CY173" s="222"/>
      <c r="CZ173" s="222"/>
      <c r="DA173" s="222"/>
      <c r="DB173" s="222"/>
      <c r="DC173" s="222"/>
      <c r="DD173" s="222"/>
      <c r="DE173" s="222"/>
      <c r="DF173" s="222"/>
      <c r="DG173" s="222"/>
      <c r="DH173" s="222"/>
      <c r="DI173" s="222"/>
      <c r="DJ173" s="222"/>
      <c r="DK173" s="222"/>
      <c r="DL173" s="222"/>
      <c r="DM173" s="222"/>
      <c r="DN173" s="222"/>
      <c r="DO173" s="222"/>
      <c r="DP173" s="222"/>
      <c r="DQ173" s="222"/>
      <c r="DR173" s="222"/>
      <c r="DS173" s="222"/>
      <c r="DT173" s="222"/>
      <c r="DU173" s="222"/>
      <c r="DV173" s="222"/>
      <c r="DW173" s="325"/>
      <c r="DX173" s="325"/>
      <c r="DY173" s="325"/>
      <c r="DZ173" s="325"/>
      <c r="EA173" s="325"/>
      <c r="EB173" s="325"/>
      <c r="EC173" s="325"/>
      <c r="ED173" s="325"/>
      <c r="EE173" s="325"/>
      <c r="EF173" s="325"/>
      <c r="EG173" s="325"/>
      <c r="EH173" s="325"/>
    </row>
    <row r="174" spans="1:138">
      <c r="A174" s="222"/>
      <c r="B174" s="318"/>
      <c r="C174" s="310" t="s">
        <v>309</v>
      </c>
      <c r="D174" s="311"/>
      <c r="E174" s="312">
        <f t="shared" ref="E174:G174" si="65">-(E6+E90)</f>
        <v>0</v>
      </c>
      <c r="F174" s="312">
        <f t="shared" si="65"/>
        <v>0</v>
      </c>
      <c r="G174" s="312">
        <f t="shared" si="65"/>
        <v>0</v>
      </c>
      <c r="H174" s="311">
        <f>-5341205.5</f>
        <v>-5341205.5</v>
      </c>
      <c r="I174" s="311">
        <v>0</v>
      </c>
      <c r="J174" s="311">
        <v>0</v>
      </c>
      <c r="K174" s="311">
        <v>0</v>
      </c>
      <c r="L174" s="311">
        <v>0</v>
      </c>
      <c r="M174" s="311">
        <v>0</v>
      </c>
      <c r="N174" s="311">
        <v>0</v>
      </c>
      <c r="O174" s="311">
        <v>0</v>
      </c>
      <c r="P174" s="311">
        <v>0</v>
      </c>
      <c r="Q174" s="311">
        <v>0</v>
      </c>
      <c r="R174" s="311">
        <v>0</v>
      </c>
      <c r="S174" s="311">
        <v>0</v>
      </c>
      <c r="T174" s="311">
        <f>5341205.5</f>
        <v>5341205.5</v>
      </c>
      <c r="U174" s="312">
        <f t="shared" ref="U174:BX174" si="66">-(U6+U90)</f>
        <v>0</v>
      </c>
      <c r="V174" s="312">
        <f t="shared" si="66"/>
        <v>0</v>
      </c>
      <c r="W174" s="312">
        <f t="shared" si="66"/>
        <v>0</v>
      </c>
      <c r="X174" s="312">
        <f t="shared" si="66"/>
        <v>0</v>
      </c>
      <c r="Y174" s="312">
        <f t="shared" si="66"/>
        <v>0</v>
      </c>
      <c r="Z174" s="312">
        <f t="shared" si="66"/>
        <v>0</v>
      </c>
      <c r="AA174" s="312">
        <f t="shared" si="66"/>
        <v>0</v>
      </c>
      <c r="AB174" s="312">
        <f t="shared" si="66"/>
        <v>0</v>
      </c>
      <c r="AC174" s="312">
        <f t="shared" si="66"/>
        <v>0</v>
      </c>
      <c r="AD174" s="312">
        <f t="shared" si="66"/>
        <v>0</v>
      </c>
      <c r="AE174" s="312">
        <f t="shared" si="66"/>
        <v>0</v>
      </c>
      <c r="AF174" s="312">
        <f t="shared" si="66"/>
        <v>0</v>
      </c>
      <c r="AG174" s="312">
        <f t="shared" si="66"/>
        <v>0</v>
      </c>
      <c r="AH174" s="312">
        <f t="shared" si="66"/>
        <v>0</v>
      </c>
      <c r="AI174" s="312">
        <f t="shared" si="66"/>
        <v>0</v>
      </c>
      <c r="AJ174" s="312">
        <f t="shared" si="66"/>
        <v>0</v>
      </c>
      <c r="AK174" s="312">
        <f t="shared" si="66"/>
        <v>0</v>
      </c>
      <c r="AL174" s="312">
        <f t="shared" si="66"/>
        <v>0</v>
      </c>
      <c r="AM174" s="312">
        <f t="shared" si="66"/>
        <v>0</v>
      </c>
      <c r="AN174" s="312">
        <f t="shared" si="66"/>
        <v>0</v>
      </c>
      <c r="AO174" s="312">
        <f t="shared" si="66"/>
        <v>0</v>
      </c>
      <c r="AP174" s="312">
        <f t="shared" si="66"/>
        <v>0</v>
      </c>
      <c r="AQ174" s="312">
        <f t="shared" si="66"/>
        <v>0</v>
      </c>
      <c r="AR174" s="312">
        <f t="shared" si="66"/>
        <v>0</v>
      </c>
      <c r="AS174" s="312">
        <f t="shared" si="66"/>
        <v>0</v>
      </c>
      <c r="AT174" s="312">
        <f t="shared" si="66"/>
        <v>0</v>
      </c>
      <c r="AU174" s="312">
        <f t="shared" si="66"/>
        <v>0</v>
      </c>
      <c r="AV174" s="312">
        <f t="shared" si="66"/>
        <v>0</v>
      </c>
      <c r="AW174" s="312">
        <f t="shared" si="66"/>
        <v>0</v>
      </c>
      <c r="AX174" s="312">
        <f t="shared" si="66"/>
        <v>0</v>
      </c>
      <c r="AY174" s="312">
        <f t="shared" si="66"/>
        <v>0</v>
      </c>
      <c r="AZ174" s="312">
        <f t="shared" si="66"/>
        <v>0</v>
      </c>
      <c r="BA174" s="312">
        <f t="shared" si="66"/>
        <v>0</v>
      </c>
      <c r="BB174" s="312">
        <f t="shared" si="66"/>
        <v>0</v>
      </c>
      <c r="BC174" s="312">
        <f t="shared" si="66"/>
        <v>0</v>
      </c>
      <c r="BD174" s="312">
        <f t="shared" si="66"/>
        <v>0</v>
      </c>
      <c r="BE174" s="312">
        <f t="shared" si="66"/>
        <v>0</v>
      </c>
      <c r="BF174" s="312">
        <f t="shared" si="66"/>
        <v>0</v>
      </c>
      <c r="BG174" s="312">
        <f t="shared" si="66"/>
        <v>0</v>
      </c>
      <c r="BH174" s="312">
        <f t="shared" si="66"/>
        <v>0</v>
      </c>
      <c r="BI174" s="312">
        <f t="shared" si="66"/>
        <v>0</v>
      </c>
      <c r="BJ174" s="312">
        <f t="shared" si="66"/>
        <v>0</v>
      </c>
      <c r="BK174" s="312">
        <f t="shared" si="66"/>
        <v>0</v>
      </c>
      <c r="BL174" s="312">
        <f t="shared" si="66"/>
        <v>0</v>
      </c>
      <c r="BM174" s="312">
        <f t="shared" si="66"/>
        <v>0</v>
      </c>
      <c r="BN174" s="312">
        <f t="shared" si="66"/>
        <v>0</v>
      </c>
      <c r="BO174" s="312">
        <f t="shared" si="66"/>
        <v>0</v>
      </c>
      <c r="BP174" s="312">
        <f t="shared" si="66"/>
        <v>0</v>
      </c>
      <c r="BQ174" s="312">
        <f t="shared" si="66"/>
        <v>0</v>
      </c>
      <c r="BR174" s="312">
        <f t="shared" si="66"/>
        <v>0</v>
      </c>
      <c r="BS174" s="312">
        <f t="shared" si="66"/>
        <v>0</v>
      </c>
      <c r="BT174" s="312">
        <f t="shared" si="66"/>
        <v>0</v>
      </c>
      <c r="BU174" s="312">
        <f t="shared" si="66"/>
        <v>0</v>
      </c>
      <c r="BV174" s="312">
        <f t="shared" si="66"/>
        <v>0</v>
      </c>
      <c r="BW174" s="312">
        <f t="shared" si="66"/>
        <v>0</v>
      </c>
      <c r="BX174" s="312">
        <f t="shared" si="66"/>
        <v>0</v>
      </c>
      <c r="BY174" s="222"/>
      <c r="BZ174" s="222"/>
      <c r="CA174" s="222"/>
      <c r="CB174" s="222"/>
      <c r="CC174" s="222"/>
      <c r="CD174" s="222"/>
      <c r="CE174" s="222"/>
      <c r="CF174" s="222"/>
      <c r="CG174" s="222"/>
      <c r="CH174" s="222"/>
      <c r="CI174" s="222"/>
      <c r="CJ174" s="222"/>
      <c r="CK174" s="222"/>
      <c r="CL174" s="222"/>
      <c r="CM174" s="222"/>
      <c r="CN174" s="222"/>
      <c r="CO174" s="222"/>
      <c r="CP174" s="222"/>
      <c r="CQ174" s="222"/>
      <c r="CR174" s="222"/>
      <c r="CS174" s="222"/>
      <c r="CT174" s="222"/>
      <c r="CU174" s="222"/>
      <c r="CV174" s="222"/>
      <c r="CW174" s="222"/>
      <c r="CX174" s="222"/>
      <c r="CY174" s="222"/>
      <c r="CZ174" s="222"/>
      <c r="DA174" s="222"/>
      <c r="DB174" s="222"/>
      <c r="DC174" s="222"/>
      <c r="DD174" s="222"/>
      <c r="DE174" s="222"/>
      <c r="DF174" s="222"/>
      <c r="DG174" s="222"/>
      <c r="DH174" s="222"/>
      <c r="DI174" s="222"/>
      <c r="DJ174" s="222"/>
      <c r="DK174" s="222"/>
      <c r="DL174" s="222"/>
      <c r="DM174" s="222"/>
      <c r="DN174" s="222"/>
      <c r="DO174" s="222"/>
      <c r="DP174" s="222"/>
      <c r="DQ174" s="222"/>
      <c r="DR174" s="222"/>
      <c r="DS174" s="222"/>
      <c r="DT174" s="222"/>
      <c r="DU174" s="222"/>
      <c r="DV174" s="222"/>
      <c r="DW174" s="222"/>
      <c r="DX174" s="222"/>
      <c r="DY174" s="222"/>
      <c r="DZ174" s="222"/>
      <c r="EA174" s="222"/>
      <c r="EB174" s="222"/>
      <c r="EC174" s="222"/>
      <c r="ED174" s="222"/>
      <c r="EE174" s="222"/>
      <c r="EF174" s="222"/>
      <c r="EG174" s="222"/>
      <c r="EH174" s="222"/>
    </row>
    <row r="175" spans="1:138">
      <c r="A175" s="222"/>
      <c r="B175" s="318"/>
      <c r="C175" s="310" t="s">
        <v>305</v>
      </c>
      <c r="D175" s="319"/>
      <c r="E175" s="311"/>
      <c r="F175" s="311"/>
      <c r="G175" s="311"/>
      <c r="H175" s="311"/>
      <c r="I175" s="311"/>
      <c r="J175" s="311"/>
      <c r="K175" s="311"/>
      <c r="L175" s="311"/>
      <c r="M175" s="311"/>
      <c r="N175" s="311"/>
      <c r="O175" s="311"/>
      <c r="P175" s="311"/>
      <c r="Q175" s="311"/>
      <c r="R175" s="311"/>
      <c r="S175" s="311"/>
      <c r="T175" s="311"/>
      <c r="U175" s="311"/>
      <c r="V175" s="311"/>
      <c r="W175" s="311"/>
      <c r="X175" s="311"/>
      <c r="Y175" s="311"/>
      <c r="Z175" s="311"/>
      <c r="AA175" s="311"/>
      <c r="AB175" s="311"/>
      <c r="AC175" s="311"/>
      <c r="AD175" s="311"/>
      <c r="AE175" s="311"/>
      <c r="AF175" s="311"/>
      <c r="AG175" s="311"/>
      <c r="AH175" s="311"/>
      <c r="AI175" s="311"/>
      <c r="AJ175" s="311"/>
      <c r="AK175" s="311"/>
      <c r="AL175" s="311"/>
      <c r="AM175" s="311"/>
      <c r="AN175" s="311"/>
      <c r="AO175" s="311"/>
      <c r="AP175" s="311"/>
      <c r="AQ175" s="311"/>
      <c r="AR175" s="311"/>
      <c r="AS175" s="311"/>
      <c r="AT175" s="311"/>
      <c r="AU175" s="311"/>
      <c r="AV175" s="311"/>
      <c r="AW175" s="311"/>
      <c r="AX175" s="311"/>
      <c r="AY175" s="311"/>
      <c r="AZ175" s="311"/>
      <c r="BA175" s="311"/>
      <c r="BB175" s="311"/>
      <c r="BC175" s="312"/>
      <c r="BD175" s="311"/>
      <c r="BE175" s="311"/>
      <c r="BF175" s="311"/>
      <c r="BG175" s="311"/>
      <c r="BH175" s="311"/>
      <c r="BI175" s="311"/>
      <c r="BJ175" s="311"/>
      <c r="BK175" s="311"/>
      <c r="BL175" s="311"/>
      <c r="BM175" s="311"/>
      <c r="BN175" s="311"/>
      <c r="BO175" s="311"/>
      <c r="BP175" s="311"/>
      <c r="BQ175" s="311"/>
      <c r="BR175" s="311"/>
      <c r="BS175" s="311"/>
      <c r="BT175" s="311"/>
      <c r="BU175" s="311"/>
      <c r="BV175" s="311"/>
      <c r="BW175" s="311"/>
      <c r="BX175" s="311"/>
      <c r="BY175" s="307"/>
      <c r="BZ175" s="307"/>
      <c r="CA175" s="222"/>
      <c r="CB175" s="222"/>
      <c r="CC175" s="222"/>
      <c r="CD175" s="222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2"/>
      <c r="CV175" s="222"/>
      <c r="CW175" s="222"/>
      <c r="CX175" s="222"/>
      <c r="CY175" s="222"/>
      <c r="CZ175" s="222"/>
      <c r="DA175" s="222"/>
      <c r="DB175" s="222"/>
      <c r="DC175" s="222"/>
      <c r="DD175" s="222"/>
      <c r="DE175" s="222"/>
      <c r="DF175" s="222"/>
      <c r="DG175" s="222"/>
      <c r="DH175" s="222"/>
      <c r="DI175" s="222"/>
      <c r="DJ175" s="222"/>
      <c r="DK175" s="222"/>
      <c r="DL175" s="222"/>
      <c r="DM175" s="222"/>
      <c r="DN175" s="222"/>
      <c r="DO175" s="222"/>
      <c r="DP175" s="222"/>
      <c r="DQ175" s="222"/>
      <c r="DR175" s="222"/>
      <c r="DS175" s="222"/>
      <c r="DT175" s="222"/>
      <c r="DU175" s="222"/>
      <c r="DV175" s="222"/>
      <c r="DW175" s="222"/>
      <c r="DX175" s="222"/>
      <c r="DY175" s="222"/>
      <c r="DZ175" s="222"/>
      <c r="EA175" s="222"/>
      <c r="EB175" s="222"/>
      <c r="EC175" s="222"/>
      <c r="ED175" s="222"/>
      <c r="EE175" s="222"/>
      <c r="EF175" s="222"/>
      <c r="EG175" s="222"/>
      <c r="EH175" s="222"/>
    </row>
    <row r="176" spans="1:138">
      <c r="A176" s="222"/>
      <c r="B176" s="318"/>
      <c r="C176" s="310" t="s">
        <v>296</v>
      </c>
      <c r="D176" s="319"/>
      <c r="E176" s="311">
        <f t="shared" ref="E176:G176" si="67">-E55</f>
        <v>0</v>
      </c>
      <c r="F176" s="311">
        <f t="shared" si="67"/>
        <v>0</v>
      </c>
      <c r="G176" s="311">
        <f t="shared" si="67"/>
        <v>0</v>
      </c>
      <c r="H176" s="311">
        <f t="shared" ref="H176:T176" si="68">-H70</f>
        <v>0</v>
      </c>
      <c r="I176" s="311">
        <f t="shared" si="68"/>
        <v>0</v>
      </c>
      <c r="J176" s="311">
        <f t="shared" si="68"/>
        <v>0</v>
      </c>
      <c r="K176" s="311">
        <f t="shared" si="68"/>
        <v>0</v>
      </c>
      <c r="L176" s="311">
        <f t="shared" si="68"/>
        <v>0</v>
      </c>
      <c r="M176" s="311">
        <f t="shared" si="68"/>
        <v>0</v>
      </c>
      <c r="N176" s="311">
        <f t="shared" si="68"/>
        <v>0</v>
      </c>
      <c r="O176" s="311">
        <f t="shared" si="68"/>
        <v>0</v>
      </c>
      <c r="P176" s="311">
        <f t="shared" si="68"/>
        <v>0</v>
      </c>
      <c r="Q176" s="311">
        <f t="shared" si="68"/>
        <v>0</v>
      </c>
      <c r="R176" s="311">
        <f t="shared" si="68"/>
        <v>0</v>
      </c>
      <c r="S176" s="311">
        <f t="shared" si="68"/>
        <v>0</v>
      </c>
      <c r="T176" s="311">
        <f t="shared" si="68"/>
        <v>0</v>
      </c>
      <c r="U176" s="311">
        <f t="shared" ref="U176:BX176" si="69">-U55</f>
        <v>0</v>
      </c>
      <c r="V176" s="311">
        <f t="shared" si="69"/>
        <v>0</v>
      </c>
      <c r="W176" s="311">
        <f t="shared" si="69"/>
        <v>0</v>
      </c>
      <c r="X176" s="311">
        <f t="shared" si="69"/>
        <v>0</v>
      </c>
      <c r="Y176" s="311">
        <f t="shared" si="69"/>
        <v>0</v>
      </c>
      <c r="Z176" s="311">
        <f t="shared" si="69"/>
        <v>0</v>
      </c>
      <c r="AA176" s="311">
        <f t="shared" si="69"/>
        <v>0</v>
      </c>
      <c r="AB176" s="311">
        <f t="shared" si="69"/>
        <v>0</v>
      </c>
      <c r="AC176" s="311">
        <f t="shared" si="69"/>
        <v>0</v>
      </c>
      <c r="AD176" s="311">
        <f t="shared" si="69"/>
        <v>0</v>
      </c>
      <c r="AE176" s="311">
        <f t="shared" si="69"/>
        <v>0</v>
      </c>
      <c r="AF176" s="311">
        <f t="shared" si="69"/>
        <v>0</v>
      </c>
      <c r="AG176" s="311">
        <f t="shared" si="69"/>
        <v>0</v>
      </c>
      <c r="AH176" s="311">
        <f t="shared" si="69"/>
        <v>0</v>
      </c>
      <c r="AI176" s="311">
        <f t="shared" si="69"/>
        <v>0</v>
      </c>
      <c r="AJ176" s="311">
        <f t="shared" si="69"/>
        <v>0</v>
      </c>
      <c r="AK176" s="311">
        <f t="shared" si="69"/>
        <v>0</v>
      </c>
      <c r="AL176" s="311">
        <f t="shared" si="69"/>
        <v>0</v>
      </c>
      <c r="AM176" s="311">
        <f t="shared" si="69"/>
        <v>0</v>
      </c>
      <c r="AN176" s="311">
        <f t="shared" si="69"/>
        <v>0</v>
      </c>
      <c r="AO176" s="311">
        <f t="shared" si="69"/>
        <v>0</v>
      </c>
      <c r="AP176" s="311">
        <f t="shared" si="69"/>
        <v>0</v>
      </c>
      <c r="AQ176" s="311">
        <f t="shared" si="69"/>
        <v>0</v>
      </c>
      <c r="AR176" s="311">
        <f t="shared" si="69"/>
        <v>0</v>
      </c>
      <c r="AS176" s="311">
        <f t="shared" si="69"/>
        <v>0</v>
      </c>
      <c r="AT176" s="311">
        <f t="shared" si="69"/>
        <v>0</v>
      </c>
      <c r="AU176" s="311">
        <f t="shared" si="69"/>
        <v>0</v>
      </c>
      <c r="AV176" s="311">
        <f t="shared" si="69"/>
        <v>0</v>
      </c>
      <c r="AW176" s="311">
        <f t="shared" si="69"/>
        <v>0</v>
      </c>
      <c r="AX176" s="311">
        <f t="shared" si="69"/>
        <v>0</v>
      </c>
      <c r="AY176" s="311">
        <f t="shared" si="69"/>
        <v>0</v>
      </c>
      <c r="AZ176" s="311">
        <f t="shared" si="69"/>
        <v>0</v>
      </c>
      <c r="BA176" s="311">
        <f t="shared" si="69"/>
        <v>0</v>
      </c>
      <c r="BB176" s="311">
        <f t="shared" si="69"/>
        <v>0</v>
      </c>
      <c r="BC176" s="311">
        <f t="shared" si="69"/>
        <v>0</v>
      </c>
      <c r="BD176" s="311">
        <f t="shared" si="69"/>
        <v>0</v>
      </c>
      <c r="BE176" s="311">
        <f t="shared" si="69"/>
        <v>0</v>
      </c>
      <c r="BF176" s="311">
        <f t="shared" si="69"/>
        <v>0</v>
      </c>
      <c r="BG176" s="311">
        <f t="shared" si="69"/>
        <v>0</v>
      </c>
      <c r="BH176" s="311">
        <f t="shared" si="69"/>
        <v>0</v>
      </c>
      <c r="BI176" s="311">
        <f t="shared" si="69"/>
        <v>0</v>
      </c>
      <c r="BJ176" s="311">
        <f t="shared" si="69"/>
        <v>0</v>
      </c>
      <c r="BK176" s="311">
        <f t="shared" si="69"/>
        <v>0</v>
      </c>
      <c r="BL176" s="311">
        <f t="shared" si="69"/>
        <v>0</v>
      </c>
      <c r="BM176" s="311">
        <f t="shared" si="69"/>
        <v>0</v>
      </c>
      <c r="BN176" s="311">
        <f t="shared" si="69"/>
        <v>0</v>
      </c>
      <c r="BO176" s="311">
        <f t="shared" si="69"/>
        <v>0</v>
      </c>
      <c r="BP176" s="311">
        <f t="shared" si="69"/>
        <v>0</v>
      </c>
      <c r="BQ176" s="311">
        <f t="shared" si="69"/>
        <v>0</v>
      </c>
      <c r="BR176" s="311">
        <f t="shared" si="69"/>
        <v>0</v>
      </c>
      <c r="BS176" s="311">
        <f t="shared" si="69"/>
        <v>0</v>
      </c>
      <c r="BT176" s="311">
        <f t="shared" si="69"/>
        <v>0</v>
      </c>
      <c r="BU176" s="311">
        <f t="shared" si="69"/>
        <v>0</v>
      </c>
      <c r="BV176" s="311">
        <f t="shared" si="69"/>
        <v>0</v>
      </c>
      <c r="BW176" s="311">
        <f t="shared" si="69"/>
        <v>0</v>
      </c>
      <c r="BX176" s="311">
        <f t="shared" si="69"/>
        <v>0</v>
      </c>
      <c r="BY176" s="307"/>
      <c r="BZ176" s="307"/>
      <c r="CA176" s="222"/>
      <c r="CB176" s="222"/>
      <c r="CC176" s="222"/>
      <c r="CD176" s="222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2"/>
      <c r="CV176" s="222"/>
      <c r="CW176" s="222"/>
      <c r="CX176" s="222"/>
      <c r="CY176" s="222"/>
      <c r="CZ176" s="222"/>
      <c r="DA176" s="222"/>
      <c r="DB176" s="222"/>
      <c r="DC176" s="222"/>
      <c r="DD176" s="222"/>
      <c r="DE176" s="222"/>
      <c r="DF176" s="222"/>
      <c r="DG176" s="222"/>
      <c r="DH176" s="222"/>
      <c r="DI176" s="222"/>
      <c r="DJ176" s="222"/>
      <c r="DK176" s="222"/>
      <c r="DL176" s="222"/>
      <c r="DM176" s="222"/>
      <c r="DN176" s="222"/>
      <c r="DO176" s="222"/>
      <c r="DP176" s="222"/>
      <c r="DQ176" s="222"/>
      <c r="DR176" s="222"/>
      <c r="DS176" s="222"/>
      <c r="DT176" s="222"/>
      <c r="DU176" s="222"/>
      <c r="DV176" s="222"/>
      <c r="DW176" s="222"/>
      <c r="DX176" s="222"/>
      <c r="DY176" s="222"/>
      <c r="DZ176" s="222"/>
      <c r="EA176" s="222"/>
      <c r="EB176" s="222"/>
      <c r="EC176" s="222"/>
      <c r="ED176" s="222"/>
      <c r="EE176" s="222"/>
      <c r="EF176" s="222"/>
      <c r="EG176" s="222"/>
      <c r="EH176" s="222"/>
    </row>
    <row r="177" spans="1:138">
      <c r="A177" s="222"/>
      <c r="B177" s="318"/>
      <c r="C177" s="310" t="s">
        <v>297</v>
      </c>
      <c r="D177" s="319"/>
      <c r="E177" s="311"/>
      <c r="F177" s="311"/>
      <c r="G177" s="311"/>
      <c r="H177" s="311"/>
      <c r="I177" s="311"/>
      <c r="J177" s="311"/>
      <c r="K177" s="311"/>
      <c r="L177" s="311"/>
      <c r="M177" s="311"/>
      <c r="N177" s="311"/>
      <c r="O177" s="311"/>
      <c r="P177" s="311"/>
      <c r="Q177" s="311"/>
      <c r="R177" s="311"/>
      <c r="S177" s="311"/>
      <c r="T177" s="311">
        <v>2750000</v>
      </c>
      <c r="U177" s="311"/>
      <c r="V177" s="311"/>
      <c r="W177" s="311"/>
      <c r="X177" s="311"/>
      <c r="Y177" s="311"/>
      <c r="Z177" s="311"/>
      <c r="AA177" s="311"/>
      <c r="AB177" s="311"/>
      <c r="AC177" s="311"/>
      <c r="AD177" s="311"/>
      <c r="AE177" s="311"/>
      <c r="AF177" s="311"/>
      <c r="AG177" s="311"/>
      <c r="AH177" s="311"/>
      <c r="AI177" s="311"/>
      <c r="AJ177" s="311"/>
      <c r="AK177" s="311"/>
      <c r="AL177" s="311"/>
      <c r="AM177" s="311"/>
      <c r="AN177" s="311"/>
      <c r="AO177" s="311"/>
      <c r="AP177" s="311"/>
      <c r="AQ177" s="311"/>
      <c r="AR177" s="311"/>
      <c r="AS177" s="311"/>
      <c r="AT177" s="311"/>
      <c r="AU177" s="311"/>
      <c r="AV177" s="311"/>
      <c r="AW177" s="311"/>
      <c r="AX177" s="311"/>
      <c r="AY177" s="311"/>
      <c r="AZ177" s="311"/>
      <c r="BA177" s="311"/>
      <c r="BB177" s="311"/>
      <c r="BC177" s="312"/>
      <c r="BD177" s="311"/>
      <c r="BE177" s="311"/>
      <c r="BF177" s="311"/>
      <c r="BG177" s="311"/>
      <c r="BH177" s="311"/>
      <c r="BI177" s="311"/>
      <c r="BJ177" s="311"/>
      <c r="BK177" s="311"/>
      <c r="BL177" s="311"/>
      <c r="BM177" s="311"/>
      <c r="BN177" s="311"/>
      <c r="BO177" s="311"/>
      <c r="BP177" s="311"/>
      <c r="BQ177" s="311"/>
      <c r="BR177" s="311"/>
      <c r="BS177" s="311"/>
      <c r="BT177" s="311"/>
      <c r="BU177" s="311"/>
      <c r="BV177" s="311"/>
      <c r="BW177" s="311"/>
      <c r="BX177" s="311">
        <f>IF(D101&gt;0.25,(BX96-BX104)*D178,BX96*D178)</f>
        <v>0</v>
      </c>
      <c r="BY177" s="307"/>
      <c r="BZ177" s="307"/>
      <c r="CA177" s="222"/>
      <c r="CB177" s="222"/>
      <c r="CC177" s="222"/>
      <c r="CD177" s="222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2"/>
      <c r="CV177" s="222"/>
      <c r="CW177" s="222"/>
      <c r="CX177" s="222"/>
      <c r="CY177" s="222"/>
      <c r="CZ177" s="222"/>
      <c r="DA177" s="222"/>
      <c r="DB177" s="222"/>
      <c r="DC177" s="222"/>
      <c r="DD177" s="222"/>
      <c r="DE177" s="222"/>
      <c r="DF177" s="222"/>
      <c r="DG177" s="222"/>
      <c r="DH177" s="222"/>
      <c r="DI177" s="222"/>
      <c r="DJ177" s="222"/>
      <c r="DK177" s="222"/>
      <c r="DL177" s="222"/>
      <c r="DM177" s="222"/>
      <c r="DN177" s="222"/>
      <c r="DO177" s="222"/>
      <c r="DP177" s="222"/>
      <c r="DQ177" s="222"/>
      <c r="DR177" s="222"/>
      <c r="DS177" s="222"/>
      <c r="DT177" s="222"/>
      <c r="DU177" s="222"/>
      <c r="DV177" s="222"/>
      <c r="DW177" s="222"/>
      <c r="DX177" s="222"/>
      <c r="DY177" s="222"/>
      <c r="DZ177" s="222"/>
      <c r="EA177" s="222"/>
      <c r="EB177" s="222"/>
      <c r="EC177" s="222"/>
      <c r="ED177" s="222"/>
      <c r="EE177" s="222"/>
      <c r="EF177" s="222"/>
      <c r="EG177" s="222"/>
      <c r="EH177" s="222"/>
    </row>
    <row r="178" spans="1:138">
      <c r="A178" s="222"/>
      <c r="B178" s="318"/>
      <c r="C178" s="313" t="s">
        <v>298</v>
      </c>
      <c r="D178" s="319">
        <v>0.2</v>
      </c>
      <c r="E178" s="311"/>
      <c r="F178" s="311"/>
      <c r="G178" s="311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311"/>
      <c r="V178" s="311"/>
      <c r="W178" s="311"/>
      <c r="X178" s="311"/>
      <c r="Y178" s="311"/>
      <c r="Z178" s="311"/>
      <c r="AA178" s="311"/>
      <c r="AB178" s="311"/>
      <c r="AC178" s="311"/>
      <c r="AD178" s="311"/>
      <c r="AE178" s="311"/>
      <c r="AF178" s="311"/>
      <c r="AG178" s="311"/>
      <c r="AH178" s="311"/>
      <c r="AI178" s="311"/>
      <c r="AJ178" s="311"/>
      <c r="AK178" s="311"/>
      <c r="AL178" s="311"/>
      <c r="AM178" s="311"/>
      <c r="AN178" s="311"/>
      <c r="AO178" s="311"/>
      <c r="AP178" s="311"/>
      <c r="AQ178" s="311"/>
      <c r="AR178" s="311"/>
      <c r="AS178" s="311"/>
      <c r="AT178" s="311"/>
      <c r="AU178" s="311"/>
      <c r="AV178" s="311"/>
      <c r="AW178" s="311"/>
      <c r="AX178" s="311"/>
      <c r="AY178" s="311"/>
      <c r="AZ178" s="311"/>
      <c r="BA178" s="311"/>
      <c r="BB178" s="311"/>
      <c r="BC178" s="312"/>
      <c r="BD178" s="311"/>
      <c r="BE178" s="311"/>
      <c r="BF178" s="311"/>
      <c r="BG178" s="311"/>
      <c r="BH178" s="311"/>
      <c r="BI178" s="311"/>
      <c r="BJ178" s="311"/>
      <c r="BK178" s="311"/>
      <c r="BL178" s="311"/>
      <c r="BM178" s="311"/>
      <c r="BN178" s="311"/>
      <c r="BO178" s="311"/>
      <c r="BP178" s="311"/>
      <c r="BQ178" s="311"/>
      <c r="BR178" s="311"/>
      <c r="BS178" s="311"/>
      <c r="BT178" s="311"/>
      <c r="BU178" s="311"/>
      <c r="BV178" s="311"/>
      <c r="BW178" s="311"/>
      <c r="BX178" s="311"/>
      <c r="BY178" s="307"/>
      <c r="BZ178" s="307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  <c r="CP178" s="222"/>
      <c r="CQ178" s="222"/>
      <c r="CR178" s="222"/>
      <c r="CS178" s="222"/>
      <c r="CT178" s="222"/>
      <c r="CU178" s="222"/>
      <c r="CV178" s="222"/>
      <c r="CW178" s="222"/>
      <c r="CX178" s="222"/>
      <c r="CY178" s="222"/>
      <c r="CZ178" s="222"/>
      <c r="DA178" s="222"/>
      <c r="DB178" s="222"/>
      <c r="DC178" s="222"/>
      <c r="DD178" s="222"/>
      <c r="DE178" s="222"/>
      <c r="DF178" s="222"/>
      <c r="DG178" s="222"/>
      <c r="DH178" s="222"/>
      <c r="DI178" s="222"/>
      <c r="DJ178" s="222"/>
      <c r="DK178" s="222"/>
      <c r="DL178" s="222"/>
      <c r="DM178" s="222"/>
      <c r="DN178" s="222"/>
      <c r="DO178" s="222"/>
      <c r="DP178" s="222"/>
      <c r="DQ178" s="222"/>
      <c r="DR178" s="222"/>
      <c r="DS178" s="222"/>
      <c r="DT178" s="222"/>
      <c r="DU178" s="222"/>
      <c r="DV178" s="222"/>
      <c r="DW178" s="222"/>
      <c r="DX178" s="222"/>
      <c r="DY178" s="222"/>
      <c r="DZ178" s="222"/>
      <c r="EA178" s="222"/>
      <c r="EB178" s="222"/>
      <c r="EC178" s="222"/>
      <c r="ED178" s="222"/>
      <c r="EE178" s="222"/>
      <c r="EF178" s="222"/>
      <c r="EG178" s="222"/>
      <c r="EH178" s="222"/>
    </row>
    <row r="179" spans="1:138">
      <c r="A179" s="222"/>
      <c r="B179" s="318"/>
      <c r="C179" s="310" t="s">
        <v>299</v>
      </c>
      <c r="D179" s="311"/>
      <c r="E179" s="321">
        <f t="shared" ref="E179:BX179" si="70">E174+E175+E176+E177+E178</f>
        <v>0</v>
      </c>
      <c r="F179" s="321">
        <f t="shared" si="70"/>
        <v>0</v>
      </c>
      <c r="G179" s="321">
        <f t="shared" si="70"/>
        <v>0</v>
      </c>
      <c r="H179" s="321">
        <f t="shared" si="70"/>
        <v>-5341205.5</v>
      </c>
      <c r="I179" s="321">
        <f t="shared" si="70"/>
        <v>0</v>
      </c>
      <c r="J179" s="321">
        <f t="shared" si="70"/>
        <v>0</v>
      </c>
      <c r="K179" s="321">
        <f t="shared" si="70"/>
        <v>0</v>
      </c>
      <c r="L179" s="321">
        <f t="shared" si="70"/>
        <v>0</v>
      </c>
      <c r="M179" s="321">
        <f t="shared" si="70"/>
        <v>0</v>
      </c>
      <c r="N179" s="321">
        <f t="shared" si="70"/>
        <v>0</v>
      </c>
      <c r="O179" s="321">
        <f t="shared" si="70"/>
        <v>0</v>
      </c>
      <c r="P179" s="321">
        <f t="shared" si="70"/>
        <v>0</v>
      </c>
      <c r="Q179" s="321">
        <f t="shared" si="70"/>
        <v>0</v>
      </c>
      <c r="R179" s="321">
        <f t="shared" si="70"/>
        <v>0</v>
      </c>
      <c r="S179" s="321">
        <f t="shared" si="70"/>
        <v>0</v>
      </c>
      <c r="T179" s="321">
        <f t="shared" si="70"/>
        <v>8091205.5</v>
      </c>
      <c r="U179" s="321">
        <f t="shared" si="70"/>
        <v>0</v>
      </c>
      <c r="V179" s="321">
        <f t="shared" si="70"/>
        <v>0</v>
      </c>
      <c r="W179" s="321">
        <f t="shared" si="70"/>
        <v>0</v>
      </c>
      <c r="X179" s="321">
        <f t="shared" si="70"/>
        <v>0</v>
      </c>
      <c r="Y179" s="321">
        <f t="shared" si="70"/>
        <v>0</v>
      </c>
      <c r="Z179" s="321">
        <f t="shared" si="70"/>
        <v>0</v>
      </c>
      <c r="AA179" s="321">
        <f t="shared" si="70"/>
        <v>0</v>
      </c>
      <c r="AB179" s="321">
        <f t="shared" si="70"/>
        <v>0</v>
      </c>
      <c r="AC179" s="321">
        <f t="shared" si="70"/>
        <v>0</v>
      </c>
      <c r="AD179" s="321">
        <f t="shared" si="70"/>
        <v>0</v>
      </c>
      <c r="AE179" s="321">
        <f t="shared" si="70"/>
        <v>0</v>
      </c>
      <c r="AF179" s="321">
        <f t="shared" si="70"/>
        <v>0</v>
      </c>
      <c r="AG179" s="321">
        <f t="shared" si="70"/>
        <v>0</v>
      </c>
      <c r="AH179" s="321">
        <f t="shared" si="70"/>
        <v>0</v>
      </c>
      <c r="AI179" s="321">
        <f t="shared" si="70"/>
        <v>0</v>
      </c>
      <c r="AJ179" s="321">
        <f t="shared" si="70"/>
        <v>0</v>
      </c>
      <c r="AK179" s="321">
        <f t="shared" si="70"/>
        <v>0</v>
      </c>
      <c r="AL179" s="321">
        <f t="shared" si="70"/>
        <v>0</v>
      </c>
      <c r="AM179" s="321">
        <f t="shared" si="70"/>
        <v>0</v>
      </c>
      <c r="AN179" s="321">
        <f t="shared" si="70"/>
        <v>0</v>
      </c>
      <c r="AO179" s="321">
        <f t="shared" si="70"/>
        <v>0</v>
      </c>
      <c r="AP179" s="321">
        <f t="shared" si="70"/>
        <v>0</v>
      </c>
      <c r="AQ179" s="321">
        <f t="shared" si="70"/>
        <v>0</v>
      </c>
      <c r="AR179" s="321">
        <f t="shared" si="70"/>
        <v>0</v>
      </c>
      <c r="AS179" s="321">
        <f t="shared" si="70"/>
        <v>0</v>
      </c>
      <c r="AT179" s="321">
        <f t="shared" si="70"/>
        <v>0</v>
      </c>
      <c r="AU179" s="321">
        <f t="shared" si="70"/>
        <v>0</v>
      </c>
      <c r="AV179" s="321">
        <f t="shared" si="70"/>
        <v>0</v>
      </c>
      <c r="AW179" s="321">
        <f t="shared" si="70"/>
        <v>0</v>
      </c>
      <c r="AX179" s="321">
        <f t="shared" si="70"/>
        <v>0</v>
      </c>
      <c r="AY179" s="321">
        <f t="shared" si="70"/>
        <v>0</v>
      </c>
      <c r="AZ179" s="321">
        <f t="shared" si="70"/>
        <v>0</v>
      </c>
      <c r="BA179" s="321">
        <f t="shared" si="70"/>
        <v>0</v>
      </c>
      <c r="BB179" s="321">
        <f t="shared" si="70"/>
        <v>0</v>
      </c>
      <c r="BC179" s="321">
        <f t="shared" si="70"/>
        <v>0</v>
      </c>
      <c r="BD179" s="321">
        <f t="shared" si="70"/>
        <v>0</v>
      </c>
      <c r="BE179" s="321">
        <f t="shared" si="70"/>
        <v>0</v>
      </c>
      <c r="BF179" s="321">
        <f t="shared" si="70"/>
        <v>0</v>
      </c>
      <c r="BG179" s="321">
        <f t="shared" si="70"/>
        <v>0</v>
      </c>
      <c r="BH179" s="321">
        <f t="shared" si="70"/>
        <v>0</v>
      </c>
      <c r="BI179" s="321">
        <f t="shared" si="70"/>
        <v>0</v>
      </c>
      <c r="BJ179" s="321">
        <f t="shared" si="70"/>
        <v>0</v>
      </c>
      <c r="BK179" s="321">
        <f t="shared" si="70"/>
        <v>0</v>
      </c>
      <c r="BL179" s="321">
        <f t="shared" si="70"/>
        <v>0</v>
      </c>
      <c r="BM179" s="321">
        <f t="shared" si="70"/>
        <v>0</v>
      </c>
      <c r="BN179" s="321">
        <f t="shared" si="70"/>
        <v>0</v>
      </c>
      <c r="BO179" s="321">
        <f t="shared" si="70"/>
        <v>0</v>
      </c>
      <c r="BP179" s="321">
        <f t="shared" si="70"/>
        <v>0</v>
      </c>
      <c r="BQ179" s="321">
        <f t="shared" si="70"/>
        <v>0</v>
      </c>
      <c r="BR179" s="321">
        <f t="shared" si="70"/>
        <v>0</v>
      </c>
      <c r="BS179" s="321">
        <f t="shared" si="70"/>
        <v>0</v>
      </c>
      <c r="BT179" s="321">
        <f t="shared" si="70"/>
        <v>0</v>
      </c>
      <c r="BU179" s="321">
        <f t="shared" si="70"/>
        <v>0</v>
      </c>
      <c r="BV179" s="321">
        <f t="shared" si="70"/>
        <v>0</v>
      </c>
      <c r="BW179" s="321">
        <f t="shared" si="70"/>
        <v>0</v>
      </c>
      <c r="BX179" s="321">
        <f t="shared" si="70"/>
        <v>0</v>
      </c>
      <c r="BY179" s="222"/>
      <c r="BZ179" s="222"/>
      <c r="CA179" s="222"/>
      <c r="CB179" s="222"/>
      <c r="CC179" s="222"/>
      <c r="CD179" s="222"/>
      <c r="CE179" s="222"/>
      <c r="CF179" s="222"/>
      <c r="CG179" s="222"/>
      <c r="CH179" s="222"/>
      <c r="CI179" s="222"/>
      <c r="CJ179" s="222"/>
      <c r="CK179" s="222"/>
      <c r="CL179" s="222"/>
      <c r="CM179" s="222"/>
      <c r="CN179" s="222"/>
      <c r="CO179" s="222"/>
      <c r="CP179" s="222"/>
      <c r="CQ179" s="222"/>
      <c r="CR179" s="222"/>
      <c r="CS179" s="222"/>
      <c r="CT179" s="222"/>
      <c r="CU179" s="222"/>
      <c r="CV179" s="222"/>
      <c r="CW179" s="222"/>
      <c r="CX179" s="222"/>
      <c r="CY179" s="222"/>
      <c r="CZ179" s="222"/>
      <c r="DA179" s="222"/>
      <c r="DB179" s="222"/>
      <c r="DC179" s="222"/>
      <c r="DD179" s="222"/>
      <c r="DE179" s="222"/>
      <c r="DF179" s="222"/>
      <c r="DG179" s="222"/>
      <c r="DH179" s="222"/>
      <c r="DI179" s="222"/>
      <c r="DJ179" s="222"/>
      <c r="DK179" s="222"/>
      <c r="DL179" s="222"/>
      <c r="DM179" s="222"/>
      <c r="DN179" s="222"/>
      <c r="DO179" s="222"/>
      <c r="DP179" s="222"/>
      <c r="DQ179" s="222"/>
      <c r="DR179" s="222"/>
      <c r="DS179" s="222"/>
      <c r="DT179" s="222"/>
      <c r="DU179" s="222"/>
      <c r="DV179" s="222"/>
      <c r="DW179" s="222"/>
      <c r="DX179" s="222"/>
      <c r="DY179" s="222"/>
      <c r="DZ179" s="222"/>
      <c r="EA179" s="222"/>
      <c r="EB179" s="222"/>
      <c r="EC179" s="222"/>
      <c r="ED179" s="222"/>
      <c r="EE179" s="222"/>
      <c r="EF179" s="222"/>
      <c r="EG179" s="222"/>
      <c r="EH179" s="222"/>
    </row>
    <row r="180" spans="1:138">
      <c r="A180" s="222"/>
      <c r="B180" s="318"/>
      <c r="C180" s="314"/>
      <c r="D180" s="322" t="s">
        <v>306</v>
      </c>
      <c r="E180" s="327">
        <f>E179</f>
        <v>0</v>
      </c>
      <c r="F180" s="327">
        <f t="shared" ref="F180:BX180" si="71">E180+F179</f>
        <v>0</v>
      </c>
      <c r="G180" s="327">
        <f t="shared" si="71"/>
        <v>0</v>
      </c>
      <c r="H180" s="327">
        <f t="shared" si="71"/>
        <v>-5341205.5</v>
      </c>
      <c r="I180" s="327">
        <f t="shared" si="71"/>
        <v>-5341205.5</v>
      </c>
      <c r="J180" s="327">
        <f t="shared" si="71"/>
        <v>-5341205.5</v>
      </c>
      <c r="K180" s="327">
        <f t="shared" si="71"/>
        <v>-5341205.5</v>
      </c>
      <c r="L180" s="327">
        <f t="shared" si="71"/>
        <v>-5341205.5</v>
      </c>
      <c r="M180" s="327">
        <f t="shared" si="71"/>
        <v>-5341205.5</v>
      </c>
      <c r="N180" s="327">
        <f t="shared" si="71"/>
        <v>-5341205.5</v>
      </c>
      <c r="O180" s="327">
        <f t="shared" si="71"/>
        <v>-5341205.5</v>
      </c>
      <c r="P180" s="327">
        <f t="shared" si="71"/>
        <v>-5341205.5</v>
      </c>
      <c r="Q180" s="327">
        <f t="shared" si="71"/>
        <v>-5341205.5</v>
      </c>
      <c r="R180" s="327">
        <f t="shared" si="71"/>
        <v>-5341205.5</v>
      </c>
      <c r="S180" s="327">
        <f t="shared" si="71"/>
        <v>-5341205.5</v>
      </c>
      <c r="T180" s="327">
        <f t="shared" si="71"/>
        <v>2750000</v>
      </c>
      <c r="U180" s="327">
        <f t="shared" si="71"/>
        <v>2750000</v>
      </c>
      <c r="V180" s="328">
        <f t="shared" si="71"/>
        <v>2750000</v>
      </c>
      <c r="W180" s="328">
        <f t="shared" si="71"/>
        <v>2750000</v>
      </c>
      <c r="X180" s="328">
        <f t="shared" si="71"/>
        <v>2750000</v>
      </c>
      <c r="Y180" s="328">
        <f t="shared" si="71"/>
        <v>2750000</v>
      </c>
      <c r="Z180" s="328">
        <f t="shared" si="71"/>
        <v>2750000</v>
      </c>
      <c r="AA180" s="328">
        <f t="shared" si="71"/>
        <v>2750000</v>
      </c>
      <c r="AB180" s="328">
        <f t="shared" si="71"/>
        <v>2750000</v>
      </c>
      <c r="AC180" s="328">
        <f t="shared" si="71"/>
        <v>2750000</v>
      </c>
      <c r="AD180" s="328">
        <f t="shared" si="71"/>
        <v>2750000</v>
      </c>
      <c r="AE180" s="328">
        <f t="shared" si="71"/>
        <v>2750000</v>
      </c>
      <c r="AF180" s="328">
        <f t="shared" si="71"/>
        <v>2750000</v>
      </c>
      <c r="AG180" s="328">
        <f t="shared" si="71"/>
        <v>2750000</v>
      </c>
      <c r="AH180" s="328">
        <f t="shared" si="71"/>
        <v>2750000</v>
      </c>
      <c r="AI180" s="328">
        <f t="shared" si="71"/>
        <v>2750000</v>
      </c>
      <c r="AJ180" s="328">
        <f t="shared" si="71"/>
        <v>2750000</v>
      </c>
      <c r="AK180" s="328">
        <f t="shared" si="71"/>
        <v>2750000</v>
      </c>
      <c r="AL180" s="328">
        <f t="shared" si="71"/>
        <v>2750000</v>
      </c>
      <c r="AM180" s="328">
        <f t="shared" si="71"/>
        <v>2750000</v>
      </c>
      <c r="AN180" s="328">
        <f t="shared" si="71"/>
        <v>2750000</v>
      </c>
      <c r="AO180" s="328">
        <f t="shared" si="71"/>
        <v>2750000</v>
      </c>
      <c r="AP180" s="328">
        <f t="shared" si="71"/>
        <v>2750000</v>
      </c>
      <c r="AQ180" s="328">
        <f t="shared" si="71"/>
        <v>2750000</v>
      </c>
      <c r="AR180" s="328">
        <f t="shared" si="71"/>
        <v>2750000</v>
      </c>
      <c r="AS180" s="328">
        <f t="shared" si="71"/>
        <v>2750000</v>
      </c>
      <c r="AT180" s="328">
        <f t="shared" si="71"/>
        <v>2750000</v>
      </c>
      <c r="AU180" s="328">
        <f t="shared" si="71"/>
        <v>2750000</v>
      </c>
      <c r="AV180" s="328">
        <f t="shared" si="71"/>
        <v>2750000</v>
      </c>
      <c r="AW180" s="328">
        <f t="shared" si="71"/>
        <v>2750000</v>
      </c>
      <c r="AX180" s="328">
        <f t="shared" si="71"/>
        <v>2750000</v>
      </c>
      <c r="AY180" s="328">
        <f t="shared" si="71"/>
        <v>2750000</v>
      </c>
      <c r="AZ180" s="328">
        <f t="shared" si="71"/>
        <v>2750000</v>
      </c>
      <c r="BA180" s="328">
        <f t="shared" si="71"/>
        <v>2750000</v>
      </c>
      <c r="BB180" s="328">
        <f t="shared" si="71"/>
        <v>2750000</v>
      </c>
      <c r="BC180" s="327">
        <f t="shared" si="71"/>
        <v>2750000</v>
      </c>
      <c r="BD180" s="327">
        <f t="shared" si="71"/>
        <v>2750000</v>
      </c>
      <c r="BE180" s="327">
        <f t="shared" si="71"/>
        <v>2750000</v>
      </c>
      <c r="BF180" s="327">
        <f t="shared" si="71"/>
        <v>2750000</v>
      </c>
      <c r="BG180" s="327">
        <f t="shared" si="71"/>
        <v>2750000</v>
      </c>
      <c r="BH180" s="327">
        <f t="shared" si="71"/>
        <v>2750000</v>
      </c>
      <c r="BI180" s="327">
        <f t="shared" si="71"/>
        <v>2750000</v>
      </c>
      <c r="BJ180" s="327">
        <f t="shared" si="71"/>
        <v>2750000</v>
      </c>
      <c r="BK180" s="327">
        <f t="shared" si="71"/>
        <v>2750000</v>
      </c>
      <c r="BL180" s="327">
        <f t="shared" si="71"/>
        <v>2750000</v>
      </c>
      <c r="BM180" s="327">
        <f t="shared" si="71"/>
        <v>2750000</v>
      </c>
      <c r="BN180" s="327">
        <f t="shared" si="71"/>
        <v>2750000</v>
      </c>
      <c r="BO180" s="327">
        <f t="shared" si="71"/>
        <v>2750000</v>
      </c>
      <c r="BP180" s="327">
        <f t="shared" si="71"/>
        <v>2750000</v>
      </c>
      <c r="BQ180" s="327">
        <f t="shared" si="71"/>
        <v>2750000</v>
      </c>
      <c r="BR180" s="327">
        <f t="shared" si="71"/>
        <v>2750000</v>
      </c>
      <c r="BS180" s="327">
        <f t="shared" si="71"/>
        <v>2750000</v>
      </c>
      <c r="BT180" s="327">
        <f t="shared" si="71"/>
        <v>2750000</v>
      </c>
      <c r="BU180" s="327">
        <f t="shared" si="71"/>
        <v>2750000</v>
      </c>
      <c r="BV180" s="327">
        <f t="shared" si="71"/>
        <v>2750000</v>
      </c>
      <c r="BW180" s="327">
        <f t="shared" si="71"/>
        <v>2750000</v>
      </c>
      <c r="BX180" s="327">
        <f t="shared" si="71"/>
        <v>2750000</v>
      </c>
      <c r="BY180" s="222"/>
      <c r="BZ180" s="222"/>
      <c r="CA180" s="222"/>
      <c r="CB180" s="222"/>
      <c r="CC180" s="222"/>
      <c r="CD180" s="222"/>
      <c r="CE180" s="222"/>
      <c r="CF180" s="222"/>
      <c r="CG180" s="222"/>
      <c r="CH180" s="222"/>
      <c r="CI180" s="222"/>
      <c r="CJ180" s="222"/>
      <c r="CK180" s="222"/>
      <c r="CL180" s="222"/>
      <c r="CM180" s="222"/>
      <c r="CN180" s="222"/>
      <c r="CO180" s="222"/>
      <c r="CP180" s="222"/>
      <c r="CQ180" s="222"/>
      <c r="CR180" s="222"/>
      <c r="CS180" s="222"/>
      <c r="CT180" s="222"/>
      <c r="CU180" s="222"/>
      <c r="CV180" s="222"/>
      <c r="CW180" s="222"/>
      <c r="CX180" s="222"/>
      <c r="CY180" s="222"/>
      <c r="CZ180" s="222"/>
      <c r="DA180" s="222"/>
      <c r="DB180" s="222"/>
      <c r="DC180" s="222"/>
      <c r="DD180" s="222"/>
      <c r="DE180" s="222"/>
      <c r="DF180" s="222"/>
      <c r="DG180" s="222"/>
      <c r="DH180" s="222"/>
      <c r="DI180" s="222"/>
      <c r="DJ180" s="222"/>
      <c r="DK180" s="222"/>
      <c r="DL180" s="222"/>
      <c r="DM180" s="222"/>
      <c r="DN180" s="222"/>
      <c r="DO180" s="222"/>
      <c r="DP180" s="222"/>
      <c r="DQ180" s="222"/>
      <c r="DR180" s="222"/>
      <c r="DS180" s="222"/>
      <c r="DT180" s="222"/>
      <c r="DU180" s="222"/>
      <c r="DV180" s="222"/>
      <c r="DW180" s="222"/>
      <c r="DX180" s="222"/>
      <c r="DY180" s="222"/>
      <c r="DZ180" s="222"/>
      <c r="EA180" s="222"/>
      <c r="EB180" s="222"/>
      <c r="EC180" s="222"/>
      <c r="ED180" s="222"/>
      <c r="EE180" s="222"/>
      <c r="EF180" s="222"/>
      <c r="EG180" s="222"/>
      <c r="EH180" s="222"/>
    </row>
    <row r="181" spans="1:138">
      <c r="A181" s="222"/>
      <c r="B181" s="318"/>
      <c r="C181" s="313" t="s">
        <v>292</v>
      </c>
      <c r="D181" s="322">
        <f>IRR(E179:BX179)*12</f>
        <v>0.42259732866030397</v>
      </c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22"/>
      <c r="AD181" s="222"/>
      <c r="AE181" s="222"/>
      <c r="AF181" s="222"/>
      <c r="AG181" s="222"/>
      <c r="AH181" s="222"/>
      <c r="AI181" s="222"/>
      <c r="AJ181" s="222"/>
      <c r="AK181" s="222"/>
      <c r="AL181" s="222"/>
      <c r="AM181" s="222"/>
      <c r="AN181" s="222"/>
      <c r="AO181" s="222"/>
      <c r="AP181" s="222"/>
      <c r="AQ181" s="222"/>
      <c r="AR181" s="222"/>
      <c r="AS181" s="222"/>
      <c r="AT181" s="222"/>
      <c r="AU181" s="222"/>
      <c r="AV181" s="222"/>
      <c r="AW181" s="222"/>
      <c r="AX181" s="222"/>
      <c r="AY181" s="222"/>
      <c r="AZ181" s="222"/>
      <c r="BA181" s="222"/>
      <c r="BB181" s="222"/>
      <c r="BC181" s="222"/>
      <c r="BD181" s="222"/>
      <c r="BE181" s="222"/>
      <c r="BF181" s="222"/>
      <c r="BG181" s="222"/>
      <c r="BH181" s="222"/>
      <c r="BI181" s="222"/>
      <c r="BJ181" s="222"/>
      <c r="BK181" s="222"/>
      <c r="BL181" s="222"/>
      <c r="BM181" s="222"/>
      <c r="BN181" s="222"/>
      <c r="BO181" s="222"/>
      <c r="BP181" s="222"/>
      <c r="BQ181" s="222"/>
      <c r="BR181" s="222"/>
      <c r="BS181" s="222"/>
      <c r="BT181" s="222"/>
      <c r="BU181" s="222"/>
      <c r="BV181" s="222"/>
      <c r="BW181" s="222"/>
      <c r="BX181" s="222"/>
      <c r="BY181" s="222"/>
      <c r="BZ181" s="222"/>
      <c r="CA181" s="222"/>
      <c r="CB181" s="222"/>
      <c r="CC181" s="222"/>
      <c r="CD181" s="222"/>
      <c r="CE181" s="222"/>
      <c r="CF181" s="222"/>
      <c r="CG181" s="222"/>
      <c r="CH181" s="222"/>
      <c r="CI181" s="222"/>
      <c r="CJ181" s="222"/>
      <c r="CK181" s="222"/>
      <c r="CL181" s="222"/>
      <c r="CM181" s="222"/>
      <c r="CN181" s="222"/>
      <c r="CO181" s="222"/>
      <c r="CP181" s="222"/>
      <c r="CQ181" s="222"/>
      <c r="CR181" s="222"/>
      <c r="CS181" s="222"/>
      <c r="CT181" s="222"/>
      <c r="CU181" s="222"/>
      <c r="CV181" s="222"/>
      <c r="CW181" s="222"/>
      <c r="CX181" s="222"/>
      <c r="CY181" s="222"/>
      <c r="CZ181" s="222"/>
      <c r="DA181" s="222"/>
      <c r="DB181" s="222"/>
      <c r="DC181" s="222"/>
      <c r="DD181" s="222"/>
      <c r="DE181" s="222"/>
      <c r="DF181" s="222"/>
      <c r="DG181" s="222"/>
      <c r="DH181" s="222"/>
      <c r="DI181" s="222"/>
      <c r="DJ181" s="222"/>
      <c r="DK181" s="222"/>
      <c r="DL181" s="222"/>
      <c r="DM181" s="222"/>
      <c r="DN181" s="222"/>
      <c r="DO181" s="222"/>
      <c r="DP181" s="222"/>
      <c r="DQ181" s="222"/>
      <c r="DR181" s="222"/>
      <c r="DS181" s="222"/>
      <c r="DT181" s="222"/>
      <c r="DU181" s="222"/>
      <c r="DV181" s="222"/>
      <c r="DW181" s="222"/>
      <c r="DX181" s="222"/>
      <c r="DY181" s="222"/>
      <c r="DZ181" s="222"/>
      <c r="EA181" s="222"/>
      <c r="EB181" s="222"/>
      <c r="EC181" s="222"/>
      <c r="ED181" s="222"/>
      <c r="EE181" s="222"/>
      <c r="EF181" s="222"/>
      <c r="EG181" s="222"/>
      <c r="EH181" s="222"/>
    </row>
    <row r="182" spans="1:138">
      <c r="A182" s="222"/>
      <c r="B182" s="318"/>
      <c r="C182" s="323" t="s">
        <v>300</v>
      </c>
      <c r="D182" s="324">
        <f>-MIN(M180:BL180)-D183</f>
        <v>5341205.5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222"/>
      <c r="AF182" s="222"/>
      <c r="AG182" s="222"/>
      <c r="AH182" s="222"/>
      <c r="AI182" s="222"/>
      <c r="AJ182" s="222"/>
      <c r="AK182" s="222"/>
      <c r="AL182" s="222"/>
      <c r="AM182" s="222"/>
      <c r="AN182" s="222"/>
      <c r="AO182" s="222"/>
      <c r="AP182" s="222"/>
      <c r="AQ182" s="222"/>
      <c r="AR182" s="222"/>
      <c r="AS182" s="222"/>
      <c r="AT182" s="222"/>
      <c r="AU182" s="222"/>
      <c r="AV182" s="222"/>
      <c r="AW182" s="222"/>
      <c r="AX182" s="222"/>
      <c r="AY182" s="222"/>
      <c r="AZ182" s="222"/>
      <c r="BA182" s="222"/>
      <c r="BB182" s="222"/>
      <c r="BC182" s="222"/>
      <c r="BD182" s="222"/>
      <c r="BE182" s="222"/>
      <c r="BF182" s="222"/>
      <c r="BG182" s="222"/>
      <c r="BH182" s="222"/>
      <c r="BI182" s="222"/>
      <c r="BJ182" s="222"/>
      <c r="BK182" s="222"/>
      <c r="BL182" s="222"/>
      <c r="BM182" s="222"/>
      <c r="BN182" s="222"/>
      <c r="BO182" s="222"/>
      <c r="BP182" s="222"/>
      <c r="BQ182" s="222"/>
      <c r="BR182" s="222"/>
      <c r="BS182" s="222"/>
      <c r="BT182" s="222"/>
      <c r="BU182" s="222"/>
      <c r="BV182" s="222"/>
      <c r="BW182" s="222"/>
      <c r="BX182" s="222"/>
      <c r="BY182" s="222"/>
      <c r="BZ182" s="222"/>
      <c r="CA182" s="222"/>
      <c r="CB182" s="222"/>
      <c r="CC182" s="222"/>
      <c r="CD182" s="222"/>
      <c r="CE182" s="222"/>
      <c r="CF182" s="222"/>
      <c r="CG182" s="222"/>
      <c r="CH182" s="222"/>
      <c r="CI182" s="222"/>
      <c r="CJ182" s="222"/>
      <c r="CK182" s="222"/>
      <c r="CL182" s="222"/>
      <c r="CM182" s="222"/>
      <c r="CN182" s="222"/>
      <c r="CO182" s="222"/>
      <c r="CP182" s="222"/>
      <c r="CQ182" s="222"/>
      <c r="CR182" s="222"/>
      <c r="CS182" s="222"/>
      <c r="CT182" s="222"/>
      <c r="CU182" s="222"/>
      <c r="CV182" s="222"/>
      <c r="CW182" s="222"/>
      <c r="CX182" s="222"/>
      <c r="CY182" s="222"/>
      <c r="CZ182" s="222"/>
      <c r="DA182" s="222"/>
      <c r="DB182" s="222"/>
      <c r="DC182" s="222"/>
      <c r="DD182" s="222"/>
      <c r="DE182" s="222"/>
      <c r="DF182" s="222"/>
      <c r="DG182" s="222"/>
      <c r="DH182" s="222"/>
      <c r="DI182" s="222"/>
      <c r="DJ182" s="222"/>
      <c r="DK182" s="222"/>
      <c r="DL182" s="222"/>
      <c r="DM182" s="222"/>
      <c r="DN182" s="222"/>
      <c r="DO182" s="222"/>
      <c r="DP182" s="222"/>
      <c r="DQ182" s="222"/>
      <c r="DR182" s="222"/>
      <c r="DS182" s="222"/>
      <c r="DT182" s="222"/>
      <c r="DU182" s="222"/>
      <c r="DV182" s="222"/>
      <c r="DW182" s="222"/>
      <c r="DX182" s="222"/>
      <c r="DY182" s="222"/>
      <c r="DZ182" s="222"/>
      <c r="EA182" s="222"/>
      <c r="EB182" s="222"/>
      <c r="EC182" s="222"/>
      <c r="ED182" s="222"/>
      <c r="EE182" s="222"/>
      <c r="EF182" s="222"/>
      <c r="EG182" s="222"/>
      <c r="EH182" s="222"/>
    </row>
    <row r="183" spans="1:138">
      <c r="A183" s="222"/>
      <c r="B183" s="318"/>
      <c r="C183" s="323" t="s">
        <v>301</v>
      </c>
      <c r="D183" s="324">
        <f>-SUM(M178:BB178)</f>
        <v>0</v>
      </c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222"/>
      <c r="AF183" s="222"/>
      <c r="AG183" s="222"/>
      <c r="AH183" s="222"/>
      <c r="AI183" s="222"/>
      <c r="AJ183" s="222"/>
      <c r="AK183" s="222"/>
      <c r="AL183" s="222"/>
      <c r="AM183" s="222"/>
      <c r="AN183" s="222"/>
      <c r="AO183" s="222"/>
      <c r="AP183" s="222"/>
      <c r="AQ183" s="222"/>
      <c r="AR183" s="222"/>
      <c r="AS183" s="222"/>
      <c r="AT183" s="222"/>
      <c r="AU183" s="222"/>
      <c r="AV183" s="222"/>
      <c r="AW183" s="222"/>
      <c r="AX183" s="222"/>
      <c r="AY183" s="222"/>
      <c r="AZ183" s="222"/>
      <c r="BA183" s="222"/>
      <c r="BB183" s="222"/>
      <c r="BC183" s="222"/>
      <c r="BD183" s="222"/>
      <c r="BE183" s="222"/>
      <c r="BF183" s="222"/>
      <c r="BG183" s="222"/>
      <c r="BH183" s="222"/>
      <c r="BI183" s="222"/>
      <c r="BJ183" s="222"/>
      <c r="BK183" s="222"/>
      <c r="BL183" s="222"/>
      <c r="BM183" s="222"/>
      <c r="BN183" s="222"/>
      <c r="BO183" s="222"/>
      <c r="BP183" s="222"/>
      <c r="BQ183" s="222"/>
      <c r="BR183" s="222"/>
      <c r="BS183" s="222"/>
      <c r="BT183" s="222"/>
      <c r="BU183" s="222"/>
      <c r="BV183" s="222"/>
      <c r="BW183" s="222"/>
      <c r="BX183" s="222"/>
      <c r="BY183" s="222"/>
      <c r="BZ183" s="222"/>
      <c r="CA183" s="222"/>
      <c r="CB183" s="222"/>
      <c r="CC183" s="222"/>
      <c r="CD183" s="222"/>
      <c r="CE183" s="222"/>
      <c r="CF183" s="222"/>
      <c r="CG183" s="222"/>
      <c r="CH183" s="222"/>
      <c r="CI183" s="222"/>
      <c r="CJ183" s="222"/>
      <c r="CK183" s="222"/>
      <c r="CL183" s="222"/>
      <c r="CM183" s="222"/>
      <c r="CN183" s="222"/>
      <c r="CO183" s="222"/>
      <c r="CP183" s="222"/>
      <c r="CQ183" s="222"/>
      <c r="CR183" s="222"/>
      <c r="CS183" s="222"/>
      <c r="CT183" s="222"/>
      <c r="CU183" s="222"/>
      <c r="CV183" s="222"/>
      <c r="CW183" s="222"/>
      <c r="CX183" s="222"/>
      <c r="CY183" s="222"/>
      <c r="CZ183" s="222"/>
      <c r="DA183" s="222"/>
      <c r="DB183" s="222"/>
      <c r="DC183" s="222"/>
      <c r="DD183" s="222"/>
      <c r="DE183" s="222"/>
      <c r="DF183" s="222"/>
      <c r="DG183" s="222"/>
      <c r="DH183" s="222"/>
      <c r="DI183" s="222"/>
      <c r="DJ183" s="222"/>
      <c r="DK183" s="222"/>
      <c r="DL183" s="222"/>
      <c r="DM183" s="222"/>
      <c r="DN183" s="222"/>
      <c r="DO183" s="222"/>
      <c r="DP183" s="222"/>
      <c r="DQ183" s="222"/>
      <c r="DR183" s="222"/>
      <c r="DS183" s="222"/>
      <c r="DT183" s="222"/>
      <c r="DU183" s="222"/>
      <c r="DV183" s="222"/>
      <c r="DW183" s="222"/>
      <c r="DX183" s="222"/>
      <c r="DY183" s="222"/>
      <c r="DZ183" s="222"/>
      <c r="EA183" s="222"/>
      <c r="EB183" s="222"/>
      <c r="EC183" s="222"/>
      <c r="ED183" s="222"/>
      <c r="EE183" s="222"/>
      <c r="EF183" s="222"/>
      <c r="EG183" s="222"/>
      <c r="EH183" s="222"/>
    </row>
    <row r="184" spans="1:138">
      <c r="A184" s="222"/>
      <c r="B184" s="318"/>
      <c r="C184" s="313" t="s">
        <v>302</v>
      </c>
      <c r="D184" s="326">
        <f>D183+D182</f>
        <v>5341205.5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222"/>
      <c r="AF184" s="222"/>
      <c r="AG184" s="222"/>
      <c r="AH184" s="222"/>
      <c r="AI184" s="222"/>
      <c r="AJ184" s="222"/>
      <c r="AK184" s="222"/>
      <c r="AL184" s="222"/>
      <c r="AM184" s="222"/>
      <c r="AN184" s="222"/>
      <c r="AO184" s="222"/>
      <c r="AP184" s="222"/>
      <c r="AQ184" s="222"/>
      <c r="AR184" s="222"/>
      <c r="AS184" s="222"/>
      <c r="AT184" s="222"/>
      <c r="AU184" s="222"/>
      <c r="AV184" s="222"/>
      <c r="AW184" s="222"/>
      <c r="AX184" s="222"/>
      <c r="AY184" s="222"/>
      <c r="AZ184" s="222"/>
      <c r="BA184" s="222"/>
      <c r="BB184" s="222"/>
      <c r="BC184" s="222"/>
      <c r="BD184" s="222"/>
      <c r="BE184" s="222"/>
      <c r="BF184" s="222"/>
      <c r="BG184" s="222"/>
      <c r="BH184" s="222"/>
      <c r="BI184" s="222"/>
      <c r="BJ184" s="222"/>
      <c r="BK184" s="222"/>
      <c r="BL184" s="222"/>
      <c r="BM184" s="222"/>
      <c r="BN184" s="222"/>
      <c r="BO184" s="222"/>
      <c r="BP184" s="222"/>
      <c r="BQ184" s="222"/>
      <c r="BR184" s="222"/>
      <c r="BS184" s="222"/>
      <c r="BT184" s="222"/>
      <c r="BU184" s="222"/>
      <c r="BV184" s="222"/>
      <c r="BW184" s="222"/>
      <c r="BX184" s="222"/>
      <c r="BY184" s="222"/>
      <c r="BZ184" s="222"/>
      <c r="CA184" s="222"/>
      <c r="CB184" s="222"/>
      <c r="CC184" s="222"/>
      <c r="CD184" s="222"/>
      <c r="CE184" s="222"/>
      <c r="CF184" s="222"/>
      <c r="CG184" s="222"/>
      <c r="CH184" s="222"/>
      <c r="CI184" s="222"/>
      <c r="CJ184" s="222"/>
      <c r="CK184" s="222"/>
      <c r="CL184" s="222"/>
      <c r="CM184" s="222"/>
      <c r="CN184" s="222"/>
      <c r="CO184" s="222"/>
      <c r="CP184" s="222"/>
      <c r="CQ184" s="222"/>
      <c r="CR184" s="222"/>
      <c r="CS184" s="222"/>
      <c r="CT184" s="222"/>
      <c r="CU184" s="222"/>
      <c r="CV184" s="222"/>
      <c r="CW184" s="222"/>
      <c r="CX184" s="222"/>
      <c r="CY184" s="222"/>
      <c r="CZ184" s="222"/>
      <c r="DA184" s="222"/>
      <c r="DB184" s="222"/>
      <c r="DC184" s="222"/>
      <c r="DD184" s="222"/>
      <c r="DE184" s="222"/>
      <c r="DF184" s="222"/>
      <c r="DG184" s="222"/>
      <c r="DH184" s="222"/>
      <c r="DI184" s="222"/>
      <c r="DJ184" s="222"/>
      <c r="DK184" s="222"/>
      <c r="DL184" s="222"/>
      <c r="DM184" s="222"/>
      <c r="DN184" s="222"/>
      <c r="DO184" s="222"/>
      <c r="DP184" s="222"/>
      <c r="DQ184" s="222"/>
      <c r="DR184" s="222"/>
      <c r="DS184" s="222"/>
      <c r="DT184" s="222"/>
      <c r="DU184" s="222"/>
      <c r="DV184" s="222"/>
      <c r="DW184" s="325"/>
      <c r="DX184" s="325"/>
      <c r="DY184" s="325"/>
      <c r="DZ184" s="325"/>
      <c r="EA184" s="325"/>
      <c r="EB184" s="325"/>
      <c r="EC184" s="325"/>
      <c r="ED184" s="325"/>
      <c r="EE184" s="325"/>
      <c r="EF184" s="325"/>
      <c r="EG184" s="325"/>
      <c r="EH184" s="325"/>
    </row>
    <row r="185" spans="1:138">
      <c r="A185" s="222"/>
      <c r="B185" s="318"/>
      <c r="C185" s="313" t="s">
        <v>303</v>
      </c>
      <c r="D185" s="326">
        <f>T177</f>
        <v>2750000</v>
      </c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22"/>
      <c r="AD185" s="222"/>
      <c r="AE185" s="222"/>
      <c r="AF185" s="222"/>
      <c r="AG185" s="222"/>
      <c r="AH185" s="222"/>
      <c r="AI185" s="222"/>
      <c r="AJ185" s="222"/>
      <c r="AK185" s="222"/>
      <c r="AL185" s="222"/>
      <c r="AM185" s="222"/>
      <c r="AN185" s="222"/>
      <c r="AO185" s="222"/>
      <c r="AP185" s="222"/>
      <c r="AQ185" s="222"/>
      <c r="AR185" s="222"/>
      <c r="AS185" s="222"/>
      <c r="AT185" s="222"/>
      <c r="AU185" s="222"/>
      <c r="AV185" s="222"/>
      <c r="AW185" s="222"/>
      <c r="AX185" s="222"/>
      <c r="AY185" s="222"/>
      <c r="AZ185" s="222"/>
      <c r="BA185" s="222"/>
      <c r="BB185" s="222"/>
      <c r="BC185" s="222"/>
      <c r="BD185" s="222"/>
      <c r="BE185" s="222"/>
      <c r="BF185" s="222"/>
      <c r="BG185" s="222"/>
      <c r="BH185" s="222"/>
      <c r="BI185" s="222"/>
      <c r="BJ185" s="222"/>
      <c r="BK185" s="222"/>
      <c r="BL185" s="222"/>
      <c r="BM185" s="222"/>
      <c r="BN185" s="222"/>
      <c r="BO185" s="222"/>
      <c r="BP185" s="222"/>
      <c r="BQ185" s="222"/>
      <c r="BR185" s="222"/>
      <c r="BS185" s="222"/>
      <c r="BT185" s="222"/>
      <c r="BU185" s="222"/>
      <c r="BV185" s="222"/>
      <c r="BW185" s="222"/>
      <c r="BX185" s="222"/>
      <c r="BY185" s="222"/>
      <c r="BZ185" s="222"/>
      <c r="CA185" s="222"/>
      <c r="CB185" s="222"/>
      <c r="CC185" s="222"/>
      <c r="CD185" s="222"/>
      <c r="CE185" s="222"/>
      <c r="CF185" s="222"/>
      <c r="CG185" s="222"/>
      <c r="CH185" s="222"/>
      <c r="CI185" s="222"/>
      <c r="CJ185" s="222"/>
      <c r="CK185" s="222"/>
      <c r="CL185" s="222"/>
      <c r="CM185" s="222"/>
      <c r="CN185" s="222"/>
      <c r="CO185" s="222"/>
      <c r="CP185" s="222"/>
      <c r="CQ185" s="222"/>
      <c r="CR185" s="222"/>
      <c r="CS185" s="222"/>
      <c r="CT185" s="222"/>
      <c r="CU185" s="222"/>
      <c r="CV185" s="222"/>
      <c r="CW185" s="222"/>
      <c r="CX185" s="222"/>
      <c r="CY185" s="222"/>
      <c r="CZ185" s="222"/>
      <c r="DA185" s="222"/>
      <c r="DB185" s="222"/>
      <c r="DC185" s="222"/>
      <c r="DD185" s="222"/>
      <c r="DE185" s="222"/>
      <c r="DF185" s="222"/>
      <c r="DG185" s="222"/>
      <c r="DH185" s="222"/>
      <c r="DI185" s="222"/>
      <c r="DJ185" s="222"/>
      <c r="DK185" s="222"/>
      <c r="DL185" s="222"/>
      <c r="DM185" s="222"/>
      <c r="DN185" s="222"/>
      <c r="DO185" s="222"/>
      <c r="DP185" s="222"/>
      <c r="DQ185" s="222"/>
      <c r="DR185" s="222"/>
      <c r="DS185" s="222"/>
      <c r="DT185" s="222"/>
      <c r="DU185" s="222"/>
      <c r="DV185" s="222"/>
      <c r="DW185" s="325"/>
      <c r="DX185" s="325"/>
      <c r="DY185" s="325"/>
      <c r="DZ185" s="325"/>
      <c r="EA185" s="325"/>
      <c r="EB185" s="325"/>
      <c r="EC185" s="325"/>
      <c r="ED185" s="325"/>
      <c r="EE185" s="325"/>
      <c r="EF185" s="325"/>
      <c r="EG185" s="325"/>
      <c r="EH185" s="325"/>
    </row>
    <row r="186" spans="1:138">
      <c r="A186" s="222"/>
      <c r="B186" s="318"/>
      <c r="C186" s="313" t="s">
        <v>147</v>
      </c>
      <c r="D186" s="322">
        <f>(D185-D183)/D184</f>
        <v>0.51486504310684167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2"/>
      <c r="AX186" s="222"/>
      <c r="AY186" s="222"/>
      <c r="AZ186" s="222"/>
      <c r="BA186" s="222"/>
      <c r="BB186" s="222"/>
      <c r="BC186" s="222"/>
      <c r="BD186" s="222"/>
      <c r="BE186" s="222"/>
      <c r="BF186" s="222"/>
      <c r="BG186" s="222"/>
      <c r="BH186" s="222"/>
      <c r="BI186" s="222"/>
      <c r="BJ186" s="222"/>
      <c r="BK186" s="222"/>
      <c r="BL186" s="222"/>
      <c r="BM186" s="222"/>
      <c r="BN186" s="222"/>
      <c r="BO186" s="222"/>
      <c r="BP186" s="222"/>
      <c r="BQ186" s="222"/>
      <c r="BR186" s="222"/>
      <c r="BS186" s="222"/>
      <c r="BT186" s="222"/>
      <c r="BU186" s="222"/>
      <c r="BV186" s="222"/>
      <c r="BW186" s="222"/>
      <c r="BX186" s="222"/>
      <c r="BY186" s="222"/>
      <c r="BZ186" s="222"/>
      <c r="CA186" s="222"/>
      <c r="CB186" s="222"/>
      <c r="CC186" s="222"/>
      <c r="CD186" s="222"/>
      <c r="CE186" s="222"/>
      <c r="CF186" s="222"/>
      <c r="CG186" s="222"/>
      <c r="CH186" s="222"/>
      <c r="CI186" s="222"/>
      <c r="CJ186" s="222"/>
      <c r="CK186" s="222"/>
      <c r="CL186" s="222"/>
      <c r="CM186" s="222"/>
      <c r="CN186" s="222"/>
      <c r="CO186" s="222"/>
      <c r="CP186" s="222"/>
      <c r="CQ186" s="222"/>
      <c r="CR186" s="222"/>
      <c r="CS186" s="222"/>
      <c r="CT186" s="222"/>
      <c r="CU186" s="222"/>
      <c r="CV186" s="222"/>
      <c r="CW186" s="222"/>
      <c r="CX186" s="222"/>
      <c r="CY186" s="222"/>
      <c r="CZ186" s="222"/>
      <c r="DA186" s="222"/>
      <c r="DB186" s="222"/>
      <c r="DC186" s="222"/>
      <c r="DD186" s="222"/>
      <c r="DE186" s="222"/>
      <c r="DF186" s="222"/>
      <c r="DG186" s="222"/>
      <c r="DH186" s="222"/>
      <c r="DI186" s="222"/>
      <c r="DJ186" s="222"/>
      <c r="DK186" s="222"/>
      <c r="DL186" s="222"/>
      <c r="DM186" s="222"/>
      <c r="DN186" s="222"/>
      <c r="DO186" s="222"/>
      <c r="DP186" s="222"/>
      <c r="DQ186" s="222"/>
      <c r="DR186" s="222"/>
      <c r="DS186" s="222"/>
      <c r="DT186" s="222"/>
      <c r="DU186" s="222"/>
      <c r="DV186" s="222"/>
      <c r="DW186" s="325"/>
      <c r="DX186" s="325"/>
      <c r="DY186" s="325"/>
      <c r="DZ186" s="325"/>
      <c r="EA186" s="325"/>
      <c r="EB186" s="325"/>
      <c r="EC186" s="325"/>
      <c r="ED186" s="325"/>
      <c r="EE186" s="325"/>
      <c r="EF186" s="325"/>
      <c r="EG186" s="325"/>
      <c r="EH186" s="325"/>
    </row>
    <row r="187" spans="1:138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2"/>
      <c r="AX187" s="222"/>
      <c r="AY187" s="222"/>
      <c r="AZ187" s="222"/>
      <c r="BA187" s="222"/>
      <c r="BB187" s="222"/>
      <c r="BC187" s="222"/>
      <c r="BD187" s="222"/>
      <c r="BE187" s="222"/>
      <c r="BF187" s="222"/>
      <c r="BG187" s="222"/>
      <c r="BH187" s="222"/>
      <c r="BI187" s="222"/>
      <c r="BJ187" s="222"/>
      <c r="BK187" s="222"/>
      <c r="BL187" s="222"/>
      <c r="BM187" s="222"/>
      <c r="BN187" s="222"/>
      <c r="BO187" s="222"/>
      <c r="BP187" s="222"/>
      <c r="BQ187" s="222"/>
      <c r="BR187" s="222"/>
      <c r="BS187" s="222"/>
      <c r="BT187" s="222"/>
      <c r="BU187" s="222"/>
      <c r="BV187" s="222"/>
      <c r="BW187" s="222"/>
      <c r="BX187" s="222"/>
      <c r="BY187" s="222"/>
      <c r="BZ187" s="238"/>
      <c r="CA187" s="222"/>
      <c r="CB187" s="222"/>
      <c r="CC187" s="222"/>
      <c r="CD187" s="222"/>
      <c r="CE187" s="222"/>
      <c r="CF187" s="222"/>
      <c r="CG187" s="222"/>
      <c r="CH187" s="222"/>
      <c r="CI187" s="222"/>
      <c r="CJ187" s="222"/>
      <c r="CK187" s="222"/>
      <c r="CL187" s="222"/>
      <c r="CM187" s="222"/>
      <c r="CN187" s="222"/>
      <c r="CO187" s="222"/>
      <c r="CP187" s="222"/>
      <c r="CQ187" s="222"/>
      <c r="CR187" s="222"/>
      <c r="CS187" s="222"/>
      <c r="CT187" s="222"/>
      <c r="CU187" s="222"/>
      <c r="CV187" s="222"/>
      <c r="CW187" s="222"/>
      <c r="CX187" s="222"/>
      <c r="CY187" s="222"/>
      <c r="CZ187" s="222"/>
      <c r="DA187" s="222"/>
      <c r="DB187" s="222"/>
      <c r="DC187" s="222"/>
      <c r="DD187" s="222"/>
      <c r="DE187" s="222"/>
      <c r="DF187" s="222"/>
      <c r="DG187" s="222"/>
      <c r="DH187" s="222"/>
      <c r="DI187" s="222"/>
      <c r="DJ187" s="222"/>
      <c r="DK187" s="222"/>
      <c r="DL187" s="222"/>
      <c r="DM187" s="222"/>
      <c r="DN187" s="222"/>
      <c r="DO187" s="222"/>
      <c r="DP187" s="222"/>
      <c r="DQ187" s="222"/>
      <c r="DR187" s="222"/>
      <c r="DS187" s="222"/>
      <c r="DT187" s="222"/>
      <c r="DU187" s="222"/>
      <c r="DV187" s="222"/>
      <c r="DW187" s="325"/>
      <c r="DX187" s="325"/>
      <c r="DY187" s="325"/>
      <c r="DZ187" s="325"/>
      <c r="EA187" s="325"/>
      <c r="EB187" s="325"/>
      <c r="EC187" s="325"/>
      <c r="ED187" s="325"/>
      <c r="EE187" s="325"/>
      <c r="EF187" s="325"/>
      <c r="EG187" s="325"/>
      <c r="EH187" s="325"/>
    </row>
  </sheetData>
  <mergeCells count="32">
    <mergeCell ref="B97:C97"/>
    <mergeCell ref="B98:C98"/>
    <mergeCell ref="D103:E103"/>
    <mergeCell ref="D106:BW106"/>
    <mergeCell ref="B2:C4"/>
    <mergeCell ref="B5:B8"/>
    <mergeCell ref="B9:B11"/>
    <mergeCell ref="B12:B15"/>
    <mergeCell ref="B16:C16"/>
    <mergeCell ref="B17:B95"/>
    <mergeCell ref="B96:C96"/>
    <mergeCell ref="BM2:BX2"/>
    <mergeCell ref="E2:P2"/>
    <mergeCell ref="Q2:AB2"/>
    <mergeCell ref="AC2:AN2"/>
    <mergeCell ref="AO2:AZ2"/>
    <mergeCell ref="BY88:BZ88"/>
    <mergeCell ref="BZ89:BZ95"/>
    <mergeCell ref="BY96:BZ96"/>
    <mergeCell ref="BY97:BZ97"/>
    <mergeCell ref="BZ5:BZ8"/>
    <mergeCell ref="BZ9:BZ11"/>
    <mergeCell ref="BY16:BZ16"/>
    <mergeCell ref="BA2:BL2"/>
    <mergeCell ref="BY2:BZ4"/>
    <mergeCell ref="BZ12:BZ15"/>
    <mergeCell ref="BZ17:BZ87"/>
    <mergeCell ref="CC17:CC87"/>
    <mergeCell ref="CC5:CC8"/>
    <mergeCell ref="CC9:CC11"/>
    <mergeCell ref="CC12:CC15"/>
    <mergeCell ref="CB16:CC16"/>
  </mergeCells>
  <conditionalFormatting sqref="E17:BX17 E23:BX23 E26:BX26 E34:BX34 E37:BX37 E47:BX47 E53:BX53 E61:BX61 E85:BX85 E88:BX88">
    <cfRule type="cellIs" dxfId="21" priority="1" operator="equal">
      <formula>0</formula>
    </cfRule>
  </conditionalFormatting>
  <conditionalFormatting sqref="F111:BS114 E112 BT112:BX112 E114 BT114:BX114 E126 F126:BX129 E128 E142 M142:BX142 F142:L145 E144 M144:BX144 E158 M158:BX158 F158:L161 E160:E161 M160:BX161 M174:T174 H174:L177 E176:G176 M176:BX176">
    <cfRule type="cellIs" dxfId="20" priority="2" operator="equal">
      <formula>0</formula>
    </cfRule>
  </conditionalFormatting>
  <dataValidations count="1">
    <dataValidation type="list" allowBlank="1" showErrorMessage="1" sqref="CB4" xr:uid="{00000000-0002-0000-0B00-000000000000}">
      <formula1>$D$3:$BX$3</formula1>
    </dataValidation>
  </dataValidations>
  <pageMargins left="0" right="0" top="0" bottom="0" header="0" footer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B2:T79"/>
  <sheetViews>
    <sheetView workbookViewId="0"/>
  </sheetViews>
  <sheetFormatPr defaultColWidth="12.625" defaultRowHeight="15" customHeight="1"/>
  <cols>
    <col min="12" max="20" width="12.625" hidden="1"/>
  </cols>
  <sheetData>
    <row r="2" spans="2:20" ht="14.1">
      <c r="B2" s="575" t="s">
        <v>310</v>
      </c>
      <c r="C2" s="588"/>
      <c r="D2" s="588"/>
      <c r="E2" s="588"/>
      <c r="G2" s="575" t="s">
        <v>311</v>
      </c>
      <c r="H2" s="588"/>
      <c r="I2" s="588"/>
      <c r="J2" s="588"/>
      <c r="L2" s="575" t="s">
        <v>312</v>
      </c>
      <c r="M2" s="588"/>
      <c r="N2" s="588"/>
      <c r="O2" s="588"/>
      <c r="Q2" s="575" t="s">
        <v>313</v>
      </c>
      <c r="R2" s="588"/>
      <c r="S2" s="588"/>
      <c r="T2" s="588"/>
    </row>
    <row r="3" spans="2:20" ht="15" customHeight="1">
      <c r="B3" s="588"/>
      <c r="C3" s="588"/>
      <c r="D3" s="588"/>
      <c r="E3" s="588"/>
      <c r="G3" s="588"/>
      <c r="H3" s="588"/>
      <c r="I3" s="588"/>
      <c r="J3" s="588"/>
      <c r="L3" s="588"/>
      <c r="M3" s="588"/>
      <c r="N3" s="588"/>
      <c r="O3" s="588"/>
      <c r="Q3" s="588"/>
      <c r="R3" s="588"/>
      <c r="S3" s="588"/>
      <c r="T3" s="588"/>
    </row>
    <row r="7" spans="2:20" ht="14.1">
      <c r="B7" s="336" t="s">
        <v>314</v>
      </c>
      <c r="C7" s="337" t="s">
        <v>315</v>
      </c>
      <c r="D7" s="338" t="s">
        <v>279</v>
      </c>
      <c r="E7" s="339" t="s">
        <v>316</v>
      </c>
      <c r="G7" s="336" t="s">
        <v>314</v>
      </c>
      <c r="H7" s="337" t="s">
        <v>315</v>
      </c>
      <c r="I7" s="338" t="s">
        <v>279</v>
      </c>
      <c r="J7" s="339" t="s">
        <v>316</v>
      </c>
      <c r="L7" s="336" t="s">
        <v>314</v>
      </c>
      <c r="M7" s="337" t="s">
        <v>315</v>
      </c>
      <c r="N7" s="338" t="s">
        <v>279</v>
      </c>
      <c r="O7" s="339" t="s">
        <v>316</v>
      </c>
      <c r="Q7" s="336" t="s">
        <v>314</v>
      </c>
      <c r="R7" s="337" t="s">
        <v>315</v>
      </c>
      <c r="S7" s="338" t="s">
        <v>279</v>
      </c>
      <c r="T7" s="339" t="s">
        <v>316</v>
      </c>
    </row>
    <row r="8" spans="2:20" ht="14.1">
      <c r="B8" s="340">
        <v>45292</v>
      </c>
      <c r="C8" s="341">
        <f t="array" ref="C8:C79">TRANSPOSE('Cash-flow PLAN'!E110:BX110)</f>
        <v>0</v>
      </c>
      <c r="D8" s="342">
        <f>0-C8</f>
        <v>0</v>
      </c>
      <c r="E8" s="343">
        <f>D8*'Cash-flow PLAN'!$D$54/12</f>
        <v>0</v>
      </c>
      <c r="G8" s="340">
        <v>45292</v>
      </c>
      <c r="H8" s="344">
        <f t="array" ref="H8:H79">TRANSPOSE('Cash-flow PLAN'!E126:BX126)</f>
        <v>0</v>
      </c>
      <c r="I8" s="342">
        <f>0-H8</f>
        <v>0</v>
      </c>
      <c r="J8" s="343">
        <f>I8*'Cash-flow PLAN'!$D$55/12</f>
        <v>0</v>
      </c>
      <c r="L8" s="340">
        <v>45292</v>
      </c>
      <c r="M8" s="344">
        <f t="array" ref="M8:M79">TRANSPOSE('Cash-flow PLAN'!E142:BX142)</f>
        <v>0</v>
      </c>
      <c r="N8" s="342">
        <f>0-M8</f>
        <v>0</v>
      </c>
      <c r="O8" s="343">
        <f>N8*'Cash-flow PLAN'!$D$56/12</f>
        <v>0</v>
      </c>
      <c r="Q8" s="340">
        <v>45292</v>
      </c>
      <c r="R8" s="341">
        <f t="array" ref="R8:R79">TRANSPOSE('Cash-flow PLAN'!E159:BX159)</f>
        <v>0</v>
      </c>
      <c r="S8" s="342">
        <f>0-R8</f>
        <v>0</v>
      </c>
      <c r="T8" s="343">
        <f>S8*'Cash-flow PLAN'!$D$57/12</f>
        <v>0</v>
      </c>
    </row>
    <row r="9" spans="2:20" ht="14.1">
      <c r="B9" s="345">
        <v>45323</v>
      </c>
      <c r="C9" s="341">
        <v>0</v>
      </c>
      <c r="D9" s="342">
        <f t="shared" ref="D9:D78" si="0">D8-C9</f>
        <v>0</v>
      </c>
      <c r="E9" s="343">
        <f>D9*'Cash-flow PLAN'!$D$54/12</f>
        <v>0</v>
      </c>
      <c r="G9" s="345">
        <v>45323</v>
      </c>
      <c r="H9" s="341">
        <v>0</v>
      </c>
      <c r="I9" s="342">
        <f t="shared" ref="I9:I78" si="1">I8-H9</f>
        <v>0</v>
      </c>
      <c r="J9" s="343">
        <f>I9*'Cash-flow PLAN'!$D$55/12</f>
        <v>0</v>
      </c>
      <c r="L9" s="345">
        <v>45323</v>
      </c>
      <c r="M9" s="341">
        <v>0</v>
      </c>
      <c r="N9" s="342">
        <f t="shared" ref="N9:N78" si="2">N8-M9</f>
        <v>0</v>
      </c>
      <c r="O9" s="343">
        <f>N9*'Cash-flow PLAN'!$D$56/12</f>
        <v>0</v>
      </c>
      <c r="Q9" s="345">
        <v>45323</v>
      </c>
      <c r="R9" s="341">
        <v>0</v>
      </c>
      <c r="S9" s="342">
        <f t="shared" ref="S9:S78" si="3">S8-R9</f>
        <v>0</v>
      </c>
      <c r="T9" s="343">
        <f>S9*'Cash-flow PLAN'!$D$57/12</f>
        <v>0</v>
      </c>
    </row>
    <row r="10" spans="2:20" ht="14.1">
      <c r="B10" s="345">
        <v>45352</v>
      </c>
      <c r="C10" s="341">
        <v>0</v>
      </c>
      <c r="D10" s="342">
        <f t="shared" si="0"/>
        <v>0</v>
      </c>
      <c r="E10" s="343">
        <f>D10*'Cash-flow PLAN'!$D$54/12</f>
        <v>0</v>
      </c>
      <c r="G10" s="345">
        <v>45352</v>
      </c>
      <c r="H10" s="341">
        <v>0</v>
      </c>
      <c r="I10" s="342">
        <f t="shared" si="1"/>
        <v>0</v>
      </c>
      <c r="J10" s="343">
        <f>I10*'Cash-flow PLAN'!$D$55/12</f>
        <v>0</v>
      </c>
      <c r="L10" s="345">
        <v>45352</v>
      </c>
      <c r="M10" s="341">
        <v>0</v>
      </c>
      <c r="N10" s="342">
        <f t="shared" si="2"/>
        <v>0</v>
      </c>
      <c r="O10" s="343">
        <f>N10*'Cash-flow PLAN'!$D$56/12</f>
        <v>0</v>
      </c>
      <c r="Q10" s="345">
        <v>45352</v>
      </c>
      <c r="R10" s="341">
        <v>0</v>
      </c>
      <c r="S10" s="342">
        <f t="shared" si="3"/>
        <v>0</v>
      </c>
      <c r="T10" s="343">
        <f>S10*'Cash-flow PLAN'!$D$57/12</f>
        <v>0</v>
      </c>
    </row>
    <row r="11" spans="2:20" ht="14.1">
      <c r="B11" s="345">
        <v>45383</v>
      </c>
      <c r="C11" s="341">
        <v>-16365002</v>
      </c>
      <c r="D11" s="342">
        <f t="shared" si="0"/>
        <v>16365002</v>
      </c>
      <c r="E11" s="343">
        <f>D11*'Cash-flow PLAN'!$D$54/12</f>
        <v>143193.76749999999</v>
      </c>
      <c r="G11" s="345">
        <v>45383</v>
      </c>
      <c r="H11" s="341">
        <v>0</v>
      </c>
      <c r="I11" s="342">
        <f t="shared" si="1"/>
        <v>0</v>
      </c>
      <c r="J11" s="343">
        <f>I11*'Cash-flow PLAN'!$D$55/12</f>
        <v>0</v>
      </c>
      <c r="L11" s="345">
        <v>45383</v>
      </c>
      <c r="M11" s="341">
        <v>-10682501</v>
      </c>
      <c r="N11" s="342">
        <f t="shared" si="2"/>
        <v>10682501</v>
      </c>
      <c r="O11" s="343">
        <f>N11*'Cash-flow PLAN'!$D$56/12</f>
        <v>93471.883749999994</v>
      </c>
      <c r="Q11" s="345">
        <v>45383</v>
      </c>
      <c r="R11" s="341">
        <v>0</v>
      </c>
      <c r="S11" s="342">
        <f t="shared" si="3"/>
        <v>0</v>
      </c>
      <c r="T11" s="343">
        <f>S11*'Cash-flow PLAN'!$D$57/12</f>
        <v>0</v>
      </c>
    </row>
    <row r="12" spans="2:20" ht="14.1">
      <c r="B12" s="345">
        <v>45413</v>
      </c>
      <c r="C12" s="341">
        <v>-1000000</v>
      </c>
      <c r="D12" s="342">
        <f t="shared" si="0"/>
        <v>17365002</v>
      </c>
      <c r="E12" s="343">
        <f>D12*'Cash-flow PLAN'!$D$54/12</f>
        <v>151943.76749999999</v>
      </c>
      <c r="G12" s="345">
        <v>45413</v>
      </c>
      <c r="H12" s="341">
        <v>-1000000</v>
      </c>
      <c r="I12" s="342">
        <f t="shared" si="1"/>
        <v>1000000</v>
      </c>
      <c r="J12" s="343">
        <f>I12*'Cash-flow PLAN'!$D$55/12</f>
        <v>8750</v>
      </c>
      <c r="L12" s="345">
        <v>45413</v>
      </c>
      <c r="M12" s="341">
        <v>0</v>
      </c>
      <c r="N12" s="342">
        <f t="shared" si="2"/>
        <v>10682501</v>
      </c>
      <c r="O12" s="343">
        <f>N12*'Cash-flow PLAN'!$D$56/12</f>
        <v>93471.883749999994</v>
      </c>
      <c r="Q12" s="345">
        <v>45413</v>
      </c>
      <c r="R12" s="341">
        <v>0</v>
      </c>
      <c r="S12" s="342">
        <f t="shared" si="3"/>
        <v>0</v>
      </c>
      <c r="T12" s="343">
        <f>S12*'Cash-flow PLAN'!$D$57/12</f>
        <v>0</v>
      </c>
    </row>
    <row r="13" spans="2:20" ht="14.1">
      <c r="B13" s="346">
        <v>45444</v>
      </c>
      <c r="C13" s="341">
        <v>0</v>
      </c>
      <c r="D13" s="342">
        <f t="shared" si="0"/>
        <v>17365002</v>
      </c>
      <c r="E13" s="343">
        <f>D13*'Cash-flow PLAN'!$D$54/12</f>
        <v>151943.76749999999</v>
      </c>
      <c r="G13" s="346">
        <v>45444</v>
      </c>
      <c r="H13" s="341">
        <v>0</v>
      </c>
      <c r="I13" s="342">
        <f t="shared" si="1"/>
        <v>1000000</v>
      </c>
      <c r="J13" s="343">
        <f>I13*'Cash-flow PLAN'!$D$55/12</f>
        <v>8750</v>
      </c>
      <c r="L13" s="346">
        <v>45444</v>
      </c>
      <c r="M13" s="341">
        <v>0</v>
      </c>
      <c r="N13" s="342">
        <f t="shared" si="2"/>
        <v>10682501</v>
      </c>
      <c r="O13" s="343">
        <f>N13*'Cash-flow PLAN'!$D$56/12</f>
        <v>93471.883749999994</v>
      </c>
      <c r="Q13" s="346">
        <v>45444</v>
      </c>
      <c r="R13" s="341">
        <v>0</v>
      </c>
      <c r="S13" s="342">
        <f t="shared" si="3"/>
        <v>0</v>
      </c>
      <c r="T13" s="343">
        <f>S13*'Cash-flow PLAN'!$D$57/12</f>
        <v>0</v>
      </c>
    </row>
    <row r="14" spans="2:20" ht="14.1">
      <c r="B14" s="345">
        <v>45474</v>
      </c>
      <c r="C14" s="341">
        <v>0</v>
      </c>
      <c r="D14" s="342">
        <f t="shared" si="0"/>
        <v>17365002</v>
      </c>
      <c r="E14" s="343">
        <f>D14*'Cash-flow PLAN'!$D$54/12</f>
        <v>151943.76749999999</v>
      </c>
      <c r="G14" s="345">
        <v>45474</v>
      </c>
      <c r="H14" s="341">
        <v>0</v>
      </c>
      <c r="I14" s="342">
        <f t="shared" si="1"/>
        <v>1000000</v>
      </c>
      <c r="J14" s="343">
        <f>I14*'Cash-flow PLAN'!$D$55/12</f>
        <v>8750</v>
      </c>
      <c r="L14" s="345">
        <v>45474</v>
      </c>
      <c r="M14" s="341">
        <v>0</v>
      </c>
      <c r="N14" s="342">
        <f t="shared" si="2"/>
        <v>10682501</v>
      </c>
      <c r="O14" s="343">
        <f>N14*'Cash-flow PLAN'!$D$56/12</f>
        <v>93471.883749999994</v>
      </c>
      <c r="Q14" s="345">
        <v>45474</v>
      </c>
      <c r="R14" s="341">
        <v>0</v>
      </c>
      <c r="S14" s="342">
        <f t="shared" si="3"/>
        <v>0</v>
      </c>
      <c r="T14" s="343">
        <f>S14*'Cash-flow PLAN'!$D$57/12</f>
        <v>0</v>
      </c>
    </row>
    <row r="15" spans="2:20" ht="14.1">
      <c r="B15" s="345">
        <v>45505</v>
      </c>
      <c r="C15" s="341">
        <v>0</v>
      </c>
      <c r="D15" s="342">
        <f t="shared" si="0"/>
        <v>17365002</v>
      </c>
      <c r="E15" s="343">
        <f>D15*'Cash-flow PLAN'!$D$54/12</f>
        <v>151943.76749999999</v>
      </c>
      <c r="G15" s="345">
        <v>45505</v>
      </c>
      <c r="H15" s="341">
        <v>0</v>
      </c>
      <c r="I15" s="342">
        <f t="shared" si="1"/>
        <v>1000000</v>
      </c>
      <c r="J15" s="343">
        <f>I15*'Cash-flow PLAN'!$D$55/12</f>
        <v>8750</v>
      </c>
      <c r="L15" s="345">
        <v>45505</v>
      </c>
      <c r="M15" s="341">
        <v>0</v>
      </c>
      <c r="N15" s="342">
        <f t="shared" si="2"/>
        <v>10682501</v>
      </c>
      <c r="O15" s="343">
        <f>N15*'Cash-flow PLAN'!$D$56/12</f>
        <v>93471.883749999994</v>
      </c>
      <c r="Q15" s="345">
        <v>45505</v>
      </c>
      <c r="R15" s="341">
        <v>0</v>
      </c>
      <c r="S15" s="342">
        <f t="shared" si="3"/>
        <v>0</v>
      </c>
      <c r="T15" s="343">
        <f>S15*'Cash-flow PLAN'!$D$57/12</f>
        <v>0</v>
      </c>
    </row>
    <row r="16" spans="2:20" ht="14.1">
      <c r="B16" s="345">
        <v>45536</v>
      </c>
      <c r="C16" s="341">
        <v>0</v>
      </c>
      <c r="D16" s="342">
        <f t="shared" si="0"/>
        <v>17365002</v>
      </c>
      <c r="E16" s="343">
        <f>D16*'Cash-flow PLAN'!$D$54/12</f>
        <v>151943.76749999999</v>
      </c>
      <c r="G16" s="345">
        <v>45536</v>
      </c>
      <c r="H16" s="341">
        <v>0</v>
      </c>
      <c r="I16" s="342">
        <f t="shared" si="1"/>
        <v>1000000</v>
      </c>
      <c r="J16" s="343">
        <f>I16*'Cash-flow PLAN'!$D$55/12</f>
        <v>8750</v>
      </c>
      <c r="L16" s="345">
        <v>45536</v>
      </c>
      <c r="M16" s="341">
        <v>0</v>
      </c>
      <c r="N16" s="342">
        <f t="shared" si="2"/>
        <v>10682501</v>
      </c>
      <c r="O16" s="343">
        <f>N16*'Cash-flow PLAN'!$D$56/12</f>
        <v>93471.883749999994</v>
      </c>
      <c r="Q16" s="345">
        <v>45536</v>
      </c>
      <c r="R16" s="341">
        <v>0</v>
      </c>
      <c r="S16" s="342">
        <f t="shared" si="3"/>
        <v>0</v>
      </c>
      <c r="T16" s="343">
        <f>S16*'Cash-flow PLAN'!$D$57/12</f>
        <v>0</v>
      </c>
    </row>
    <row r="17" spans="2:20" ht="14.1">
      <c r="B17" s="345">
        <v>45566</v>
      </c>
      <c r="C17" s="341">
        <v>0</v>
      </c>
      <c r="D17" s="342">
        <f t="shared" si="0"/>
        <v>17365002</v>
      </c>
      <c r="E17" s="343">
        <f>D17*'Cash-flow PLAN'!$D$54/12</f>
        <v>151943.76749999999</v>
      </c>
      <c r="G17" s="345">
        <v>45566</v>
      </c>
      <c r="H17" s="341">
        <v>0</v>
      </c>
      <c r="I17" s="342">
        <f t="shared" si="1"/>
        <v>1000000</v>
      </c>
      <c r="J17" s="343">
        <f>I17*'Cash-flow PLAN'!$D$55/12</f>
        <v>8750</v>
      </c>
      <c r="L17" s="345">
        <v>45566</v>
      </c>
      <c r="M17" s="341">
        <v>0</v>
      </c>
      <c r="N17" s="342">
        <f t="shared" si="2"/>
        <v>10682501</v>
      </c>
      <c r="O17" s="343">
        <f>N17*'Cash-flow PLAN'!$D$56/12</f>
        <v>93471.883749999994</v>
      </c>
      <c r="Q17" s="345">
        <v>45566</v>
      </c>
      <c r="R17" s="341">
        <v>0</v>
      </c>
      <c r="S17" s="342">
        <f t="shared" si="3"/>
        <v>0</v>
      </c>
      <c r="T17" s="343">
        <f>S17*'Cash-flow PLAN'!$D$57/12</f>
        <v>0</v>
      </c>
    </row>
    <row r="18" spans="2:20" ht="14.1">
      <c r="B18" s="345">
        <v>45597</v>
      </c>
      <c r="C18" s="341">
        <v>-3000000</v>
      </c>
      <c r="D18" s="342">
        <f t="shared" si="0"/>
        <v>20365002</v>
      </c>
      <c r="E18" s="343">
        <f>D18*'Cash-flow PLAN'!$D$54/12</f>
        <v>178193.76749999999</v>
      </c>
      <c r="G18" s="345">
        <v>45597</v>
      </c>
      <c r="H18" s="341">
        <v>0</v>
      </c>
      <c r="I18" s="342">
        <f t="shared" si="1"/>
        <v>1000000</v>
      </c>
      <c r="J18" s="343">
        <f>I18*'Cash-flow PLAN'!$D$55/12</f>
        <v>8750</v>
      </c>
      <c r="L18" s="345">
        <v>45597</v>
      </c>
      <c r="M18" s="341">
        <v>0</v>
      </c>
      <c r="N18" s="342">
        <f t="shared" si="2"/>
        <v>10682501</v>
      </c>
      <c r="O18" s="343">
        <f>N18*'Cash-flow PLAN'!$D$56/12</f>
        <v>93471.883749999994</v>
      </c>
      <c r="Q18" s="345">
        <v>45597</v>
      </c>
      <c r="R18" s="341">
        <v>0</v>
      </c>
      <c r="S18" s="342">
        <f t="shared" si="3"/>
        <v>0</v>
      </c>
      <c r="T18" s="343">
        <f>S18*'Cash-flow PLAN'!$D$57/12</f>
        <v>0</v>
      </c>
    </row>
    <row r="19" spans="2:20" ht="14.1">
      <c r="B19" s="345">
        <v>45627</v>
      </c>
      <c r="C19" s="341">
        <v>-2100000</v>
      </c>
      <c r="D19" s="342">
        <f t="shared" si="0"/>
        <v>22465002</v>
      </c>
      <c r="E19" s="343">
        <f>D19*'Cash-flow PLAN'!$D$54/12</f>
        <v>196568.76749999999</v>
      </c>
      <c r="G19" s="345">
        <v>45627</v>
      </c>
      <c r="H19" s="341">
        <v>-2100000</v>
      </c>
      <c r="I19" s="342">
        <f t="shared" si="1"/>
        <v>3100000</v>
      </c>
      <c r="J19" s="343">
        <f>I19*'Cash-flow PLAN'!$D$55/12</f>
        <v>27125</v>
      </c>
      <c r="L19" s="345">
        <v>45627</v>
      </c>
      <c r="M19" s="341">
        <v>0</v>
      </c>
      <c r="N19" s="342">
        <f t="shared" si="2"/>
        <v>10682501</v>
      </c>
      <c r="O19" s="343">
        <f>N19*'Cash-flow PLAN'!$D$56/12</f>
        <v>93471.883749999994</v>
      </c>
      <c r="Q19" s="345">
        <v>45627</v>
      </c>
      <c r="R19" s="341">
        <v>0</v>
      </c>
      <c r="S19" s="342">
        <f t="shared" si="3"/>
        <v>0</v>
      </c>
      <c r="T19" s="343">
        <f>S19*'Cash-flow PLAN'!$D$57/12</f>
        <v>0</v>
      </c>
    </row>
    <row r="20" spans="2:20" ht="14.1">
      <c r="B20" s="340">
        <v>45658</v>
      </c>
      <c r="C20" s="341">
        <v>0</v>
      </c>
      <c r="D20" s="342">
        <f t="shared" si="0"/>
        <v>22465002</v>
      </c>
      <c r="E20" s="343">
        <f>D20*'Cash-flow PLAN'!$D$54/12</f>
        <v>196568.76749999999</v>
      </c>
      <c r="G20" s="340">
        <v>45658</v>
      </c>
      <c r="H20" s="341">
        <v>0</v>
      </c>
      <c r="I20" s="342">
        <f t="shared" si="1"/>
        <v>3100000</v>
      </c>
      <c r="J20" s="343">
        <f>I20*'Cash-flow PLAN'!$D$55/12</f>
        <v>27125</v>
      </c>
      <c r="L20" s="340">
        <v>45658</v>
      </c>
      <c r="M20" s="341">
        <v>0</v>
      </c>
      <c r="N20" s="342">
        <f t="shared" si="2"/>
        <v>10682501</v>
      </c>
      <c r="O20" s="343">
        <f>N20*'Cash-flow PLAN'!$D$56/12</f>
        <v>93471.883749999994</v>
      </c>
      <c r="Q20" s="340">
        <v>45658</v>
      </c>
      <c r="R20" s="341">
        <v>0</v>
      </c>
      <c r="S20" s="342">
        <f t="shared" si="3"/>
        <v>0</v>
      </c>
      <c r="T20" s="343">
        <f>S20*'Cash-flow PLAN'!$D$57/12</f>
        <v>0</v>
      </c>
    </row>
    <row r="21" spans="2:20" ht="14.1">
      <c r="B21" s="345">
        <v>45689</v>
      </c>
      <c r="C21" s="341">
        <v>0</v>
      </c>
      <c r="D21" s="342">
        <f t="shared" si="0"/>
        <v>22465002</v>
      </c>
      <c r="E21" s="343">
        <f>D21*'Cash-flow PLAN'!$D$54/12</f>
        <v>196568.76749999999</v>
      </c>
      <c r="G21" s="345">
        <v>45689</v>
      </c>
      <c r="H21" s="341">
        <v>0</v>
      </c>
      <c r="I21" s="342">
        <f t="shared" si="1"/>
        <v>3100000</v>
      </c>
      <c r="J21" s="343">
        <f>I21*'Cash-flow PLAN'!$D$55/12</f>
        <v>27125</v>
      </c>
      <c r="L21" s="345">
        <v>45689</v>
      </c>
      <c r="M21" s="341">
        <v>0</v>
      </c>
      <c r="N21" s="342">
        <f t="shared" si="2"/>
        <v>10682501</v>
      </c>
      <c r="O21" s="343">
        <f>N21*'Cash-flow PLAN'!$D$56/12</f>
        <v>93471.883749999994</v>
      </c>
      <c r="Q21" s="345">
        <v>45689</v>
      </c>
      <c r="R21" s="341">
        <v>0</v>
      </c>
      <c r="S21" s="342">
        <f t="shared" si="3"/>
        <v>0</v>
      </c>
      <c r="T21" s="343">
        <f>S21*'Cash-flow PLAN'!$D$57/12</f>
        <v>0</v>
      </c>
    </row>
    <row r="22" spans="2:20" ht="14.1">
      <c r="B22" s="345">
        <v>45717</v>
      </c>
      <c r="C22" s="341">
        <v>0</v>
      </c>
      <c r="D22" s="342">
        <f t="shared" si="0"/>
        <v>22465002</v>
      </c>
      <c r="E22" s="343">
        <f>D22*'Cash-flow PLAN'!$D$54/12</f>
        <v>196568.76749999999</v>
      </c>
      <c r="G22" s="345">
        <v>45717</v>
      </c>
      <c r="H22" s="341">
        <v>0</v>
      </c>
      <c r="I22" s="342">
        <f t="shared" si="1"/>
        <v>3100000</v>
      </c>
      <c r="J22" s="343">
        <f>I22*'Cash-flow PLAN'!$D$55/12</f>
        <v>27125</v>
      </c>
      <c r="L22" s="345">
        <v>45717</v>
      </c>
      <c r="M22" s="341">
        <v>0</v>
      </c>
      <c r="N22" s="342">
        <f t="shared" si="2"/>
        <v>10682501</v>
      </c>
      <c r="O22" s="343">
        <f>N22*'Cash-flow PLAN'!$D$56/12</f>
        <v>93471.883749999994</v>
      </c>
      <c r="Q22" s="345">
        <v>45717</v>
      </c>
      <c r="R22" s="341">
        <v>0</v>
      </c>
      <c r="S22" s="342">
        <f t="shared" si="3"/>
        <v>0</v>
      </c>
      <c r="T22" s="343">
        <f>S22*'Cash-flow PLAN'!$D$57/12</f>
        <v>0</v>
      </c>
    </row>
    <row r="23" spans="2:20" ht="14.1">
      <c r="B23" s="345">
        <v>45748</v>
      </c>
      <c r="C23" s="341">
        <v>22465002</v>
      </c>
      <c r="D23" s="342">
        <f t="shared" si="0"/>
        <v>0</v>
      </c>
      <c r="E23" s="343">
        <f>D23*'Cash-flow PLAN'!$D$54/12</f>
        <v>0</v>
      </c>
      <c r="G23" s="345">
        <v>45748</v>
      </c>
      <c r="H23" s="341">
        <v>3100000</v>
      </c>
      <c r="I23" s="342">
        <f t="shared" si="1"/>
        <v>0</v>
      </c>
      <c r="J23" s="343">
        <f>I23*'Cash-flow PLAN'!$D$55/12</f>
        <v>0</v>
      </c>
      <c r="L23" s="345">
        <v>45748</v>
      </c>
      <c r="M23" s="341">
        <v>10682501</v>
      </c>
      <c r="N23" s="342">
        <f t="shared" si="2"/>
        <v>0</v>
      </c>
      <c r="O23" s="343">
        <f>N23*'Cash-flow PLAN'!$D$56/12</f>
        <v>0</v>
      </c>
      <c r="Q23" s="345">
        <v>45748</v>
      </c>
      <c r="R23" s="341">
        <v>0</v>
      </c>
      <c r="S23" s="342">
        <f t="shared" si="3"/>
        <v>0</v>
      </c>
      <c r="T23" s="343">
        <f>S23*'Cash-flow PLAN'!$D$57/12</f>
        <v>0</v>
      </c>
    </row>
    <row r="24" spans="2:20" ht="14.1">
      <c r="B24" s="345">
        <v>45778</v>
      </c>
      <c r="C24" s="341">
        <v>0</v>
      </c>
      <c r="D24" s="342">
        <f t="shared" si="0"/>
        <v>0</v>
      </c>
      <c r="E24" s="343">
        <f>D24*'Cash-flow PLAN'!$D$54/12</f>
        <v>0</v>
      </c>
      <c r="G24" s="345">
        <v>45778</v>
      </c>
      <c r="H24" s="341">
        <v>0</v>
      </c>
      <c r="I24" s="342">
        <f t="shared" si="1"/>
        <v>0</v>
      </c>
      <c r="J24" s="343">
        <f>I24*'Cash-flow PLAN'!$D$55/12</f>
        <v>0</v>
      </c>
      <c r="L24" s="345">
        <v>45778</v>
      </c>
      <c r="M24" s="341">
        <v>0</v>
      </c>
      <c r="N24" s="342">
        <f t="shared" si="2"/>
        <v>0</v>
      </c>
      <c r="O24" s="343">
        <f>N24*'Cash-flow PLAN'!$D$56/12</f>
        <v>0</v>
      </c>
      <c r="Q24" s="345">
        <v>45778</v>
      </c>
      <c r="R24" s="341">
        <v>0</v>
      </c>
      <c r="S24" s="342">
        <f t="shared" si="3"/>
        <v>0</v>
      </c>
      <c r="T24" s="343">
        <f>S24*'Cash-flow PLAN'!$D$57/12</f>
        <v>0</v>
      </c>
    </row>
    <row r="25" spans="2:20" ht="14.1">
      <c r="B25" s="346">
        <v>45809</v>
      </c>
      <c r="C25" s="341">
        <v>0</v>
      </c>
      <c r="D25" s="342">
        <f t="shared" si="0"/>
        <v>0</v>
      </c>
      <c r="E25" s="343">
        <f>D25*'Cash-flow PLAN'!$D$54/12</f>
        <v>0</v>
      </c>
      <c r="G25" s="346">
        <v>45809</v>
      </c>
      <c r="H25" s="341">
        <v>0</v>
      </c>
      <c r="I25" s="342">
        <f t="shared" si="1"/>
        <v>0</v>
      </c>
      <c r="J25" s="343">
        <f>I25*'Cash-flow PLAN'!$D$55/12</f>
        <v>0</v>
      </c>
      <c r="L25" s="346">
        <v>45809</v>
      </c>
      <c r="M25" s="341">
        <v>0</v>
      </c>
      <c r="N25" s="342">
        <f t="shared" si="2"/>
        <v>0</v>
      </c>
      <c r="O25" s="343">
        <f>N25*'Cash-flow PLAN'!$D$56/12</f>
        <v>0</v>
      </c>
      <c r="Q25" s="346">
        <v>45809</v>
      </c>
      <c r="R25" s="341">
        <v>0</v>
      </c>
      <c r="S25" s="342">
        <f t="shared" si="3"/>
        <v>0</v>
      </c>
      <c r="T25" s="343">
        <f>S25*'Cash-flow PLAN'!$D$57/12</f>
        <v>0</v>
      </c>
    </row>
    <row r="26" spans="2:20" ht="14.1">
      <c r="B26" s="345">
        <v>45839</v>
      </c>
      <c r="C26" s="341">
        <v>0</v>
      </c>
      <c r="D26" s="342">
        <f t="shared" si="0"/>
        <v>0</v>
      </c>
      <c r="E26" s="343">
        <f>D26*'Cash-flow PLAN'!$D$54/12</f>
        <v>0</v>
      </c>
      <c r="G26" s="345">
        <v>45839</v>
      </c>
      <c r="H26" s="341">
        <v>0</v>
      </c>
      <c r="I26" s="342">
        <f t="shared" si="1"/>
        <v>0</v>
      </c>
      <c r="J26" s="343">
        <f>I26*'Cash-flow PLAN'!$D$55/12</f>
        <v>0</v>
      </c>
      <c r="L26" s="345">
        <v>45839</v>
      </c>
      <c r="M26" s="341">
        <v>0</v>
      </c>
      <c r="N26" s="342">
        <f t="shared" si="2"/>
        <v>0</v>
      </c>
      <c r="O26" s="343">
        <f>N26*'Cash-flow PLAN'!$D$56/12</f>
        <v>0</v>
      </c>
      <c r="Q26" s="345">
        <v>45839</v>
      </c>
      <c r="R26" s="341">
        <v>0</v>
      </c>
      <c r="S26" s="342">
        <f t="shared" si="3"/>
        <v>0</v>
      </c>
      <c r="T26" s="343">
        <f>S26*'Cash-flow PLAN'!$D$57/12</f>
        <v>0</v>
      </c>
    </row>
    <row r="27" spans="2:20" ht="14.1">
      <c r="B27" s="345">
        <v>45870</v>
      </c>
      <c r="C27" s="341">
        <v>0</v>
      </c>
      <c r="D27" s="342">
        <f t="shared" si="0"/>
        <v>0</v>
      </c>
      <c r="E27" s="343">
        <f>D27*'Cash-flow PLAN'!$D$54/12</f>
        <v>0</v>
      </c>
      <c r="G27" s="345">
        <v>45870</v>
      </c>
      <c r="H27" s="341">
        <v>0</v>
      </c>
      <c r="I27" s="342">
        <f t="shared" si="1"/>
        <v>0</v>
      </c>
      <c r="J27" s="343">
        <f>I27*'Cash-flow PLAN'!$D$55/12</f>
        <v>0</v>
      </c>
      <c r="L27" s="345">
        <v>45870</v>
      </c>
      <c r="M27" s="341">
        <v>0</v>
      </c>
      <c r="N27" s="342">
        <f t="shared" si="2"/>
        <v>0</v>
      </c>
      <c r="O27" s="343">
        <f>N27*'Cash-flow PLAN'!$D$56/12</f>
        <v>0</v>
      </c>
      <c r="Q27" s="345">
        <v>45870</v>
      </c>
      <c r="R27" s="341">
        <v>0</v>
      </c>
      <c r="S27" s="342">
        <f t="shared" si="3"/>
        <v>0</v>
      </c>
      <c r="T27" s="343">
        <f>S27*'Cash-flow PLAN'!$D$57/12</f>
        <v>0</v>
      </c>
    </row>
    <row r="28" spans="2:20" ht="14.1">
      <c r="B28" s="345">
        <v>45901</v>
      </c>
      <c r="C28" s="341">
        <v>0</v>
      </c>
      <c r="D28" s="342">
        <f t="shared" si="0"/>
        <v>0</v>
      </c>
      <c r="E28" s="343">
        <f>D28*'Cash-flow PLAN'!$D$54/12</f>
        <v>0</v>
      </c>
      <c r="G28" s="345">
        <v>45901</v>
      </c>
      <c r="H28" s="341">
        <v>0</v>
      </c>
      <c r="I28" s="342">
        <f t="shared" si="1"/>
        <v>0</v>
      </c>
      <c r="J28" s="343">
        <f>I28*'Cash-flow PLAN'!$D$55/12</f>
        <v>0</v>
      </c>
      <c r="L28" s="345">
        <v>45901</v>
      </c>
      <c r="M28" s="341">
        <v>0</v>
      </c>
      <c r="N28" s="342">
        <f t="shared" si="2"/>
        <v>0</v>
      </c>
      <c r="O28" s="343">
        <f>N28*'Cash-flow PLAN'!$D$56/12</f>
        <v>0</v>
      </c>
      <c r="Q28" s="345">
        <v>45901</v>
      </c>
      <c r="R28" s="341">
        <v>0</v>
      </c>
      <c r="S28" s="342">
        <f t="shared" si="3"/>
        <v>0</v>
      </c>
      <c r="T28" s="343">
        <f>S28*'Cash-flow PLAN'!$D$57/12</f>
        <v>0</v>
      </c>
    </row>
    <row r="29" spans="2:20" ht="14.1">
      <c r="B29" s="345">
        <v>45931</v>
      </c>
      <c r="C29" s="341">
        <v>0</v>
      </c>
      <c r="D29" s="342">
        <f t="shared" si="0"/>
        <v>0</v>
      </c>
      <c r="E29" s="343">
        <f>D29*'Cash-flow PLAN'!$D$54/12</f>
        <v>0</v>
      </c>
      <c r="G29" s="345">
        <v>45931</v>
      </c>
      <c r="H29" s="341">
        <v>0</v>
      </c>
      <c r="I29" s="342">
        <f t="shared" si="1"/>
        <v>0</v>
      </c>
      <c r="J29" s="343">
        <f>I29*'Cash-flow PLAN'!$D$55/12</f>
        <v>0</v>
      </c>
      <c r="L29" s="345">
        <v>45931</v>
      </c>
      <c r="M29" s="341">
        <v>0</v>
      </c>
      <c r="N29" s="342">
        <f t="shared" si="2"/>
        <v>0</v>
      </c>
      <c r="O29" s="343">
        <f>N29*'Cash-flow PLAN'!$D$56/12</f>
        <v>0</v>
      </c>
      <c r="Q29" s="345">
        <v>45931</v>
      </c>
      <c r="R29" s="341">
        <v>0</v>
      </c>
      <c r="S29" s="342">
        <f t="shared" si="3"/>
        <v>0</v>
      </c>
      <c r="T29" s="343">
        <f>S29*'Cash-flow PLAN'!$D$57/12</f>
        <v>0</v>
      </c>
    </row>
    <row r="30" spans="2:20" ht="14.1">
      <c r="B30" s="345">
        <v>45962</v>
      </c>
      <c r="C30" s="341">
        <v>0</v>
      </c>
      <c r="D30" s="342">
        <f t="shared" si="0"/>
        <v>0</v>
      </c>
      <c r="E30" s="343">
        <f>D30*'Cash-flow PLAN'!$D$54/12</f>
        <v>0</v>
      </c>
      <c r="G30" s="345">
        <v>45962</v>
      </c>
      <c r="H30" s="341">
        <v>0</v>
      </c>
      <c r="I30" s="342">
        <f t="shared" si="1"/>
        <v>0</v>
      </c>
      <c r="J30" s="343">
        <f>I30*'Cash-flow PLAN'!$D$55/12</f>
        <v>0</v>
      </c>
      <c r="L30" s="345">
        <v>45962</v>
      </c>
      <c r="M30" s="341">
        <v>0</v>
      </c>
      <c r="N30" s="342">
        <f t="shared" si="2"/>
        <v>0</v>
      </c>
      <c r="O30" s="343">
        <f>N30*'Cash-flow PLAN'!$D$56/12</f>
        <v>0</v>
      </c>
      <c r="Q30" s="345">
        <v>45962</v>
      </c>
      <c r="R30" s="341">
        <v>0</v>
      </c>
      <c r="S30" s="342">
        <f t="shared" si="3"/>
        <v>0</v>
      </c>
      <c r="T30" s="343">
        <f>S30*'Cash-flow PLAN'!$D$57/12</f>
        <v>0</v>
      </c>
    </row>
    <row r="31" spans="2:20" ht="14.1">
      <c r="B31" s="345">
        <v>45992</v>
      </c>
      <c r="C31" s="341">
        <v>0</v>
      </c>
      <c r="D31" s="342">
        <f t="shared" si="0"/>
        <v>0</v>
      </c>
      <c r="E31" s="343">
        <f>D31*'Cash-flow PLAN'!$D$54/12</f>
        <v>0</v>
      </c>
      <c r="G31" s="345">
        <v>45992</v>
      </c>
      <c r="H31" s="341">
        <v>0</v>
      </c>
      <c r="I31" s="342">
        <f t="shared" si="1"/>
        <v>0</v>
      </c>
      <c r="J31" s="343">
        <f>I31*'Cash-flow PLAN'!$D$55/12</f>
        <v>0</v>
      </c>
      <c r="L31" s="345">
        <v>45992</v>
      </c>
      <c r="M31" s="341">
        <v>0</v>
      </c>
      <c r="N31" s="342">
        <f t="shared" si="2"/>
        <v>0</v>
      </c>
      <c r="O31" s="343">
        <f>N31*'Cash-flow PLAN'!$D$56/12</f>
        <v>0</v>
      </c>
      <c r="Q31" s="345">
        <v>45992</v>
      </c>
      <c r="R31" s="341">
        <v>0</v>
      </c>
      <c r="S31" s="342">
        <f t="shared" si="3"/>
        <v>0</v>
      </c>
      <c r="T31" s="343">
        <f>S31*'Cash-flow PLAN'!$D$57/12</f>
        <v>0</v>
      </c>
    </row>
    <row r="32" spans="2:20" ht="14.1">
      <c r="B32" s="340">
        <v>46023</v>
      </c>
      <c r="C32" s="341">
        <v>0</v>
      </c>
      <c r="D32" s="342">
        <f t="shared" si="0"/>
        <v>0</v>
      </c>
      <c r="E32" s="343">
        <f>D32*'Cash-flow PLAN'!$D$54/12</f>
        <v>0</v>
      </c>
      <c r="G32" s="340">
        <v>46023</v>
      </c>
      <c r="H32" s="341">
        <v>0</v>
      </c>
      <c r="I32" s="342">
        <f t="shared" si="1"/>
        <v>0</v>
      </c>
      <c r="J32" s="343">
        <f>I32*'Cash-flow PLAN'!$D$55/12</f>
        <v>0</v>
      </c>
      <c r="L32" s="340">
        <v>46023</v>
      </c>
      <c r="M32" s="341">
        <v>0</v>
      </c>
      <c r="N32" s="342">
        <f t="shared" si="2"/>
        <v>0</v>
      </c>
      <c r="O32" s="343">
        <f>N32*'Cash-flow PLAN'!$D$56/12</f>
        <v>0</v>
      </c>
      <c r="Q32" s="340">
        <v>46023</v>
      </c>
      <c r="R32" s="341">
        <v>0</v>
      </c>
      <c r="S32" s="342">
        <f t="shared" si="3"/>
        <v>0</v>
      </c>
      <c r="T32" s="343">
        <f>S32*'Cash-flow PLAN'!$D$57/12</f>
        <v>0</v>
      </c>
    </row>
    <row r="33" spans="2:20" ht="14.1">
      <c r="B33" s="345">
        <v>46054</v>
      </c>
      <c r="C33" s="341">
        <v>0</v>
      </c>
      <c r="D33" s="342">
        <f t="shared" si="0"/>
        <v>0</v>
      </c>
      <c r="E33" s="343">
        <f>D33*'Cash-flow PLAN'!$D$54/12</f>
        <v>0</v>
      </c>
      <c r="G33" s="345">
        <v>46054</v>
      </c>
      <c r="H33" s="341">
        <v>0</v>
      </c>
      <c r="I33" s="342">
        <f t="shared" si="1"/>
        <v>0</v>
      </c>
      <c r="J33" s="343">
        <f>I33*'Cash-flow PLAN'!$D$55/12</f>
        <v>0</v>
      </c>
      <c r="L33" s="345">
        <v>46054</v>
      </c>
      <c r="M33" s="341">
        <v>0</v>
      </c>
      <c r="N33" s="342">
        <f t="shared" si="2"/>
        <v>0</v>
      </c>
      <c r="O33" s="343">
        <f>N33*'Cash-flow PLAN'!$D$56/12</f>
        <v>0</v>
      </c>
      <c r="Q33" s="345">
        <v>46054</v>
      </c>
      <c r="R33" s="341">
        <v>0</v>
      </c>
      <c r="S33" s="342">
        <f t="shared" si="3"/>
        <v>0</v>
      </c>
      <c r="T33" s="343">
        <f>S33*'Cash-flow PLAN'!$D$57/12</f>
        <v>0</v>
      </c>
    </row>
    <row r="34" spans="2:20" ht="14.1">
      <c r="B34" s="345">
        <v>46082</v>
      </c>
      <c r="C34" s="341">
        <v>0</v>
      </c>
      <c r="D34" s="342">
        <f t="shared" si="0"/>
        <v>0</v>
      </c>
      <c r="E34" s="343">
        <f>D34*'Cash-flow PLAN'!$D$54/12</f>
        <v>0</v>
      </c>
      <c r="G34" s="345">
        <v>46082</v>
      </c>
      <c r="H34" s="341">
        <v>0</v>
      </c>
      <c r="I34" s="342">
        <f t="shared" si="1"/>
        <v>0</v>
      </c>
      <c r="J34" s="343">
        <f>I34*'Cash-flow PLAN'!$D$55/12</f>
        <v>0</v>
      </c>
      <c r="L34" s="345">
        <v>46082</v>
      </c>
      <c r="M34" s="341">
        <v>0</v>
      </c>
      <c r="N34" s="342">
        <f t="shared" si="2"/>
        <v>0</v>
      </c>
      <c r="O34" s="343">
        <f>N34*'Cash-flow PLAN'!$D$56/12</f>
        <v>0</v>
      </c>
      <c r="Q34" s="345">
        <v>46082</v>
      </c>
      <c r="R34" s="341">
        <v>0</v>
      </c>
      <c r="S34" s="342">
        <f t="shared" si="3"/>
        <v>0</v>
      </c>
      <c r="T34" s="343">
        <f>S34*'Cash-flow PLAN'!$D$57/12</f>
        <v>0</v>
      </c>
    </row>
    <row r="35" spans="2:20" ht="14.1">
      <c r="B35" s="345">
        <v>46113</v>
      </c>
      <c r="C35" s="341">
        <v>0</v>
      </c>
      <c r="D35" s="342">
        <f t="shared" si="0"/>
        <v>0</v>
      </c>
      <c r="E35" s="343">
        <f>D35*'Cash-flow PLAN'!$D$54/12</f>
        <v>0</v>
      </c>
      <c r="G35" s="345">
        <v>46113</v>
      </c>
      <c r="H35" s="341">
        <v>0</v>
      </c>
      <c r="I35" s="342">
        <f t="shared" si="1"/>
        <v>0</v>
      </c>
      <c r="J35" s="343">
        <f>I35*'Cash-flow PLAN'!$D$55/12</f>
        <v>0</v>
      </c>
      <c r="L35" s="345">
        <v>46113</v>
      </c>
      <c r="M35" s="341">
        <v>0</v>
      </c>
      <c r="N35" s="342">
        <f t="shared" si="2"/>
        <v>0</v>
      </c>
      <c r="O35" s="343">
        <f>N35*'Cash-flow PLAN'!$D$56/12</f>
        <v>0</v>
      </c>
      <c r="Q35" s="345">
        <v>46113</v>
      </c>
      <c r="R35" s="341">
        <v>0</v>
      </c>
      <c r="S35" s="342">
        <f t="shared" si="3"/>
        <v>0</v>
      </c>
      <c r="T35" s="343">
        <f>S35*'Cash-flow PLAN'!$D$57/12</f>
        <v>0</v>
      </c>
    </row>
    <row r="36" spans="2:20" ht="14.1">
      <c r="B36" s="345">
        <v>46143</v>
      </c>
      <c r="C36" s="341">
        <v>0</v>
      </c>
      <c r="D36" s="342">
        <f t="shared" si="0"/>
        <v>0</v>
      </c>
      <c r="E36" s="343">
        <f>D36*'Cash-flow PLAN'!$D$54/12</f>
        <v>0</v>
      </c>
      <c r="G36" s="345">
        <v>46143</v>
      </c>
      <c r="H36" s="341">
        <v>0</v>
      </c>
      <c r="I36" s="342">
        <f t="shared" si="1"/>
        <v>0</v>
      </c>
      <c r="J36" s="343">
        <f>I36*'Cash-flow PLAN'!$D$55/12</f>
        <v>0</v>
      </c>
      <c r="L36" s="345">
        <v>46143</v>
      </c>
      <c r="M36" s="341">
        <v>0</v>
      </c>
      <c r="N36" s="342">
        <f t="shared" si="2"/>
        <v>0</v>
      </c>
      <c r="O36" s="343">
        <f>N36*'Cash-flow PLAN'!$D$56/12</f>
        <v>0</v>
      </c>
      <c r="Q36" s="345">
        <v>46143</v>
      </c>
      <c r="R36" s="341">
        <v>0</v>
      </c>
      <c r="S36" s="342">
        <f t="shared" si="3"/>
        <v>0</v>
      </c>
      <c r="T36" s="343">
        <f>S36*'Cash-flow PLAN'!$D$57/12</f>
        <v>0</v>
      </c>
    </row>
    <row r="37" spans="2:20" ht="14.1">
      <c r="B37" s="346">
        <v>46174</v>
      </c>
      <c r="C37" s="341">
        <v>0</v>
      </c>
      <c r="D37" s="342">
        <f t="shared" si="0"/>
        <v>0</v>
      </c>
      <c r="E37" s="343">
        <f>D37*'Cash-flow PLAN'!$D$54/12</f>
        <v>0</v>
      </c>
      <c r="G37" s="346">
        <v>46174</v>
      </c>
      <c r="H37" s="341">
        <v>0</v>
      </c>
      <c r="I37" s="342">
        <f t="shared" si="1"/>
        <v>0</v>
      </c>
      <c r="J37" s="343">
        <f>I37*'Cash-flow PLAN'!$D$55/12</f>
        <v>0</v>
      </c>
      <c r="L37" s="346">
        <v>46174</v>
      </c>
      <c r="M37" s="341">
        <v>0</v>
      </c>
      <c r="N37" s="342">
        <f t="shared" si="2"/>
        <v>0</v>
      </c>
      <c r="O37" s="343">
        <f>N37*'Cash-flow PLAN'!$D$56/12</f>
        <v>0</v>
      </c>
      <c r="Q37" s="346">
        <v>46174</v>
      </c>
      <c r="R37" s="341">
        <v>0</v>
      </c>
      <c r="S37" s="342">
        <f t="shared" si="3"/>
        <v>0</v>
      </c>
      <c r="T37" s="343">
        <f>S37*'Cash-flow PLAN'!$D$57/12</f>
        <v>0</v>
      </c>
    </row>
    <row r="38" spans="2:20" ht="14.1">
      <c r="B38" s="345">
        <v>46204</v>
      </c>
      <c r="C38" s="341">
        <v>0</v>
      </c>
      <c r="D38" s="342">
        <f t="shared" si="0"/>
        <v>0</v>
      </c>
      <c r="E38" s="343">
        <f>D38*'Cash-flow PLAN'!$D$54/12</f>
        <v>0</v>
      </c>
      <c r="G38" s="345">
        <v>46204</v>
      </c>
      <c r="H38" s="341">
        <v>0</v>
      </c>
      <c r="I38" s="342">
        <f t="shared" si="1"/>
        <v>0</v>
      </c>
      <c r="J38" s="343">
        <f>I38*'Cash-flow PLAN'!$D$55/12</f>
        <v>0</v>
      </c>
      <c r="L38" s="345">
        <v>46204</v>
      </c>
      <c r="M38" s="341">
        <v>0</v>
      </c>
      <c r="N38" s="342">
        <f t="shared" si="2"/>
        <v>0</v>
      </c>
      <c r="O38" s="343">
        <f>N38*'Cash-flow PLAN'!$D$56/12</f>
        <v>0</v>
      </c>
      <c r="Q38" s="345">
        <v>46204</v>
      </c>
      <c r="R38" s="341">
        <v>0</v>
      </c>
      <c r="S38" s="342">
        <f t="shared" si="3"/>
        <v>0</v>
      </c>
      <c r="T38" s="343">
        <f>S38*'Cash-flow PLAN'!$D$57/12</f>
        <v>0</v>
      </c>
    </row>
    <row r="39" spans="2:20" ht="14.1">
      <c r="B39" s="345">
        <v>46235</v>
      </c>
      <c r="C39" s="341">
        <v>0</v>
      </c>
      <c r="D39" s="342">
        <f t="shared" si="0"/>
        <v>0</v>
      </c>
      <c r="E39" s="343">
        <f>D39*'Cash-flow PLAN'!$D$54/12</f>
        <v>0</v>
      </c>
      <c r="G39" s="345">
        <v>46235</v>
      </c>
      <c r="H39" s="341">
        <v>0</v>
      </c>
      <c r="I39" s="342">
        <f t="shared" si="1"/>
        <v>0</v>
      </c>
      <c r="J39" s="343">
        <f>I39*'Cash-flow PLAN'!$D$55/12</f>
        <v>0</v>
      </c>
      <c r="L39" s="345">
        <v>46235</v>
      </c>
      <c r="M39" s="341">
        <v>0</v>
      </c>
      <c r="N39" s="342">
        <f t="shared" si="2"/>
        <v>0</v>
      </c>
      <c r="O39" s="343">
        <f>N39*'Cash-flow PLAN'!$D$56/12</f>
        <v>0</v>
      </c>
      <c r="Q39" s="345">
        <v>46235</v>
      </c>
      <c r="R39" s="341">
        <v>0</v>
      </c>
      <c r="S39" s="342">
        <f t="shared" si="3"/>
        <v>0</v>
      </c>
      <c r="T39" s="343">
        <f>S39*'Cash-flow PLAN'!$D$57/12</f>
        <v>0</v>
      </c>
    </row>
    <row r="40" spans="2:20" ht="14.1">
      <c r="B40" s="345">
        <v>46266</v>
      </c>
      <c r="C40" s="341">
        <v>0</v>
      </c>
      <c r="D40" s="342">
        <f t="shared" si="0"/>
        <v>0</v>
      </c>
      <c r="E40" s="343">
        <f>D40*'Cash-flow PLAN'!$D$54/12</f>
        <v>0</v>
      </c>
      <c r="G40" s="345">
        <v>46266</v>
      </c>
      <c r="H40" s="341">
        <v>0</v>
      </c>
      <c r="I40" s="342">
        <f t="shared" si="1"/>
        <v>0</v>
      </c>
      <c r="J40" s="343">
        <f>I40*'Cash-flow PLAN'!$D$55/12</f>
        <v>0</v>
      </c>
      <c r="L40" s="345">
        <v>46266</v>
      </c>
      <c r="M40" s="341">
        <v>0</v>
      </c>
      <c r="N40" s="342">
        <f t="shared" si="2"/>
        <v>0</v>
      </c>
      <c r="O40" s="343">
        <f>N40*'Cash-flow PLAN'!$D$56/12</f>
        <v>0</v>
      </c>
      <c r="Q40" s="345">
        <v>46266</v>
      </c>
      <c r="R40" s="341">
        <v>0</v>
      </c>
      <c r="S40" s="342">
        <f t="shared" si="3"/>
        <v>0</v>
      </c>
      <c r="T40" s="343">
        <f>S40*'Cash-flow PLAN'!$D$57/12</f>
        <v>0</v>
      </c>
    </row>
    <row r="41" spans="2:20" ht="14.1">
      <c r="B41" s="345">
        <v>46296</v>
      </c>
      <c r="C41" s="341">
        <v>0</v>
      </c>
      <c r="D41" s="342">
        <f t="shared" si="0"/>
        <v>0</v>
      </c>
      <c r="E41" s="343">
        <f>D41*'Cash-flow PLAN'!$D$54/12</f>
        <v>0</v>
      </c>
      <c r="G41" s="345">
        <v>46296</v>
      </c>
      <c r="H41" s="341">
        <v>0</v>
      </c>
      <c r="I41" s="342">
        <f t="shared" si="1"/>
        <v>0</v>
      </c>
      <c r="J41" s="343">
        <f>I41*'Cash-flow PLAN'!$D$55/12</f>
        <v>0</v>
      </c>
      <c r="L41" s="345">
        <v>46296</v>
      </c>
      <c r="M41" s="341">
        <v>0</v>
      </c>
      <c r="N41" s="342">
        <f t="shared" si="2"/>
        <v>0</v>
      </c>
      <c r="O41" s="343">
        <f>N41*'Cash-flow PLAN'!$D$56/12</f>
        <v>0</v>
      </c>
      <c r="Q41" s="345">
        <v>46296</v>
      </c>
      <c r="R41" s="341">
        <v>0</v>
      </c>
      <c r="S41" s="342">
        <f t="shared" si="3"/>
        <v>0</v>
      </c>
      <c r="T41" s="343">
        <f>S41*'Cash-flow PLAN'!$D$57/12</f>
        <v>0</v>
      </c>
    </row>
    <row r="42" spans="2:20" ht="14.1">
      <c r="B42" s="345">
        <v>46327</v>
      </c>
      <c r="C42" s="341">
        <v>0</v>
      </c>
      <c r="D42" s="342">
        <f t="shared" si="0"/>
        <v>0</v>
      </c>
      <c r="E42" s="343">
        <f>D42*'Cash-flow PLAN'!$D$54/12</f>
        <v>0</v>
      </c>
      <c r="G42" s="345">
        <v>46327</v>
      </c>
      <c r="H42" s="341">
        <v>0</v>
      </c>
      <c r="I42" s="342">
        <f t="shared" si="1"/>
        <v>0</v>
      </c>
      <c r="J42" s="343">
        <f>I42*'Cash-flow PLAN'!$D$55/12</f>
        <v>0</v>
      </c>
      <c r="L42" s="345">
        <v>46327</v>
      </c>
      <c r="M42" s="341">
        <v>0</v>
      </c>
      <c r="N42" s="342">
        <f t="shared" si="2"/>
        <v>0</v>
      </c>
      <c r="O42" s="343">
        <f>N42*'Cash-flow PLAN'!$D$56/12</f>
        <v>0</v>
      </c>
      <c r="Q42" s="345">
        <v>46327</v>
      </c>
      <c r="R42" s="341">
        <v>0</v>
      </c>
      <c r="S42" s="342">
        <f t="shared" si="3"/>
        <v>0</v>
      </c>
      <c r="T42" s="343">
        <f>S42*'Cash-flow PLAN'!$D$57/12</f>
        <v>0</v>
      </c>
    </row>
    <row r="43" spans="2:20" ht="14.1">
      <c r="B43" s="345">
        <v>46357</v>
      </c>
      <c r="C43" s="341">
        <v>0</v>
      </c>
      <c r="D43" s="342">
        <f t="shared" si="0"/>
        <v>0</v>
      </c>
      <c r="E43" s="343">
        <f>D43*'Cash-flow PLAN'!$D$54/12</f>
        <v>0</v>
      </c>
      <c r="G43" s="345">
        <v>46357</v>
      </c>
      <c r="H43" s="341">
        <v>0</v>
      </c>
      <c r="I43" s="342">
        <f t="shared" si="1"/>
        <v>0</v>
      </c>
      <c r="J43" s="343">
        <f>I43*'Cash-flow PLAN'!$D$55/12</f>
        <v>0</v>
      </c>
      <c r="L43" s="345">
        <v>46357</v>
      </c>
      <c r="M43" s="341">
        <v>0</v>
      </c>
      <c r="N43" s="342">
        <f t="shared" si="2"/>
        <v>0</v>
      </c>
      <c r="O43" s="343">
        <f>N43*'Cash-flow PLAN'!$D$56/12</f>
        <v>0</v>
      </c>
      <c r="Q43" s="345">
        <v>46357</v>
      </c>
      <c r="R43" s="341">
        <v>0</v>
      </c>
      <c r="S43" s="342">
        <f t="shared" si="3"/>
        <v>0</v>
      </c>
      <c r="T43" s="343">
        <f>S43*'Cash-flow PLAN'!$D$57/12</f>
        <v>0</v>
      </c>
    </row>
    <row r="44" spans="2:20" ht="14.1">
      <c r="B44" s="340">
        <v>46388</v>
      </c>
      <c r="C44" s="341">
        <v>0</v>
      </c>
      <c r="D44" s="342">
        <f t="shared" si="0"/>
        <v>0</v>
      </c>
      <c r="E44" s="343">
        <f>D44*'Cash-flow PLAN'!$D$54/12</f>
        <v>0</v>
      </c>
      <c r="G44" s="340">
        <v>46388</v>
      </c>
      <c r="H44" s="341">
        <v>0</v>
      </c>
      <c r="I44" s="342">
        <f t="shared" si="1"/>
        <v>0</v>
      </c>
      <c r="J44" s="343">
        <f>I44*'Cash-flow PLAN'!$D$55/12</f>
        <v>0</v>
      </c>
      <c r="L44" s="340">
        <v>46388</v>
      </c>
      <c r="M44" s="341">
        <v>0</v>
      </c>
      <c r="N44" s="342">
        <f t="shared" si="2"/>
        <v>0</v>
      </c>
      <c r="O44" s="343">
        <f>N44*'Cash-flow PLAN'!$D$56/12</f>
        <v>0</v>
      </c>
      <c r="Q44" s="340">
        <v>46388</v>
      </c>
      <c r="R44" s="341">
        <v>0</v>
      </c>
      <c r="S44" s="342">
        <f t="shared" si="3"/>
        <v>0</v>
      </c>
      <c r="T44" s="343">
        <f>S44*'Cash-flow PLAN'!$D$57/12</f>
        <v>0</v>
      </c>
    </row>
    <row r="45" spans="2:20" ht="14.1">
      <c r="B45" s="345">
        <v>46419</v>
      </c>
      <c r="C45" s="341">
        <v>0</v>
      </c>
      <c r="D45" s="342">
        <f t="shared" si="0"/>
        <v>0</v>
      </c>
      <c r="E45" s="343">
        <f>D45*'Cash-flow PLAN'!$D$54/12</f>
        <v>0</v>
      </c>
      <c r="G45" s="345">
        <v>46419</v>
      </c>
      <c r="H45" s="341">
        <v>0</v>
      </c>
      <c r="I45" s="342">
        <f t="shared" si="1"/>
        <v>0</v>
      </c>
      <c r="J45" s="343">
        <f>I45*'Cash-flow PLAN'!$D$55/12</f>
        <v>0</v>
      </c>
      <c r="L45" s="345">
        <v>46419</v>
      </c>
      <c r="M45" s="341">
        <v>0</v>
      </c>
      <c r="N45" s="342">
        <f t="shared" si="2"/>
        <v>0</v>
      </c>
      <c r="O45" s="343">
        <f>N45*'Cash-flow PLAN'!$D$56/12</f>
        <v>0</v>
      </c>
      <c r="Q45" s="345">
        <v>46419</v>
      </c>
      <c r="R45" s="341">
        <v>0</v>
      </c>
      <c r="S45" s="342">
        <f t="shared" si="3"/>
        <v>0</v>
      </c>
      <c r="T45" s="343">
        <f>S45*'Cash-flow PLAN'!$D$57/12</f>
        <v>0</v>
      </c>
    </row>
    <row r="46" spans="2:20" ht="14.1">
      <c r="B46" s="345">
        <v>46447</v>
      </c>
      <c r="C46" s="341">
        <v>0</v>
      </c>
      <c r="D46" s="342">
        <f t="shared" si="0"/>
        <v>0</v>
      </c>
      <c r="E46" s="343">
        <f>D46*'Cash-flow PLAN'!$D$54/12</f>
        <v>0</v>
      </c>
      <c r="G46" s="345">
        <v>46447</v>
      </c>
      <c r="H46" s="341">
        <v>0</v>
      </c>
      <c r="I46" s="342">
        <f t="shared" si="1"/>
        <v>0</v>
      </c>
      <c r="J46" s="343">
        <f>I46*'Cash-flow PLAN'!$D$55/12</f>
        <v>0</v>
      </c>
      <c r="L46" s="345">
        <v>46447</v>
      </c>
      <c r="M46" s="341">
        <v>0</v>
      </c>
      <c r="N46" s="342">
        <f t="shared" si="2"/>
        <v>0</v>
      </c>
      <c r="O46" s="343">
        <f>N46*'Cash-flow PLAN'!$D$56/12</f>
        <v>0</v>
      </c>
      <c r="Q46" s="345">
        <v>46447</v>
      </c>
      <c r="R46" s="341">
        <v>0</v>
      </c>
      <c r="S46" s="342">
        <f t="shared" si="3"/>
        <v>0</v>
      </c>
      <c r="T46" s="343">
        <f>S46*'Cash-flow PLAN'!$D$57/12</f>
        <v>0</v>
      </c>
    </row>
    <row r="47" spans="2:20" ht="14.1">
      <c r="B47" s="345">
        <v>46478</v>
      </c>
      <c r="C47" s="341">
        <v>0</v>
      </c>
      <c r="D47" s="342">
        <f t="shared" si="0"/>
        <v>0</v>
      </c>
      <c r="E47" s="343">
        <f>D47*'Cash-flow PLAN'!$D$54/12</f>
        <v>0</v>
      </c>
      <c r="G47" s="345">
        <v>46478</v>
      </c>
      <c r="H47" s="341">
        <v>0</v>
      </c>
      <c r="I47" s="342">
        <f t="shared" si="1"/>
        <v>0</v>
      </c>
      <c r="J47" s="343">
        <f>I47*'Cash-flow PLAN'!$D$55/12</f>
        <v>0</v>
      </c>
      <c r="L47" s="345">
        <v>46478</v>
      </c>
      <c r="M47" s="341">
        <v>0</v>
      </c>
      <c r="N47" s="342">
        <f t="shared" si="2"/>
        <v>0</v>
      </c>
      <c r="O47" s="343">
        <f>N47*'Cash-flow PLAN'!$D$56/12</f>
        <v>0</v>
      </c>
      <c r="Q47" s="345">
        <v>46478</v>
      </c>
      <c r="R47" s="341">
        <v>0</v>
      </c>
      <c r="S47" s="342">
        <f t="shared" si="3"/>
        <v>0</v>
      </c>
      <c r="T47" s="343">
        <f>S47*'Cash-flow PLAN'!$D$57/12</f>
        <v>0</v>
      </c>
    </row>
    <row r="48" spans="2:20" ht="14.1">
      <c r="B48" s="345">
        <v>46508</v>
      </c>
      <c r="C48" s="341">
        <v>0</v>
      </c>
      <c r="D48" s="342">
        <f t="shared" si="0"/>
        <v>0</v>
      </c>
      <c r="E48" s="343">
        <f>D48*'Cash-flow PLAN'!$D$54/12</f>
        <v>0</v>
      </c>
      <c r="G48" s="345">
        <v>46508</v>
      </c>
      <c r="H48" s="341">
        <v>0</v>
      </c>
      <c r="I48" s="342">
        <f t="shared" si="1"/>
        <v>0</v>
      </c>
      <c r="J48" s="343">
        <f>I48*'Cash-flow PLAN'!$D$55/12</f>
        <v>0</v>
      </c>
      <c r="L48" s="345">
        <v>46508</v>
      </c>
      <c r="M48" s="341">
        <v>0</v>
      </c>
      <c r="N48" s="342">
        <f t="shared" si="2"/>
        <v>0</v>
      </c>
      <c r="O48" s="343">
        <f>N48*'Cash-flow PLAN'!$D$56/12</f>
        <v>0</v>
      </c>
      <c r="Q48" s="345">
        <v>46508</v>
      </c>
      <c r="R48" s="341">
        <v>0</v>
      </c>
      <c r="S48" s="342">
        <f t="shared" si="3"/>
        <v>0</v>
      </c>
      <c r="T48" s="343">
        <f>S48*'Cash-flow PLAN'!$D$57/12</f>
        <v>0</v>
      </c>
    </row>
    <row r="49" spans="2:20" ht="14.1">
      <c r="B49" s="346">
        <v>46539</v>
      </c>
      <c r="C49" s="341">
        <v>0</v>
      </c>
      <c r="D49" s="342">
        <f t="shared" si="0"/>
        <v>0</v>
      </c>
      <c r="E49" s="343">
        <f>D49*'Cash-flow PLAN'!$D$54/12</f>
        <v>0</v>
      </c>
      <c r="G49" s="346">
        <v>46539</v>
      </c>
      <c r="H49" s="341">
        <v>0</v>
      </c>
      <c r="I49" s="342">
        <f t="shared" si="1"/>
        <v>0</v>
      </c>
      <c r="J49" s="343">
        <f>I49*'Cash-flow PLAN'!$D$55/12</f>
        <v>0</v>
      </c>
      <c r="L49" s="346">
        <v>46539</v>
      </c>
      <c r="M49" s="341">
        <v>0</v>
      </c>
      <c r="N49" s="342">
        <f t="shared" si="2"/>
        <v>0</v>
      </c>
      <c r="O49" s="343">
        <f>N49*'Cash-flow PLAN'!$D$56/12</f>
        <v>0</v>
      </c>
      <c r="Q49" s="346">
        <v>46539</v>
      </c>
      <c r="R49" s="341">
        <v>0</v>
      </c>
      <c r="S49" s="342">
        <f t="shared" si="3"/>
        <v>0</v>
      </c>
      <c r="T49" s="343">
        <f>S49*'Cash-flow PLAN'!$D$57/12</f>
        <v>0</v>
      </c>
    </row>
    <row r="50" spans="2:20" ht="14.1">
      <c r="B50" s="345">
        <v>46569</v>
      </c>
      <c r="C50" s="341">
        <v>0</v>
      </c>
      <c r="D50" s="342">
        <f t="shared" si="0"/>
        <v>0</v>
      </c>
      <c r="E50" s="343">
        <f>D50*'Cash-flow PLAN'!$D$54/12</f>
        <v>0</v>
      </c>
      <c r="G50" s="345">
        <v>46569</v>
      </c>
      <c r="H50" s="341">
        <v>0</v>
      </c>
      <c r="I50" s="342">
        <f t="shared" si="1"/>
        <v>0</v>
      </c>
      <c r="J50" s="343">
        <f>I50*'Cash-flow PLAN'!$D$55/12</f>
        <v>0</v>
      </c>
      <c r="L50" s="345">
        <v>46569</v>
      </c>
      <c r="M50" s="341">
        <v>0</v>
      </c>
      <c r="N50" s="342">
        <f t="shared" si="2"/>
        <v>0</v>
      </c>
      <c r="O50" s="343">
        <f>N50*'Cash-flow PLAN'!$D$56/12</f>
        <v>0</v>
      </c>
      <c r="Q50" s="345">
        <v>46569</v>
      </c>
      <c r="R50" s="341">
        <v>0</v>
      </c>
      <c r="S50" s="342">
        <f t="shared" si="3"/>
        <v>0</v>
      </c>
      <c r="T50" s="343">
        <f>S50*'Cash-flow PLAN'!$D$57/12</f>
        <v>0</v>
      </c>
    </row>
    <row r="51" spans="2:20" ht="14.1">
      <c r="B51" s="345">
        <v>46600</v>
      </c>
      <c r="C51" s="341">
        <v>0</v>
      </c>
      <c r="D51" s="342">
        <f t="shared" si="0"/>
        <v>0</v>
      </c>
      <c r="E51" s="343">
        <f>D51*'Cash-flow PLAN'!$D$54/12</f>
        <v>0</v>
      </c>
      <c r="G51" s="345">
        <v>46600</v>
      </c>
      <c r="H51" s="341">
        <v>0</v>
      </c>
      <c r="I51" s="342">
        <f t="shared" si="1"/>
        <v>0</v>
      </c>
      <c r="J51" s="343">
        <f>I51*'Cash-flow PLAN'!$D$55/12</f>
        <v>0</v>
      </c>
      <c r="L51" s="345">
        <v>46600</v>
      </c>
      <c r="M51" s="341">
        <v>0</v>
      </c>
      <c r="N51" s="342">
        <f t="shared" si="2"/>
        <v>0</v>
      </c>
      <c r="O51" s="343">
        <f>N51*'Cash-flow PLAN'!$D$56/12</f>
        <v>0</v>
      </c>
      <c r="Q51" s="345">
        <v>46600</v>
      </c>
      <c r="R51" s="341">
        <v>0</v>
      </c>
      <c r="S51" s="342">
        <f t="shared" si="3"/>
        <v>0</v>
      </c>
      <c r="T51" s="343">
        <f>S51*'Cash-flow PLAN'!$D$57/12</f>
        <v>0</v>
      </c>
    </row>
    <row r="52" spans="2:20" ht="14.1">
      <c r="B52" s="345">
        <v>46631</v>
      </c>
      <c r="C52" s="341">
        <v>0</v>
      </c>
      <c r="D52" s="342">
        <f t="shared" si="0"/>
        <v>0</v>
      </c>
      <c r="E52" s="343">
        <f>D52*'Cash-flow PLAN'!$D$54/12</f>
        <v>0</v>
      </c>
      <c r="G52" s="345">
        <v>46631</v>
      </c>
      <c r="H52" s="341">
        <v>0</v>
      </c>
      <c r="I52" s="342">
        <f t="shared" si="1"/>
        <v>0</v>
      </c>
      <c r="J52" s="343">
        <f>I52*'Cash-flow PLAN'!$D$55/12</f>
        <v>0</v>
      </c>
      <c r="L52" s="345">
        <v>46631</v>
      </c>
      <c r="M52" s="341">
        <v>0</v>
      </c>
      <c r="N52" s="342">
        <f t="shared" si="2"/>
        <v>0</v>
      </c>
      <c r="O52" s="343">
        <f>N52*'Cash-flow PLAN'!$D$56/12</f>
        <v>0</v>
      </c>
      <c r="Q52" s="345">
        <v>46631</v>
      </c>
      <c r="R52" s="341">
        <v>0</v>
      </c>
      <c r="S52" s="342">
        <f t="shared" si="3"/>
        <v>0</v>
      </c>
      <c r="T52" s="343">
        <f>S52*'Cash-flow PLAN'!$D$57/12</f>
        <v>0</v>
      </c>
    </row>
    <row r="53" spans="2:20" ht="14.1">
      <c r="B53" s="345">
        <v>46661</v>
      </c>
      <c r="C53" s="341">
        <v>0</v>
      </c>
      <c r="D53" s="342">
        <f t="shared" si="0"/>
        <v>0</v>
      </c>
      <c r="E53" s="343">
        <f>D53*'Cash-flow PLAN'!$D$54/12</f>
        <v>0</v>
      </c>
      <c r="G53" s="345">
        <v>46661</v>
      </c>
      <c r="H53" s="341">
        <v>0</v>
      </c>
      <c r="I53" s="342">
        <f t="shared" si="1"/>
        <v>0</v>
      </c>
      <c r="J53" s="343">
        <f>I53*'Cash-flow PLAN'!$D$55/12</f>
        <v>0</v>
      </c>
      <c r="L53" s="345">
        <v>46661</v>
      </c>
      <c r="M53" s="341">
        <v>0</v>
      </c>
      <c r="N53" s="342">
        <f t="shared" si="2"/>
        <v>0</v>
      </c>
      <c r="O53" s="343">
        <f>N53*'Cash-flow PLAN'!$D$56/12</f>
        <v>0</v>
      </c>
      <c r="Q53" s="345">
        <v>46661</v>
      </c>
      <c r="R53" s="341">
        <v>0</v>
      </c>
      <c r="S53" s="342">
        <f t="shared" si="3"/>
        <v>0</v>
      </c>
      <c r="T53" s="343">
        <f>S53*'Cash-flow PLAN'!$D$57/12</f>
        <v>0</v>
      </c>
    </row>
    <row r="54" spans="2:20" ht="14.1">
      <c r="B54" s="345">
        <v>46692</v>
      </c>
      <c r="C54" s="341">
        <v>0</v>
      </c>
      <c r="D54" s="342">
        <f t="shared" si="0"/>
        <v>0</v>
      </c>
      <c r="E54" s="343">
        <f>D54*'Cash-flow PLAN'!$D$54/12</f>
        <v>0</v>
      </c>
      <c r="G54" s="345">
        <v>46692</v>
      </c>
      <c r="H54" s="341">
        <v>0</v>
      </c>
      <c r="I54" s="342">
        <f t="shared" si="1"/>
        <v>0</v>
      </c>
      <c r="J54" s="343">
        <f>I54*'Cash-flow PLAN'!$D$55/12</f>
        <v>0</v>
      </c>
      <c r="L54" s="345">
        <v>46692</v>
      </c>
      <c r="M54" s="341">
        <v>0</v>
      </c>
      <c r="N54" s="342">
        <f t="shared" si="2"/>
        <v>0</v>
      </c>
      <c r="O54" s="343">
        <f>N54*'Cash-flow PLAN'!$D$56/12</f>
        <v>0</v>
      </c>
      <c r="Q54" s="345">
        <v>46692</v>
      </c>
      <c r="R54" s="341">
        <v>0</v>
      </c>
      <c r="S54" s="342">
        <f t="shared" si="3"/>
        <v>0</v>
      </c>
      <c r="T54" s="343">
        <f>S54*'Cash-flow PLAN'!$D$57/12</f>
        <v>0</v>
      </c>
    </row>
    <row r="55" spans="2:20" ht="14.1">
      <c r="B55" s="345">
        <v>46722</v>
      </c>
      <c r="C55" s="341">
        <v>0</v>
      </c>
      <c r="D55" s="342">
        <f t="shared" si="0"/>
        <v>0</v>
      </c>
      <c r="E55" s="343">
        <f>D55*'Cash-flow PLAN'!$D$54/12</f>
        <v>0</v>
      </c>
      <c r="G55" s="345">
        <v>46722</v>
      </c>
      <c r="H55" s="341">
        <v>0</v>
      </c>
      <c r="I55" s="342">
        <f t="shared" si="1"/>
        <v>0</v>
      </c>
      <c r="J55" s="343">
        <f>I55*'Cash-flow PLAN'!$D$55/12</f>
        <v>0</v>
      </c>
      <c r="L55" s="345">
        <v>46722</v>
      </c>
      <c r="M55" s="341">
        <v>0</v>
      </c>
      <c r="N55" s="342">
        <f t="shared" si="2"/>
        <v>0</v>
      </c>
      <c r="O55" s="343">
        <f>N55*'Cash-flow PLAN'!$D$56/12</f>
        <v>0</v>
      </c>
      <c r="Q55" s="345">
        <v>46722</v>
      </c>
      <c r="R55" s="341">
        <v>0</v>
      </c>
      <c r="S55" s="342">
        <f t="shared" si="3"/>
        <v>0</v>
      </c>
      <c r="T55" s="343">
        <f>S55*'Cash-flow PLAN'!$D$57/12</f>
        <v>0</v>
      </c>
    </row>
    <row r="56" spans="2:20" ht="14.1">
      <c r="B56" s="340">
        <v>46753</v>
      </c>
      <c r="C56" s="341">
        <v>0</v>
      </c>
      <c r="D56" s="342">
        <f t="shared" si="0"/>
        <v>0</v>
      </c>
      <c r="E56" s="343">
        <f>D56*'Cash-flow PLAN'!$D$54/12</f>
        <v>0</v>
      </c>
      <c r="G56" s="340">
        <v>46753</v>
      </c>
      <c r="H56" s="341">
        <v>0</v>
      </c>
      <c r="I56" s="342">
        <f t="shared" si="1"/>
        <v>0</v>
      </c>
      <c r="J56" s="343">
        <f>I56*'Cash-flow PLAN'!$D$55/12</f>
        <v>0</v>
      </c>
      <c r="L56" s="340">
        <v>46753</v>
      </c>
      <c r="M56" s="341">
        <v>0</v>
      </c>
      <c r="N56" s="342">
        <f t="shared" si="2"/>
        <v>0</v>
      </c>
      <c r="O56" s="343">
        <f>N56*'Cash-flow PLAN'!$D$56/12</f>
        <v>0</v>
      </c>
      <c r="Q56" s="340">
        <v>46753</v>
      </c>
      <c r="R56" s="341">
        <v>0</v>
      </c>
      <c r="S56" s="342">
        <f t="shared" si="3"/>
        <v>0</v>
      </c>
      <c r="T56" s="343">
        <f>S56*'Cash-flow PLAN'!$D$57/12</f>
        <v>0</v>
      </c>
    </row>
    <row r="57" spans="2:20" ht="14.1">
      <c r="B57" s="345">
        <v>46784</v>
      </c>
      <c r="C57" s="341">
        <v>0</v>
      </c>
      <c r="D57" s="342">
        <f t="shared" si="0"/>
        <v>0</v>
      </c>
      <c r="E57" s="343">
        <f>D57*'Cash-flow PLAN'!$D$54/12</f>
        <v>0</v>
      </c>
      <c r="G57" s="345">
        <v>46784</v>
      </c>
      <c r="H57" s="341">
        <v>0</v>
      </c>
      <c r="I57" s="342">
        <f t="shared" si="1"/>
        <v>0</v>
      </c>
      <c r="J57" s="343">
        <f>I57*'Cash-flow PLAN'!$D$55/12</f>
        <v>0</v>
      </c>
      <c r="L57" s="345">
        <v>46784</v>
      </c>
      <c r="M57" s="341">
        <v>0</v>
      </c>
      <c r="N57" s="342">
        <f t="shared" si="2"/>
        <v>0</v>
      </c>
      <c r="O57" s="343">
        <f>N57*'Cash-flow PLAN'!$D$56/12</f>
        <v>0</v>
      </c>
      <c r="Q57" s="345">
        <v>46784</v>
      </c>
      <c r="R57" s="341">
        <v>0</v>
      </c>
      <c r="S57" s="342">
        <f t="shared" si="3"/>
        <v>0</v>
      </c>
      <c r="T57" s="343">
        <f>S57*'Cash-flow PLAN'!$D$57/12</f>
        <v>0</v>
      </c>
    </row>
    <row r="58" spans="2:20" ht="14.1">
      <c r="B58" s="345">
        <v>46813</v>
      </c>
      <c r="C58" s="341">
        <v>0</v>
      </c>
      <c r="D58" s="342">
        <f t="shared" si="0"/>
        <v>0</v>
      </c>
      <c r="E58" s="343">
        <f>D58*'Cash-flow PLAN'!$D$54/12</f>
        <v>0</v>
      </c>
      <c r="G58" s="345">
        <v>46813</v>
      </c>
      <c r="H58" s="341">
        <v>0</v>
      </c>
      <c r="I58" s="342">
        <f t="shared" si="1"/>
        <v>0</v>
      </c>
      <c r="J58" s="343">
        <f>I58*'Cash-flow PLAN'!$D$55/12</f>
        <v>0</v>
      </c>
      <c r="L58" s="345">
        <v>46813</v>
      </c>
      <c r="M58" s="341">
        <v>0</v>
      </c>
      <c r="N58" s="342">
        <f t="shared" si="2"/>
        <v>0</v>
      </c>
      <c r="O58" s="343">
        <f>N58*'Cash-flow PLAN'!$D$56/12</f>
        <v>0</v>
      </c>
      <c r="Q58" s="345">
        <v>46813</v>
      </c>
      <c r="R58" s="341">
        <v>0</v>
      </c>
      <c r="S58" s="342">
        <f t="shared" si="3"/>
        <v>0</v>
      </c>
      <c r="T58" s="343">
        <f>S58*'Cash-flow PLAN'!$D$57/12</f>
        <v>0</v>
      </c>
    </row>
    <row r="59" spans="2:20" ht="14.1">
      <c r="B59" s="345">
        <v>46844</v>
      </c>
      <c r="C59" s="341">
        <v>0</v>
      </c>
      <c r="D59" s="342">
        <f t="shared" si="0"/>
        <v>0</v>
      </c>
      <c r="E59" s="343">
        <f>D59*'Cash-flow PLAN'!$D$54/12</f>
        <v>0</v>
      </c>
      <c r="G59" s="345">
        <v>46844</v>
      </c>
      <c r="H59" s="341">
        <v>0</v>
      </c>
      <c r="I59" s="342">
        <f t="shared" si="1"/>
        <v>0</v>
      </c>
      <c r="J59" s="343">
        <f>I59*'Cash-flow PLAN'!$D$55/12</f>
        <v>0</v>
      </c>
      <c r="L59" s="345">
        <v>46844</v>
      </c>
      <c r="M59" s="341">
        <v>0</v>
      </c>
      <c r="N59" s="342">
        <f t="shared" si="2"/>
        <v>0</v>
      </c>
      <c r="O59" s="343">
        <f>N59*'Cash-flow PLAN'!$D$56/12</f>
        <v>0</v>
      </c>
      <c r="Q59" s="345">
        <v>46844</v>
      </c>
      <c r="R59" s="341">
        <v>0</v>
      </c>
      <c r="S59" s="342">
        <f t="shared" si="3"/>
        <v>0</v>
      </c>
      <c r="T59" s="343">
        <f>S59*'Cash-flow PLAN'!$D$57/12</f>
        <v>0</v>
      </c>
    </row>
    <row r="60" spans="2:20" ht="14.1">
      <c r="B60" s="345">
        <v>46874</v>
      </c>
      <c r="C60" s="341">
        <v>0</v>
      </c>
      <c r="D60" s="342">
        <f t="shared" si="0"/>
        <v>0</v>
      </c>
      <c r="E60" s="343">
        <f>D60*'Cash-flow PLAN'!$D$54/12</f>
        <v>0</v>
      </c>
      <c r="G60" s="345">
        <v>46874</v>
      </c>
      <c r="H60" s="341">
        <v>0</v>
      </c>
      <c r="I60" s="342">
        <f t="shared" si="1"/>
        <v>0</v>
      </c>
      <c r="J60" s="343">
        <f>I60*'Cash-flow PLAN'!$D$55/12</f>
        <v>0</v>
      </c>
      <c r="L60" s="345">
        <v>46874</v>
      </c>
      <c r="M60" s="341">
        <v>0</v>
      </c>
      <c r="N60" s="342">
        <f t="shared" si="2"/>
        <v>0</v>
      </c>
      <c r="O60" s="343">
        <f>N60*'Cash-flow PLAN'!$D$56/12</f>
        <v>0</v>
      </c>
      <c r="Q60" s="345">
        <v>46874</v>
      </c>
      <c r="R60" s="341">
        <v>0</v>
      </c>
      <c r="S60" s="342">
        <f t="shared" si="3"/>
        <v>0</v>
      </c>
      <c r="T60" s="343">
        <f>S60*'Cash-flow PLAN'!$D$57/12</f>
        <v>0</v>
      </c>
    </row>
    <row r="61" spans="2:20" ht="14.1">
      <c r="B61" s="346">
        <v>46905</v>
      </c>
      <c r="C61" s="341">
        <v>0</v>
      </c>
      <c r="D61" s="342">
        <f t="shared" si="0"/>
        <v>0</v>
      </c>
      <c r="E61" s="343">
        <f>D61*'Cash-flow PLAN'!$D$54/12</f>
        <v>0</v>
      </c>
      <c r="G61" s="346">
        <v>46905</v>
      </c>
      <c r="H61" s="341">
        <v>0</v>
      </c>
      <c r="I61" s="342">
        <f t="shared" si="1"/>
        <v>0</v>
      </c>
      <c r="J61" s="343">
        <f>I61*'Cash-flow PLAN'!$D$55/12</f>
        <v>0</v>
      </c>
      <c r="L61" s="346">
        <v>46905</v>
      </c>
      <c r="M61" s="341">
        <v>0</v>
      </c>
      <c r="N61" s="342">
        <f t="shared" si="2"/>
        <v>0</v>
      </c>
      <c r="O61" s="343">
        <f>N61*'Cash-flow PLAN'!$D$56/12</f>
        <v>0</v>
      </c>
      <c r="Q61" s="346">
        <v>46905</v>
      </c>
      <c r="R61" s="341">
        <v>0</v>
      </c>
      <c r="S61" s="342">
        <f t="shared" si="3"/>
        <v>0</v>
      </c>
      <c r="T61" s="343">
        <f>S61*'Cash-flow PLAN'!$D$57/12</f>
        <v>0</v>
      </c>
    </row>
    <row r="62" spans="2:20" ht="14.1">
      <c r="B62" s="345">
        <v>46935</v>
      </c>
      <c r="C62" s="341">
        <v>0</v>
      </c>
      <c r="D62" s="342">
        <f t="shared" si="0"/>
        <v>0</v>
      </c>
      <c r="E62" s="343">
        <f>D62*'Cash-flow PLAN'!$D$54/12</f>
        <v>0</v>
      </c>
      <c r="G62" s="345">
        <v>46935</v>
      </c>
      <c r="H62" s="341">
        <v>0</v>
      </c>
      <c r="I62" s="342">
        <f t="shared" si="1"/>
        <v>0</v>
      </c>
      <c r="J62" s="343">
        <f>I62*'Cash-flow PLAN'!$D$55/12</f>
        <v>0</v>
      </c>
      <c r="L62" s="345">
        <v>46935</v>
      </c>
      <c r="M62" s="341">
        <v>0</v>
      </c>
      <c r="N62" s="342">
        <f t="shared" si="2"/>
        <v>0</v>
      </c>
      <c r="O62" s="343">
        <f>N62*'Cash-flow PLAN'!$D$56/12</f>
        <v>0</v>
      </c>
      <c r="Q62" s="345">
        <v>46935</v>
      </c>
      <c r="R62" s="341">
        <v>0</v>
      </c>
      <c r="S62" s="342">
        <f t="shared" si="3"/>
        <v>0</v>
      </c>
      <c r="T62" s="343">
        <f>S62*'Cash-flow PLAN'!$D$57/12</f>
        <v>0</v>
      </c>
    </row>
    <row r="63" spans="2:20" ht="14.1">
      <c r="B63" s="345">
        <v>46966</v>
      </c>
      <c r="C63" s="341">
        <v>0</v>
      </c>
      <c r="D63" s="342">
        <f t="shared" si="0"/>
        <v>0</v>
      </c>
      <c r="E63" s="343">
        <f>D63*'Cash-flow PLAN'!$D$54/12</f>
        <v>0</v>
      </c>
      <c r="G63" s="345">
        <v>46966</v>
      </c>
      <c r="H63" s="341">
        <v>0</v>
      </c>
      <c r="I63" s="342">
        <f t="shared" si="1"/>
        <v>0</v>
      </c>
      <c r="J63" s="343">
        <f>I63*'Cash-flow PLAN'!$D$55/12</f>
        <v>0</v>
      </c>
      <c r="L63" s="345">
        <v>46966</v>
      </c>
      <c r="M63" s="341">
        <v>0</v>
      </c>
      <c r="N63" s="342">
        <f t="shared" si="2"/>
        <v>0</v>
      </c>
      <c r="O63" s="343">
        <f>N63*'Cash-flow PLAN'!$D$56/12</f>
        <v>0</v>
      </c>
      <c r="Q63" s="345">
        <v>46966</v>
      </c>
      <c r="R63" s="341">
        <v>0</v>
      </c>
      <c r="S63" s="342">
        <f t="shared" si="3"/>
        <v>0</v>
      </c>
      <c r="T63" s="343">
        <f>S63*'Cash-flow PLAN'!$D$57/12</f>
        <v>0</v>
      </c>
    </row>
    <row r="64" spans="2:20" ht="14.1">
      <c r="B64" s="345">
        <v>46997</v>
      </c>
      <c r="C64" s="341">
        <v>0</v>
      </c>
      <c r="D64" s="342">
        <f t="shared" si="0"/>
        <v>0</v>
      </c>
      <c r="E64" s="343">
        <f>D64*'Cash-flow PLAN'!$D$54/12</f>
        <v>0</v>
      </c>
      <c r="G64" s="345">
        <v>46997</v>
      </c>
      <c r="H64" s="341">
        <v>0</v>
      </c>
      <c r="I64" s="342">
        <f t="shared" si="1"/>
        <v>0</v>
      </c>
      <c r="J64" s="343">
        <f>I64*'Cash-flow PLAN'!$D$55/12</f>
        <v>0</v>
      </c>
      <c r="L64" s="345">
        <v>46997</v>
      </c>
      <c r="M64" s="341">
        <v>0</v>
      </c>
      <c r="N64" s="342">
        <f t="shared" si="2"/>
        <v>0</v>
      </c>
      <c r="O64" s="343">
        <f>N64*'Cash-flow PLAN'!$D$56/12</f>
        <v>0</v>
      </c>
      <c r="Q64" s="345">
        <v>46997</v>
      </c>
      <c r="R64" s="341">
        <v>0</v>
      </c>
      <c r="S64" s="342">
        <f t="shared" si="3"/>
        <v>0</v>
      </c>
      <c r="T64" s="343">
        <f>S64*'Cash-flow PLAN'!$D$57/12</f>
        <v>0</v>
      </c>
    </row>
    <row r="65" spans="2:20" ht="14.1">
      <c r="B65" s="345">
        <v>47027</v>
      </c>
      <c r="C65" s="341">
        <v>0</v>
      </c>
      <c r="D65" s="342">
        <f t="shared" si="0"/>
        <v>0</v>
      </c>
      <c r="E65" s="343">
        <f>D65*'Cash-flow PLAN'!$D$54/12</f>
        <v>0</v>
      </c>
      <c r="G65" s="345">
        <v>47027</v>
      </c>
      <c r="H65" s="341">
        <v>0</v>
      </c>
      <c r="I65" s="342">
        <f t="shared" si="1"/>
        <v>0</v>
      </c>
      <c r="J65" s="343">
        <f>I65*'Cash-flow PLAN'!$D$55/12</f>
        <v>0</v>
      </c>
      <c r="L65" s="345">
        <v>47027</v>
      </c>
      <c r="M65" s="341">
        <v>0</v>
      </c>
      <c r="N65" s="342">
        <f t="shared" si="2"/>
        <v>0</v>
      </c>
      <c r="O65" s="343">
        <f>N65*'Cash-flow PLAN'!$D$56/12</f>
        <v>0</v>
      </c>
      <c r="Q65" s="345">
        <v>47027</v>
      </c>
      <c r="R65" s="341">
        <v>0</v>
      </c>
      <c r="S65" s="342">
        <f t="shared" si="3"/>
        <v>0</v>
      </c>
      <c r="T65" s="343">
        <f>S65*'Cash-flow PLAN'!$D$57/12</f>
        <v>0</v>
      </c>
    </row>
    <row r="66" spans="2:20" ht="14.1">
      <c r="B66" s="345">
        <v>47058</v>
      </c>
      <c r="C66" s="341">
        <v>0</v>
      </c>
      <c r="D66" s="342">
        <f t="shared" si="0"/>
        <v>0</v>
      </c>
      <c r="E66" s="343">
        <f>D66*'Cash-flow PLAN'!$D$54/12</f>
        <v>0</v>
      </c>
      <c r="G66" s="345">
        <v>47058</v>
      </c>
      <c r="H66" s="341">
        <v>0</v>
      </c>
      <c r="I66" s="342">
        <f t="shared" si="1"/>
        <v>0</v>
      </c>
      <c r="J66" s="343">
        <f>I66*'Cash-flow PLAN'!$D$55/12</f>
        <v>0</v>
      </c>
      <c r="L66" s="345">
        <v>47058</v>
      </c>
      <c r="M66" s="341">
        <v>0</v>
      </c>
      <c r="N66" s="342">
        <f t="shared" si="2"/>
        <v>0</v>
      </c>
      <c r="O66" s="343">
        <f>N66*'Cash-flow PLAN'!$D$56/12</f>
        <v>0</v>
      </c>
      <c r="Q66" s="345">
        <v>47058</v>
      </c>
      <c r="R66" s="341">
        <v>0</v>
      </c>
      <c r="S66" s="342">
        <f t="shared" si="3"/>
        <v>0</v>
      </c>
      <c r="T66" s="343">
        <f>S66*'Cash-flow PLAN'!$D$57/12</f>
        <v>0</v>
      </c>
    </row>
    <row r="67" spans="2:20" ht="14.1">
      <c r="B67" s="345">
        <v>47088</v>
      </c>
      <c r="C67" s="341">
        <v>0</v>
      </c>
      <c r="D67" s="342">
        <f t="shared" si="0"/>
        <v>0</v>
      </c>
      <c r="E67" s="343">
        <f>D67*'Cash-flow PLAN'!$D$54/12</f>
        <v>0</v>
      </c>
      <c r="G67" s="345">
        <v>47088</v>
      </c>
      <c r="H67" s="341">
        <v>0</v>
      </c>
      <c r="I67" s="342">
        <f t="shared" si="1"/>
        <v>0</v>
      </c>
      <c r="J67" s="343">
        <f>I67*'Cash-flow PLAN'!$D$55/12</f>
        <v>0</v>
      </c>
      <c r="L67" s="345">
        <v>47088</v>
      </c>
      <c r="M67" s="341">
        <v>0</v>
      </c>
      <c r="N67" s="342">
        <f t="shared" si="2"/>
        <v>0</v>
      </c>
      <c r="O67" s="343">
        <f>N67*'Cash-flow PLAN'!$D$56/12</f>
        <v>0</v>
      </c>
      <c r="Q67" s="345">
        <v>47088</v>
      </c>
      <c r="R67" s="341">
        <v>0</v>
      </c>
      <c r="S67" s="342">
        <f t="shared" si="3"/>
        <v>0</v>
      </c>
      <c r="T67" s="343">
        <f>S67*'Cash-flow PLAN'!$D$57/12</f>
        <v>0</v>
      </c>
    </row>
    <row r="68" spans="2:20" ht="14.1">
      <c r="B68" s="340">
        <v>47119</v>
      </c>
      <c r="C68" s="341">
        <v>0</v>
      </c>
      <c r="D68" s="342">
        <f t="shared" si="0"/>
        <v>0</v>
      </c>
      <c r="E68" s="343">
        <f>D68*'Cash-flow PLAN'!$D$54/12</f>
        <v>0</v>
      </c>
      <c r="G68" s="340">
        <v>47119</v>
      </c>
      <c r="H68" s="341">
        <v>0</v>
      </c>
      <c r="I68" s="342">
        <f t="shared" si="1"/>
        <v>0</v>
      </c>
      <c r="J68" s="343">
        <f>I68*'Cash-flow PLAN'!$D$55/12</f>
        <v>0</v>
      </c>
      <c r="L68" s="340">
        <v>47119</v>
      </c>
      <c r="M68" s="341">
        <v>0</v>
      </c>
      <c r="N68" s="342">
        <f t="shared" si="2"/>
        <v>0</v>
      </c>
      <c r="O68" s="343">
        <f>N68*'Cash-flow PLAN'!$D$56/12</f>
        <v>0</v>
      </c>
      <c r="Q68" s="340">
        <v>47119</v>
      </c>
      <c r="R68" s="341">
        <v>0</v>
      </c>
      <c r="S68" s="342">
        <f t="shared" si="3"/>
        <v>0</v>
      </c>
      <c r="T68" s="343">
        <f>S68*'Cash-flow PLAN'!$D$57/12</f>
        <v>0</v>
      </c>
    </row>
    <row r="69" spans="2:20" ht="14.1">
      <c r="B69" s="345">
        <v>47150</v>
      </c>
      <c r="C69" s="341">
        <v>0</v>
      </c>
      <c r="D69" s="342">
        <f t="shared" si="0"/>
        <v>0</v>
      </c>
      <c r="E69" s="343">
        <f>D69*'Cash-flow PLAN'!$D$54/12</f>
        <v>0</v>
      </c>
      <c r="G69" s="345">
        <v>47150</v>
      </c>
      <c r="H69" s="341">
        <v>0</v>
      </c>
      <c r="I69" s="342">
        <f t="shared" si="1"/>
        <v>0</v>
      </c>
      <c r="J69" s="343">
        <f>I69*'Cash-flow PLAN'!$D$55/12</f>
        <v>0</v>
      </c>
      <c r="L69" s="345">
        <v>47150</v>
      </c>
      <c r="M69" s="341">
        <v>0</v>
      </c>
      <c r="N69" s="342">
        <f t="shared" si="2"/>
        <v>0</v>
      </c>
      <c r="O69" s="343">
        <f>N69*'Cash-flow PLAN'!$D$56/12</f>
        <v>0</v>
      </c>
      <c r="Q69" s="345">
        <v>47150</v>
      </c>
      <c r="R69" s="341">
        <v>0</v>
      </c>
      <c r="S69" s="342">
        <f t="shared" si="3"/>
        <v>0</v>
      </c>
      <c r="T69" s="343">
        <f>S69*'Cash-flow PLAN'!$D$57/12</f>
        <v>0</v>
      </c>
    </row>
    <row r="70" spans="2:20" ht="14.1">
      <c r="B70" s="345">
        <v>47178</v>
      </c>
      <c r="C70" s="341">
        <v>0</v>
      </c>
      <c r="D70" s="342">
        <f t="shared" si="0"/>
        <v>0</v>
      </c>
      <c r="E70" s="343">
        <f>D70*'Cash-flow PLAN'!$D$54/12</f>
        <v>0</v>
      </c>
      <c r="G70" s="345">
        <v>47178</v>
      </c>
      <c r="H70" s="341">
        <v>0</v>
      </c>
      <c r="I70" s="342">
        <f t="shared" si="1"/>
        <v>0</v>
      </c>
      <c r="J70" s="343">
        <f>I70*'Cash-flow PLAN'!$D$55/12</f>
        <v>0</v>
      </c>
      <c r="L70" s="345">
        <v>47178</v>
      </c>
      <c r="M70" s="341">
        <v>0</v>
      </c>
      <c r="N70" s="342">
        <f t="shared" si="2"/>
        <v>0</v>
      </c>
      <c r="O70" s="343">
        <f>N70*'Cash-flow PLAN'!$D$56/12</f>
        <v>0</v>
      </c>
      <c r="Q70" s="345">
        <v>47178</v>
      </c>
      <c r="R70" s="341">
        <v>0</v>
      </c>
      <c r="S70" s="342">
        <f t="shared" si="3"/>
        <v>0</v>
      </c>
      <c r="T70" s="343">
        <f>S70*'Cash-flow PLAN'!$D$57/12</f>
        <v>0</v>
      </c>
    </row>
    <row r="71" spans="2:20" ht="14.1">
      <c r="B71" s="345">
        <v>47209</v>
      </c>
      <c r="C71" s="341">
        <v>0</v>
      </c>
      <c r="D71" s="342">
        <f t="shared" si="0"/>
        <v>0</v>
      </c>
      <c r="E71" s="343">
        <f>D71*'Cash-flow PLAN'!$D$54/12</f>
        <v>0</v>
      </c>
      <c r="G71" s="345">
        <v>47209</v>
      </c>
      <c r="H71" s="341">
        <v>0</v>
      </c>
      <c r="I71" s="342">
        <f t="shared" si="1"/>
        <v>0</v>
      </c>
      <c r="J71" s="343">
        <f>I71*'Cash-flow PLAN'!$D$55/12</f>
        <v>0</v>
      </c>
      <c r="L71" s="345">
        <v>47209</v>
      </c>
      <c r="M71" s="341">
        <v>0</v>
      </c>
      <c r="N71" s="342">
        <f t="shared" si="2"/>
        <v>0</v>
      </c>
      <c r="O71" s="343">
        <f>N71*'Cash-flow PLAN'!$D$56/12</f>
        <v>0</v>
      </c>
      <c r="Q71" s="345">
        <v>47209</v>
      </c>
      <c r="R71" s="341">
        <v>0</v>
      </c>
      <c r="S71" s="342">
        <f t="shared" si="3"/>
        <v>0</v>
      </c>
      <c r="T71" s="343">
        <f>S71*'Cash-flow PLAN'!$D$57/12</f>
        <v>0</v>
      </c>
    </row>
    <row r="72" spans="2:20" ht="14.1">
      <c r="B72" s="345">
        <v>47239</v>
      </c>
      <c r="C72" s="341">
        <v>0</v>
      </c>
      <c r="D72" s="342">
        <f t="shared" si="0"/>
        <v>0</v>
      </c>
      <c r="E72" s="343">
        <f>D72*'Cash-flow PLAN'!$D$54/12</f>
        <v>0</v>
      </c>
      <c r="G72" s="345">
        <v>47239</v>
      </c>
      <c r="H72" s="341">
        <v>0</v>
      </c>
      <c r="I72" s="342">
        <f t="shared" si="1"/>
        <v>0</v>
      </c>
      <c r="J72" s="343">
        <f>I72*'Cash-flow PLAN'!$D$55/12</f>
        <v>0</v>
      </c>
      <c r="L72" s="345">
        <v>47239</v>
      </c>
      <c r="M72" s="341">
        <v>0</v>
      </c>
      <c r="N72" s="342">
        <f t="shared" si="2"/>
        <v>0</v>
      </c>
      <c r="O72" s="343">
        <f>N72*'Cash-flow PLAN'!$D$56/12</f>
        <v>0</v>
      </c>
      <c r="Q72" s="345">
        <v>47239</v>
      </c>
      <c r="R72" s="341">
        <v>0</v>
      </c>
      <c r="S72" s="342">
        <f t="shared" si="3"/>
        <v>0</v>
      </c>
      <c r="T72" s="343">
        <f>S72*'Cash-flow PLAN'!$D$57/12</f>
        <v>0</v>
      </c>
    </row>
    <row r="73" spans="2:20" ht="14.1">
      <c r="B73" s="346">
        <v>47270</v>
      </c>
      <c r="C73" s="341">
        <v>0</v>
      </c>
      <c r="D73" s="342">
        <f t="shared" si="0"/>
        <v>0</v>
      </c>
      <c r="E73" s="343">
        <f>D73*'Cash-flow PLAN'!$D$54/12</f>
        <v>0</v>
      </c>
      <c r="G73" s="346">
        <v>47270</v>
      </c>
      <c r="H73" s="341">
        <v>0</v>
      </c>
      <c r="I73" s="342">
        <f t="shared" si="1"/>
        <v>0</v>
      </c>
      <c r="J73" s="343">
        <f>I73*'Cash-flow PLAN'!$D$55/12</f>
        <v>0</v>
      </c>
      <c r="L73" s="346">
        <v>47270</v>
      </c>
      <c r="M73" s="341">
        <v>0</v>
      </c>
      <c r="N73" s="342">
        <f t="shared" si="2"/>
        <v>0</v>
      </c>
      <c r="O73" s="343">
        <f>N73*'Cash-flow PLAN'!$D$56/12</f>
        <v>0</v>
      </c>
      <c r="Q73" s="346">
        <v>47270</v>
      </c>
      <c r="R73" s="341">
        <v>0</v>
      </c>
      <c r="S73" s="342">
        <f t="shared" si="3"/>
        <v>0</v>
      </c>
      <c r="T73" s="343">
        <f>S73*'Cash-flow PLAN'!$D$57/12</f>
        <v>0</v>
      </c>
    </row>
    <row r="74" spans="2:20" ht="14.1">
      <c r="B74" s="345">
        <v>47300</v>
      </c>
      <c r="C74" s="341">
        <v>0</v>
      </c>
      <c r="D74" s="342">
        <f t="shared" si="0"/>
        <v>0</v>
      </c>
      <c r="E74" s="343">
        <f>D74*'Cash-flow PLAN'!$D$54/12</f>
        <v>0</v>
      </c>
      <c r="G74" s="345">
        <v>47300</v>
      </c>
      <c r="H74" s="341">
        <v>0</v>
      </c>
      <c r="I74" s="342">
        <f t="shared" si="1"/>
        <v>0</v>
      </c>
      <c r="J74" s="343">
        <f>I74*'Cash-flow PLAN'!$D$55/12</f>
        <v>0</v>
      </c>
      <c r="L74" s="345">
        <v>47300</v>
      </c>
      <c r="M74" s="341">
        <v>0</v>
      </c>
      <c r="N74" s="342">
        <f t="shared" si="2"/>
        <v>0</v>
      </c>
      <c r="O74" s="343">
        <f>N74*'Cash-flow PLAN'!$D$56/12</f>
        <v>0</v>
      </c>
      <c r="Q74" s="345">
        <v>47300</v>
      </c>
      <c r="R74" s="341">
        <v>0</v>
      </c>
      <c r="S74" s="342">
        <f t="shared" si="3"/>
        <v>0</v>
      </c>
      <c r="T74" s="343">
        <f>S74*'Cash-flow PLAN'!$D$57/12</f>
        <v>0</v>
      </c>
    </row>
    <row r="75" spans="2:20" ht="14.1">
      <c r="B75" s="345">
        <v>47331</v>
      </c>
      <c r="C75" s="341">
        <v>0</v>
      </c>
      <c r="D75" s="342">
        <f t="shared" si="0"/>
        <v>0</v>
      </c>
      <c r="E75" s="343">
        <f>D75*'Cash-flow PLAN'!$D$54/12</f>
        <v>0</v>
      </c>
      <c r="G75" s="345">
        <v>47331</v>
      </c>
      <c r="H75" s="341">
        <v>0</v>
      </c>
      <c r="I75" s="342">
        <f t="shared" si="1"/>
        <v>0</v>
      </c>
      <c r="J75" s="343">
        <f>I75*'Cash-flow PLAN'!$D$55/12</f>
        <v>0</v>
      </c>
      <c r="L75" s="345">
        <v>47331</v>
      </c>
      <c r="M75" s="341">
        <v>0</v>
      </c>
      <c r="N75" s="342">
        <f t="shared" si="2"/>
        <v>0</v>
      </c>
      <c r="O75" s="343">
        <f>N75*'Cash-flow PLAN'!$D$56/12</f>
        <v>0</v>
      </c>
      <c r="Q75" s="345">
        <v>47331</v>
      </c>
      <c r="R75" s="341">
        <v>0</v>
      </c>
      <c r="S75" s="342">
        <f t="shared" si="3"/>
        <v>0</v>
      </c>
      <c r="T75" s="343">
        <f>S75*'Cash-flow PLAN'!$D$57/12</f>
        <v>0</v>
      </c>
    </row>
    <row r="76" spans="2:20" ht="14.1">
      <c r="B76" s="345">
        <v>47362</v>
      </c>
      <c r="C76" s="341">
        <v>0</v>
      </c>
      <c r="D76" s="342">
        <f t="shared" si="0"/>
        <v>0</v>
      </c>
      <c r="E76" s="343">
        <f>D76*'Cash-flow PLAN'!$D$54/12</f>
        <v>0</v>
      </c>
      <c r="G76" s="345">
        <v>47362</v>
      </c>
      <c r="H76" s="341">
        <v>0</v>
      </c>
      <c r="I76" s="342">
        <f t="shared" si="1"/>
        <v>0</v>
      </c>
      <c r="J76" s="343">
        <f>I76*'Cash-flow PLAN'!$D$55/12</f>
        <v>0</v>
      </c>
      <c r="L76" s="345">
        <v>47362</v>
      </c>
      <c r="M76" s="341">
        <v>0</v>
      </c>
      <c r="N76" s="342">
        <f t="shared" si="2"/>
        <v>0</v>
      </c>
      <c r="O76" s="343">
        <f>N76*'Cash-flow PLAN'!$D$56/12</f>
        <v>0</v>
      </c>
      <c r="Q76" s="345">
        <v>47362</v>
      </c>
      <c r="R76" s="341">
        <v>0</v>
      </c>
      <c r="S76" s="342">
        <f t="shared" si="3"/>
        <v>0</v>
      </c>
      <c r="T76" s="343">
        <f>S76*'Cash-flow PLAN'!$D$57/12</f>
        <v>0</v>
      </c>
    </row>
    <row r="77" spans="2:20" ht="14.1">
      <c r="B77" s="345">
        <v>47392</v>
      </c>
      <c r="C77" s="341">
        <v>0</v>
      </c>
      <c r="D77" s="342">
        <f t="shared" si="0"/>
        <v>0</v>
      </c>
      <c r="E77" s="343">
        <f>D77*'Cash-flow PLAN'!$D$54/12</f>
        <v>0</v>
      </c>
      <c r="G77" s="345">
        <v>47392</v>
      </c>
      <c r="H77" s="341">
        <v>0</v>
      </c>
      <c r="I77" s="342">
        <f t="shared" si="1"/>
        <v>0</v>
      </c>
      <c r="J77" s="343">
        <f>I77*'Cash-flow PLAN'!$D$55/12</f>
        <v>0</v>
      </c>
      <c r="L77" s="345">
        <v>47392</v>
      </c>
      <c r="M77" s="341">
        <v>0</v>
      </c>
      <c r="N77" s="342">
        <f t="shared" si="2"/>
        <v>0</v>
      </c>
      <c r="O77" s="343">
        <f>N77*'Cash-flow PLAN'!$D$56/12</f>
        <v>0</v>
      </c>
      <c r="Q77" s="345">
        <v>47392</v>
      </c>
      <c r="R77" s="341">
        <v>0</v>
      </c>
      <c r="S77" s="342">
        <f t="shared" si="3"/>
        <v>0</v>
      </c>
      <c r="T77" s="343">
        <f>S77*'Cash-flow PLAN'!$D$57/12</f>
        <v>0</v>
      </c>
    </row>
    <row r="78" spans="2:20" ht="14.1">
      <c r="B78" s="345">
        <v>47423</v>
      </c>
      <c r="C78" s="341">
        <v>0</v>
      </c>
      <c r="D78" s="342">
        <f t="shared" si="0"/>
        <v>0</v>
      </c>
      <c r="E78" s="343">
        <f>D78*'Cash-flow PLAN'!$D$54/12</f>
        <v>0</v>
      </c>
      <c r="G78" s="345">
        <v>47423</v>
      </c>
      <c r="H78" s="341">
        <v>0</v>
      </c>
      <c r="I78" s="342">
        <f t="shared" si="1"/>
        <v>0</v>
      </c>
      <c r="J78" s="343">
        <f>I78*'Cash-flow PLAN'!$D$55/12</f>
        <v>0</v>
      </c>
      <c r="L78" s="345">
        <v>47423</v>
      </c>
      <c r="M78" s="341">
        <v>0</v>
      </c>
      <c r="N78" s="342">
        <f t="shared" si="2"/>
        <v>0</v>
      </c>
      <c r="O78" s="343">
        <f>N78*'Cash-flow PLAN'!$D$56/12</f>
        <v>0</v>
      </c>
      <c r="Q78" s="345">
        <v>47423</v>
      </c>
      <c r="R78" s="341">
        <v>0</v>
      </c>
      <c r="S78" s="342">
        <f t="shared" si="3"/>
        <v>0</v>
      </c>
      <c r="T78" s="343">
        <f>S78*'Cash-flow PLAN'!$D$57/12</f>
        <v>0</v>
      </c>
    </row>
    <row r="79" spans="2:20" ht="14.1">
      <c r="B79" s="345">
        <v>47453</v>
      </c>
      <c r="C79" s="341">
        <v>0</v>
      </c>
      <c r="D79" s="342">
        <f>D78</f>
        <v>0</v>
      </c>
      <c r="E79" s="343">
        <f>D79*'Cash-flow PLAN'!$D$54/12</f>
        <v>0</v>
      </c>
      <c r="G79" s="345">
        <v>47453</v>
      </c>
      <c r="H79" s="341">
        <v>0</v>
      </c>
      <c r="I79" s="342">
        <f>I78</f>
        <v>0</v>
      </c>
      <c r="J79" s="343">
        <f>I79*'Cash-flow PLAN'!$D$55/12</f>
        <v>0</v>
      </c>
      <c r="L79" s="345">
        <v>47453</v>
      </c>
      <c r="M79" s="341">
        <v>-13002832.540510181</v>
      </c>
      <c r="N79" s="342">
        <f>N78</f>
        <v>0</v>
      </c>
      <c r="O79" s="343">
        <f>N79*'Cash-flow PLAN'!$D$56/12</f>
        <v>0</v>
      </c>
      <c r="Q79" s="345">
        <v>47453</v>
      </c>
      <c r="R79" s="341">
        <v>0</v>
      </c>
      <c r="S79" s="342">
        <f>S78</f>
        <v>0</v>
      </c>
      <c r="T79" s="343">
        <f>S79*'Cash-flow PLAN'!$D$57/12</f>
        <v>0</v>
      </c>
    </row>
  </sheetData>
  <mergeCells count="4">
    <mergeCell ref="B2:E3"/>
    <mergeCell ref="G2:J3"/>
    <mergeCell ref="L2:O3"/>
    <mergeCell ref="Q2:T3"/>
  </mergeCells>
  <pageMargins left="0" right="0" top="0" bottom="0" header="0" footer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EH189"/>
  <sheetViews>
    <sheetView workbookViewId="0">
      <pane xSplit="3" ySplit="4" topLeftCell="D5" activePane="bottomRight" state="frozen"/>
      <selection pane="bottomRight" activeCell="D5" sqref="D5"/>
      <selection pane="bottomLeft" activeCell="A5" sqref="A5"/>
      <selection pane="topRight" activeCell="D1" sqref="D1"/>
    </sheetView>
  </sheetViews>
  <sheetFormatPr defaultColWidth="12.625" defaultRowHeight="15" customHeight="1" outlineLevelRow="1" outlineLevelCol="2"/>
  <cols>
    <col min="1" max="1" width="2.375" customWidth="1"/>
    <col min="3" max="3" width="40.125" customWidth="1"/>
    <col min="4" max="4" width="12.625" outlineLevel="1"/>
    <col min="5" max="5" width="10.875" customWidth="1" outlineLevel="1"/>
    <col min="6" max="16" width="10.875" customWidth="1" outlineLevel="2"/>
    <col min="17" max="17" width="10.875" customWidth="1" outlineLevel="1"/>
    <col min="18" max="20" width="10.875" customWidth="1" outlineLevel="2"/>
    <col min="21" max="21" width="6.5" customWidth="1" outlineLevel="2"/>
    <col min="22" max="22" width="11.625" customWidth="1" outlineLevel="2"/>
    <col min="23" max="28" width="6.5" customWidth="1" outlineLevel="2"/>
    <col min="29" max="29" width="6.5" customWidth="1" outlineLevel="1" collapsed="1"/>
    <col min="30" max="40" width="6.5" hidden="1" customWidth="1" outlineLevel="2"/>
    <col min="41" max="41" width="6.5" customWidth="1" outlineLevel="1" collapsed="1"/>
    <col min="42" max="52" width="6.5" hidden="1" customWidth="1" outlineLevel="2"/>
    <col min="53" max="53" width="6.5" customWidth="1" outlineLevel="1" collapsed="1"/>
    <col min="54" max="64" width="6.5" hidden="1" customWidth="1" outlineLevel="2"/>
    <col min="65" max="65" width="6.5" customWidth="1" outlineLevel="1" collapsed="1"/>
    <col min="66" max="76" width="6.5" hidden="1" customWidth="1" outlineLevel="2"/>
    <col min="79" max="79" width="12.625" collapsed="1"/>
    <col min="80" max="82" width="12.625" hidden="1" outlineLevel="1"/>
  </cols>
  <sheetData>
    <row r="1" spans="1:138">
      <c r="A1" s="222"/>
      <c r="B1" s="357" t="s">
        <v>199</v>
      </c>
      <c r="C1" s="358">
        <v>45443</v>
      </c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</row>
    <row r="2" spans="1:138">
      <c r="A2" s="505"/>
      <c r="B2" s="567" t="s">
        <v>200</v>
      </c>
      <c r="C2" s="597"/>
      <c r="D2" s="505"/>
      <c r="E2" s="559">
        <v>45292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9"/>
      <c r="Q2" s="558">
        <v>2025</v>
      </c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9"/>
      <c r="AC2" s="558">
        <v>2026</v>
      </c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9"/>
      <c r="AO2" s="559">
        <v>46388</v>
      </c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9"/>
      <c r="BA2" s="559">
        <v>46753</v>
      </c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9"/>
      <c r="BM2" s="559">
        <v>47119</v>
      </c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9"/>
      <c r="BY2" s="560" t="s">
        <v>201</v>
      </c>
      <c r="BZ2" s="597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</row>
    <row r="3" spans="1:138">
      <c r="A3" s="505"/>
      <c r="B3" s="588"/>
      <c r="C3" s="597"/>
      <c r="D3" s="505"/>
      <c r="E3" s="226" t="str">
        <f>IFERROR(VLOOKUP(TEXT(E4,"mm.yyyy"),HMG!$B$2:$C$1001, 2, FALSE),"")</f>
        <v>zapis KS</v>
      </c>
      <c r="F3" s="226" t="str">
        <f>IFERROR(VLOOKUP(TEXT(F4,"mm.yyyy"),HMG!$B$2:$C$1001, 2, FALSE),"")</f>
        <v/>
      </c>
      <c r="G3" s="226" t="str">
        <f>IFERROR(VLOOKUP(TEXT(G4,"mm.yyyy"),HMG!$B$2:$C$1001, 2, FALSE),"")</f>
        <v/>
      </c>
      <c r="H3" s="226" t="str">
        <f>IFERROR(VLOOKUP(TEXT(H4,"mm.yyyy"),HMG!$B$2:$C$1001, 2, FALSE),"")</f>
        <v/>
      </c>
      <c r="I3" s="226" t="str">
        <f>IFERROR(VLOOKUP(TEXT(I4,"mm.yyyy"),HMG!$B$2:$C$1001, 2, FALSE),"")</f>
        <v/>
      </c>
      <c r="J3" s="226" t="str">
        <f>IFERROR(VLOOKUP(TEXT(J4,"mm.yyyy"),HMG!$B$2:$C$1001, 2, FALSE),"")</f>
        <v/>
      </c>
      <c r="K3" s="226" t="str">
        <f>IFERROR(VLOOKUP(TEXT(K4,"mm.yyyy"),HMG!$B$2:$C$1001, 2, FALSE),"")</f>
        <v/>
      </c>
      <c r="L3" s="226" t="str">
        <f>IFERROR(VLOOKUP(TEXT(L4,"mm.yyyy"),HMG!$B$2:$C$1001, 2, FALSE),"")</f>
        <v/>
      </c>
      <c r="M3" s="226" t="str">
        <f>IFERROR(VLOOKUP(TEXT(M4,"mm.yyyy"),HMG!$B$2:$C$1001, 2, FALSE),"")</f>
        <v/>
      </c>
      <c r="N3" s="226" t="str">
        <f>IFERROR(VLOOKUP(TEXT(N4,"mm.yyyy"),HMG!$B$2:$C$1001, 2, FALSE),"")</f>
        <v/>
      </c>
      <c r="O3" s="226" t="str">
        <f>IFERROR(VLOOKUP(TEXT(O4,"mm.yyyy"),HMG!$B$2:$C$1001, 2, FALSE),"")</f>
        <v/>
      </c>
      <c r="P3" s="226" t="str">
        <f>IFERROR(VLOOKUP(TEXT(P4,"mm.yyyy"),HMG!$B$2:$C$1001, 2, FALSE),"")</f>
        <v/>
      </c>
      <c r="Q3" s="226" t="str">
        <f>IFERROR(VLOOKUP(TEXT(Q4,"mm.yyyy"),HMG!$B$2:$C$1001, 2, FALSE),"")</f>
        <v>zapis KS</v>
      </c>
      <c r="R3" s="226" t="str">
        <f>IFERROR(VLOOKUP(TEXT(R4,"mm.yyyy"),HMG!$B$2:$C$1001, 2, FALSE),"")</f>
        <v/>
      </c>
      <c r="S3" s="226" t="str">
        <f>IFERROR(VLOOKUP(TEXT(S4,"mm.yyyy"),HMG!$B$2:$C$1001, 2, FALSE),"")</f>
        <v/>
      </c>
      <c r="T3" s="226" t="str">
        <f>IFERROR(VLOOKUP(TEXT(T4,"mm.yyyy"),HMG!$B$2:$C$1001, 2, FALSE),"")</f>
        <v/>
      </c>
      <c r="U3" s="226" t="str">
        <f>IFERROR(VLOOKUP(TEXT(U4,"mm.yyyy"),HMG!$B$2:$C$1001, 2, FALSE),"")</f>
        <v/>
      </c>
      <c r="V3" s="226" t="str">
        <f>IFERROR(VLOOKUP(TEXT(V4,"mm.yyyy"),HMG!$B$2:$C$1001, 2, FALSE),"")</f>
        <v/>
      </c>
      <c r="W3" s="226" t="str">
        <f>IFERROR(VLOOKUP(TEXT(W4,"mm.yyyy"),HMG!$B$2:$C$1001, 2, FALSE),"")</f>
        <v/>
      </c>
      <c r="X3" s="226" t="str">
        <f>IFERROR(VLOOKUP(TEXT(X4,"mm.yyyy"),HMG!$B$2:$C$1001, 2, FALSE),"")</f>
        <v/>
      </c>
      <c r="Y3" s="226" t="str">
        <f>IFERROR(VLOOKUP(TEXT(Y4,"mm.yyyy"),HMG!$B$2:$C$1001, 2, FALSE),"")</f>
        <v/>
      </c>
      <c r="Z3" s="226" t="str">
        <f>IFERROR(VLOOKUP(TEXT(Z4,"mm.yyyy"),HMG!$B$2:$C$1001, 2, FALSE),"")</f>
        <v/>
      </c>
      <c r="AA3" s="226" t="str">
        <f>IFERROR(VLOOKUP(TEXT(AA4,"mm.yyyy"),HMG!$B$2:$C$1001, 2, FALSE),"")</f>
        <v/>
      </c>
      <c r="AB3" s="226" t="str">
        <f>IFERROR(VLOOKUP(TEXT(AB4,"mm.yyyy"),HMG!$B$2:$C$1001, 2, FALSE),"")</f>
        <v/>
      </c>
      <c r="AC3" s="226" t="str">
        <f>IFERROR(VLOOKUP(TEXT(AC4,"mm.yyyy"),HMG!$B$2:$C$1001, 2, FALSE),"")</f>
        <v>zapis KS</v>
      </c>
      <c r="AD3" s="226" t="str">
        <f>IFERROR(VLOOKUP(TEXT(AD4,"mm.yyyy"),HMG!$B$2:$C$1001, 2, FALSE),"")</f>
        <v/>
      </c>
      <c r="AE3" s="226" t="str">
        <f>IFERROR(VLOOKUP(TEXT(AE4,"mm.yyyy"),HMG!$B$2:$C$1001, 2, FALSE),"")</f>
        <v/>
      </c>
      <c r="AF3" s="226" t="str">
        <f>IFERROR(VLOOKUP(TEXT(AF4,"mm.yyyy"),HMG!$B$2:$C$1001, 2, FALSE),"")</f>
        <v/>
      </c>
      <c r="AG3" s="226" t="str">
        <f>IFERROR(VLOOKUP(TEXT(AG4,"mm.yyyy"),HMG!$B$2:$C$1001, 2, FALSE),"")</f>
        <v/>
      </c>
      <c r="AH3" s="226" t="str">
        <f>IFERROR(VLOOKUP(TEXT(AH4,"mm.yyyy"),HMG!$B$2:$C$1001, 2, FALSE),"")</f>
        <v/>
      </c>
      <c r="AI3" s="226" t="str">
        <f>IFERROR(VLOOKUP(TEXT(AI4,"mm.yyyy"),HMG!$B$2:$C$1001, 2, FALSE),"")</f>
        <v/>
      </c>
      <c r="AJ3" s="226" t="str">
        <f>IFERROR(VLOOKUP(TEXT(AJ4,"mm.yyyy"),HMG!$B$2:$C$1001, 2, FALSE),"")</f>
        <v/>
      </c>
      <c r="AK3" s="226" t="str">
        <f>IFERROR(VLOOKUP(TEXT(AK4,"mm.yyyy"),HMG!$B$2:$C$1001, 2, FALSE),"")</f>
        <v/>
      </c>
      <c r="AL3" s="226" t="str">
        <f>IFERROR(VLOOKUP(TEXT(AL4,"mm.yyyy"),HMG!$B$2:$C$1001, 2, FALSE),"")</f>
        <v/>
      </c>
      <c r="AM3" s="226" t="str">
        <f>IFERROR(VLOOKUP(TEXT(AM4,"mm.yyyy"),HMG!$B$2:$C$1001, 2, FALSE),"")</f>
        <v/>
      </c>
      <c r="AN3" s="226" t="str">
        <f>IFERROR(VLOOKUP(TEXT(AN4,"mm.yyyy"),HMG!$B$2:$C$1001, 2, FALSE),"")</f>
        <v/>
      </c>
      <c r="AO3" s="226" t="str">
        <f>IFERROR(VLOOKUP(TEXT(AO4,"mm.yyyy"),HMG!$B$2:$C$1001, 2, FALSE),"")</f>
        <v>zapis KS</v>
      </c>
      <c r="AP3" s="226" t="str">
        <f>IFERROR(VLOOKUP(TEXT(AP4,"mm.yyyy"),HMG!$B$2:$C$1001, 2, FALSE),"")</f>
        <v/>
      </c>
      <c r="AQ3" s="226" t="str">
        <f>IFERROR(VLOOKUP(TEXT(AQ4,"mm.yyyy"),HMG!$B$2:$C$1001, 2, FALSE),"")</f>
        <v/>
      </c>
      <c r="AR3" s="226" t="str">
        <f>IFERROR(VLOOKUP(TEXT(AR4,"mm.yyyy"),HMG!$B$2:$C$1001, 2, FALSE),"")</f>
        <v/>
      </c>
      <c r="AS3" s="226" t="str">
        <f>IFERROR(VLOOKUP(TEXT(AS4,"mm.yyyy"),HMG!$B$2:$C$1001, 2, FALSE),"")</f>
        <v/>
      </c>
      <c r="AT3" s="226" t="str">
        <f>IFERROR(VLOOKUP(TEXT(AT4,"mm.yyyy"),HMG!$B$2:$C$1001, 2, FALSE),"")</f>
        <v/>
      </c>
      <c r="AU3" s="226" t="str">
        <f>IFERROR(VLOOKUP(TEXT(AU4,"mm.yyyy"),HMG!$B$2:$C$1001, 2, FALSE),"")</f>
        <v/>
      </c>
      <c r="AV3" s="226" t="str">
        <f>IFERROR(VLOOKUP(TEXT(AV4,"mm.yyyy"),HMG!$B$2:$C$1001, 2, FALSE),"")</f>
        <v/>
      </c>
      <c r="AW3" s="226" t="str">
        <f>IFERROR(VLOOKUP(TEXT(AW4,"mm.yyyy"),HMG!$B$2:$C$1001, 2, FALSE),"")</f>
        <v/>
      </c>
      <c r="AX3" s="226" t="str">
        <f>IFERROR(VLOOKUP(TEXT(AX4,"mm.yyyy"),HMG!$B$2:$C$1001, 2, FALSE),"")</f>
        <v/>
      </c>
      <c r="AY3" s="226" t="str">
        <f>IFERROR(VLOOKUP(TEXT(AY4,"mm.yyyy"),HMG!$B$2:$C$1001, 2, FALSE),"")</f>
        <v/>
      </c>
      <c r="AZ3" s="226" t="str">
        <f>IFERROR(VLOOKUP(TEXT(AZ4,"mm.yyyy"),HMG!$B$2:$C$1001, 2, FALSE),"")</f>
        <v/>
      </c>
      <c r="BA3" s="226" t="str">
        <f>IFERROR(VLOOKUP(TEXT(BA4,"mm.yyyy"),HMG!$B$2:$C$1001, 2, FALSE),"")</f>
        <v>zapis KS</v>
      </c>
      <c r="BB3" s="226" t="str">
        <f>IFERROR(VLOOKUP(TEXT(BB4,"mm.yyyy"),HMG!$B$2:$C$1001, 2, FALSE),"")</f>
        <v/>
      </c>
      <c r="BC3" s="226" t="str">
        <f>IFERROR(VLOOKUP(TEXT(BC4,"mm.yyyy"),HMG!$B$2:$C$1001, 2, FALSE),"")</f>
        <v/>
      </c>
      <c r="BD3" s="226" t="str">
        <f>IFERROR(VLOOKUP(TEXT(BD4,"mm.yyyy"),HMG!$B$2:$C$1001, 2, FALSE),"")</f>
        <v/>
      </c>
      <c r="BE3" s="226" t="str">
        <f>IFERROR(VLOOKUP(TEXT(BE4,"mm.yyyy"),HMG!$B$2:$C$1001, 2, FALSE),"")</f>
        <v/>
      </c>
      <c r="BF3" s="226" t="str">
        <f>IFERROR(VLOOKUP(TEXT(BF4,"mm.yyyy"),HMG!$B$2:$C$1001, 2, FALSE),"")</f>
        <v/>
      </c>
      <c r="BG3" s="226" t="str">
        <f>IFERROR(VLOOKUP(TEXT(BG4,"mm.yyyy"),HMG!$B$2:$C$1001, 2, FALSE),"")</f>
        <v/>
      </c>
      <c r="BH3" s="226" t="str">
        <f>IFERROR(VLOOKUP(TEXT(BH4,"mm.yyyy"),HMG!$B$2:$C$1001, 2, FALSE),"")</f>
        <v/>
      </c>
      <c r="BI3" s="226" t="str">
        <f>IFERROR(VLOOKUP(TEXT(BI4,"mm.yyyy"),HMG!$B$2:$C$1001, 2, FALSE),"")</f>
        <v/>
      </c>
      <c r="BJ3" s="226" t="str">
        <f>IFERROR(VLOOKUP(TEXT(BJ4,"mm.yyyy"),HMG!$B$2:$C$1001, 2, FALSE),"")</f>
        <v/>
      </c>
      <c r="BK3" s="226" t="str">
        <f>IFERROR(VLOOKUP(TEXT(BK4,"mm.yyyy"),HMG!$B$2:$C$1001, 2, FALSE),"")</f>
        <v/>
      </c>
      <c r="BL3" s="226" t="str">
        <f>IFERROR(VLOOKUP(TEXT(BL4,"mm.yyyy"),HMG!$B$2:$C$1001, 2, FALSE),"")</f>
        <v/>
      </c>
      <c r="BM3" s="226" t="str">
        <f>IFERROR(VLOOKUP(TEXT(BM4,"mm.yyyy"),HMG!$B$2:$C$1001, 2, FALSE),"")</f>
        <v>zapis KS</v>
      </c>
      <c r="BN3" s="226" t="str">
        <f>IFERROR(VLOOKUP(TEXT(BN4,"mm.yyyy"),HMG!$B$2:$C$1001, 2, FALSE),"")</f>
        <v/>
      </c>
      <c r="BO3" s="226" t="str">
        <f>IFERROR(VLOOKUP(TEXT(BO4,"mm.yyyy"),HMG!$B$2:$C$1001, 2, FALSE),"")</f>
        <v/>
      </c>
      <c r="BP3" s="226" t="str">
        <f>IFERROR(VLOOKUP(TEXT(BP4,"mm.yyyy"),HMG!$B$2:$C$1001, 2, FALSE),"")</f>
        <v/>
      </c>
      <c r="BQ3" s="226" t="str">
        <f>IFERROR(VLOOKUP(TEXT(BQ4,"mm.yyyy"),HMG!$B$2:$C$1001, 2, FALSE),"")</f>
        <v/>
      </c>
      <c r="BR3" s="226" t="str">
        <f>IFERROR(VLOOKUP(TEXT(BR4,"mm.yyyy"),HMG!$B$2:$C$1001, 2, FALSE),"")</f>
        <v/>
      </c>
      <c r="BS3" s="226" t="str">
        <f>IFERROR(VLOOKUP(TEXT(BS4,"mm.yyyy"),HMG!$B$2:$C$1001, 2, FALSE),"")</f>
        <v/>
      </c>
      <c r="BT3" s="226" t="str">
        <f>IFERROR(VLOOKUP(TEXT(BT4,"mm.yyyy"),HMG!$B$2:$C$1001, 2, FALSE),"")</f>
        <v/>
      </c>
      <c r="BU3" s="226" t="str">
        <f>IFERROR(VLOOKUP(TEXT(BU4,"mm.yyyy"),HMG!$B$2:$C$1001, 2, FALSE),"")</f>
        <v/>
      </c>
      <c r="BV3" s="226" t="str">
        <f>IFERROR(VLOOKUP(TEXT(BV4,"mm.yyyy"),HMG!$B$2:$C$1001, 2, FALSE),"")</f>
        <v/>
      </c>
      <c r="BW3" s="226" t="str">
        <f>IFERROR(VLOOKUP(TEXT(BW4,"mm.yyyy"),HMG!$B$2:$C$1001, 2, FALSE),"")</f>
        <v/>
      </c>
      <c r="BX3" s="226" t="str">
        <f>IFERROR(VLOOKUP(TEXT(BX4,"mm.yyyy"),HMG!$B$2:$C$1001, 2, FALSE),"")</f>
        <v/>
      </c>
      <c r="BY3" s="588"/>
      <c r="BZ3" s="597"/>
      <c r="CA3" s="222"/>
      <c r="CB3" s="222" t="s">
        <v>202</v>
      </c>
      <c r="CC3" s="222" t="s">
        <v>203</v>
      </c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2"/>
      <c r="CV3" s="222"/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</row>
    <row r="4" spans="1:138">
      <c r="A4" s="505"/>
      <c r="B4" s="591"/>
      <c r="C4" s="592"/>
      <c r="D4" s="506"/>
      <c r="E4" s="227">
        <v>45292</v>
      </c>
      <c r="F4" s="227">
        <v>45323</v>
      </c>
      <c r="G4" s="227">
        <v>45352</v>
      </c>
      <c r="H4" s="227">
        <v>45383</v>
      </c>
      <c r="I4" s="227">
        <v>45413</v>
      </c>
      <c r="J4" s="227">
        <v>45444</v>
      </c>
      <c r="K4" s="227">
        <v>45474</v>
      </c>
      <c r="L4" s="227">
        <v>45505</v>
      </c>
      <c r="M4" s="227">
        <v>45536</v>
      </c>
      <c r="N4" s="227">
        <v>45566</v>
      </c>
      <c r="O4" s="359">
        <v>45597</v>
      </c>
      <c r="P4" s="227">
        <v>45627</v>
      </c>
      <c r="Q4" s="227">
        <v>45658</v>
      </c>
      <c r="R4" s="227">
        <v>45689</v>
      </c>
      <c r="S4" s="227">
        <v>45717</v>
      </c>
      <c r="T4" s="227">
        <v>45748</v>
      </c>
      <c r="U4" s="227">
        <v>45778</v>
      </c>
      <c r="V4" s="227">
        <v>45809</v>
      </c>
      <c r="W4" s="227">
        <v>45839</v>
      </c>
      <c r="X4" s="227">
        <v>45870</v>
      </c>
      <c r="Y4" s="227">
        <v>45901</v>
      </c>
      <c r="Z4" s="227">
        <v>45931</v>
      </c>
      <c r="AA4" s="227">
        <v>45962</v>
      </c>
      <c r="AB4" s="227">
        <v>45992</v>
      </c>
      <c r="AC4" s="227">
        <v>46023</v>
      </c>
      <c r="AD4" s="227">
        <v>46054</v>
      </c>
      <c r="AE4" s="227">
        <v>46082</v>
      </c>
      <c r="AF4" s="227">
        <v>46113</v>
      </c>
      <c r="AG4" s="227">
        <v>46143</v>
      </c>
      <c r="AH4" s="227">
        <v>46174</v>
      </c>
      <c r="AI4" s="227">
        <v>46204</v>
      </c>
      <c r="AJ4" s="227">
        <v>46235</v>
      </c>
      <c r="AK4" s="227">
        <v>46266</v>
      </c>
      <c r="AL4" s="227">
        <v>46296</v>
      </c>
      <c r="AM4" s="227">
        <v>46327</v>
      </c>
      <c r="AN4" s="227">
        <v>46357</v>
      </c>
      <c r="AO4" s="227">
        <v>46388</v>
      </c>
      <c r="AP4" s="227">
        <v>46419</v>
      </c>
      <c r="AQ4" s="227">
        <v>46447</v>
      </c>
      <c r="AR4" s="227">
        <v>46478</v>
      </c>
      <c r="AS4" s="227">
        <v>46508</v>
      </c>
      <c r="AT4" s="227">
        <v>46539</v>
      </c>
      <c r="AU4" s="227">
        <v>46569</v>
      </c>
      <c r="AV4" s="227">
        <v>46600</v>
      </c>
      <c r="AW4" s="227">
        <v>46631</v>
      </c>
      <c r="AX4" s="227">
        <v>46661</v>
      </c>
      <c r="AY4" s="227">
        <v>46692</v>
      </c>
      <c r="AZ4" s="227">
        <v>46722</v>
      </c>
      <c r="BA4" s="227">
        <v>46753</v>
      </c>
      <c r="BB4" s="227">
        <v>46784</v>
      </c>
      <c r="BC4" s="227">
        <v>46813</v>
      </c>
      <c r="BD4" s="227">
        <v>46844</v>
      </c>
      <c r="BE4" s="227">
        <v>46874</v>
      </c>
      <c r="BF4" s="227">
        <v>46905</v>
      </c>
      <c r="BG4" s="227">
        <v>46935</v>
      </c>
      <c r="BH4" s="227">
        <v>46966</v>
      </c>
      <c r="BI4" s="227">
        <v>46997</v>
      </c>
      <c r="BJ4" s="227">
        <v>47027</v>
      </c>
      <c r="BK4" s="227">
        <v>47058</v>
      </c>
      <c r="BL4" s="227">
        <v>47088</v>
      </c>
      <c r="BM4" s="227">
        <v>47119</v>
      </c>
      <c r="BN4" s="227">
        <v>47150</v>
      </c>
      <c r="BO4" s="227">
        <v>47178</v>
      </c>
      <c r="BP4" s="227">
        <v>47209</v>
      </c>
      <c r="BQ4" s="227">
        <v>47239</v>
      </c>
      <c r="BR4" s="227">
        <v>47270</v>
      </c>
      <c r="BS4" s="227">
        <v>47300</v>
      </c>
      <c r="BT4" s="227">
        <v>47331</v>
      </c>
      <c r="BU4" s="227">
        <v>47362</v>
      </c>
      <c r="BV4" s="227">
        <v>47392</v>
      </c>
      <c r="BW4" s="227">
        <v>47423</v>
      </c>
      <c r="BX4" s="227">
        <v>47453</v>
      </c>
      <c r="BY4" s="591"/>
      <c r="BZ4" s="592"/>
      <c r="CA4" s="222"/>
      <c r="CB4" s="222" t="s">
        <v>63</v>
      </c>
      <c r="CC4" s="222"/>
      <c r="CD4" s="222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2"/>
      <c r="CV4" s="222"/>
      <c r="CW4" s="222"/>
      <c r="CX4" s="222"/>
      <c r="CY4" s="222"/>
      <c r="CZ4" s="222"/>
      <c r="DA4" s="222"/>
      <c r="DB4" s="222"/>
      <c r="DC4" s="222"/>
      <c r="DD4" s="222"/>
      <c r="DE4" s="222"/>
      <c r="DF4" s="222"/>
      <c r="DG4" s="222"/>
      <c r="DH4" s="222"/>
      <c r="DI4" s="222"/>
      <c r="DJ4" s="222"/>
      <c r="DK4" s="222"/>
      <c r="DL4" s="222"/>
      <c r="DM4" s="222"/>
      <c r="DN4" s="222"/>
      <c r="DO4" s="222"/>
      <c r="DP4" s="222"/>
      <c r="DQ4" s="222"/>
      <c r="DR4" s="222"/>
      <c r="DS4" s="222"/>
      <c r="DT4" s="222"/>
      <c r="DU4" s="222"/>
      <c r="DV4" s="222"/>
      <c r="DW4" s="222"/>
      <c r="DX4" s="222"/>
      <c r="DY4" s="222"/>
      <c r="DZ4" s="222"/>
      <c r="EA4" s="222"/>
      <c r="EB4" s="222"/>
      <c r="EC4" s="222"/>
      <c r="ED4" s="222"/>
      <c r="EE4" s="222"/>
      <c r="EF4" s="222"/>
      <c r="EG4" s="222"/>
      <c r="EH4" s="222"/>
    </row>
    <row r="5" spans="1:138">
      <c r="A5" s="505"/>
      <c r="B5" s="568" t="s">
        <v>204</v>
      </c>
      <c r="C5" s="228" t="s">
        <v>205</v>
      </c>
      <c r="D5" s="229" t="s">
        <v>206</v>
      </c>
      <c r="E5" s="230"/>
      <c r="F5" s="231"/>
      <c r="G5" s="231"/>
      <c r="H5" s="231">
        <f>16365002</f>
        <v>16365002</v>
      </c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2"/>
      <c r="BY5" s="233">
        <f t="shared" ref="BY5:BY15" si="0">SUM(E5:BX5)</f>
        <v>16365002</v>
      </c>
      <c r="BZ5" s="561">
        <f>SUM(BY5:BY8)</f>
        <v>24235669</v>
      </c>
      <c r="CA5" s="222"/>
      <c r="CB5" s="233">
        <f t="shared" ref="CB5:CB15" si="1">SUM(H5:CA5)</f>
        <v>56965673</v>
      </c>
      <c r="CC5" s="561">
        <f>SUM(CB5:CB8)</f>
        <v>134027674</v>
      </c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</row>
    <row r="6" spans="1:138">
      <c r="A6" s="505"/>
      <c r="B6" s="600"/>
      <c r="C6" s="228" t="s">
        <v>207</v>
      </c>
      <c r="D6" s="229" t="s">
        <v>206</v>
      </c>
      <c r="E6" s="231"/>
      <c r="F6" s="231"/>
      <c r="G6" s="231"/>
      <c r="H6" s="231"/>
      <c r="I6" s="231"/>
      <c r="J6" s="231">
        <v>7870667</v>
      </c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28"/>
      <c r="BY6" s="233">
        <f t="shared" si="0"/>
        <v>7870667</v>
      </c>
      <c r="BZ6" s="597"/>
      <c r="CA6" s="222">
        <f>9870667</f>
        <v>9870667</v>
      </c>
      <c r="CB6" s="233">
        <f t="shared" si="1"/>
        <v>25612001</v>
      </c>
      <c r="CC6" s="597"/>
      <c r="CD6" s="222"/>
      <c r="CE6" s="222"/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</row>
    <row r="7" spans="1:138">
      <c r="A7" s="505"/>
      <c r="B7" s="600"/>
      <c r="C7" s="234" t="s">
        <v>208</v>
      </c>
      <c r="D7" s="229" t="s">
        <v>206</v>
      </c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28"/>
      <c r="BY7" s="233">
        <f t="shared" si="0"/>
        <v>0</v>
      </c>
      <c r="BZ7" s="597"/>
      <c r="CA7" s="222">
        <f>2100000*24.5</f>
        <v>51450000</v>
      </c>
      <c r="CB7" s="233">
        <f t="shared" si="1"/>
        <v>51450000</v>
      </c>
      <c r="CC7" s="597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</row>
    <row r="8" spans="1:138">
      <c r="A8" s="505"/>
      <c r="B8" s="601"/>
      <c r="C8" s="234" t="s">
        <v>209</v>
      </c>
      <c r="D8" s="235" t="s">
        <v>206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4"/>
      <c r="BY8" s="237">
        <f t="shared" si="0"/>
        <v>0</v>
      </c>
      <c r="BZ8" s="592"/>
      <c r="CA8" s="222"/>
      <c r="CB8" s="237">
        <f t="shared" si="1"/>
        <v>0</v>
      </c>
      <c r="CC8" s="592"/>
      <c r="CD8" s="222"/>
      <c r="CE8" s="222"/>
      <c r="CF8" s="222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</row>
    <row r="9" spans="1:138">
      <c r="A9" s="505"/>
      <c r="B9" s="568" t="s">
        <v>210</v>
      </c>
      <c r="C9" s="232" t="s">
        <v>211</v>
      </c>
      <c r="D9" s="229" t="s">
        <v>206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2"/>
      <c r="BY9" s="233">
        <f t="shared" si="0"/>
        <v>0</v>
      </c>
      <c r="BZ9" s="561">
        <f>SUM(BY9:BY11)</f>
        <v>48932749</v>
      </c>
      <c r="CA9" s="222"/>
      <c r="CB9" s="233">
        <f t="shared" si="1"/>
        <v>48932749</v>
      </c>
      <c r="CC9" s="561">
        <f>SUM(CB9:CB11)</f>
        <v>146798247</v>
      </c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</row>
    <row r="10" spans="1:138">
      <c r="A10" s="505"/>
      <c r="B10" s="600"/>
      <c r="C10" s="232" t="s">
        <v>326</v>
      </c>
      <c r="D10" s="229" t="s">
        <v>206</v>
      </c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28"/>
      <c r="BY10" s="233">
        <f t="shared" si="0"/>
        <v>0</v>
      </c>
      <c r="BZ10" s="597"/>
      <c r="CA10" s="222"/>
      <c r="CB10" s="233">
        <f t="shared" si="1"/>
        <v>0</v>
      </c>
      <c r="CC10" s="597"/>
      <c r="CD10" s="222"/>
      <c r="CE10" s="222">
        <f>BY5+BY11</f>
        <v>65297751</v>
      </c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</row>
    <row r="11" spans="1:138">
      <c r="A11" s="505"/>
      <c r="B11" s="599"/>
      <c r="C11" s="234" t="s">
        <v>213</v>
      </c>
      <c r="D11" s="235" t="s">
        <v>206</v>
      </c>
      <c r="E11" s="236"/>
      <c r="F11" s="236"/>
      <c r="G11" s="236"/>
      <c r="H11" s="236"/>
      <c r="I11" s="236"/>
      <c r="J11" s="236"/>
      <c r="K11" s="236"/>
      <c r="L11" s="236">
        <v>6300000</v>
      </c>
      <c r="M11" s="236">
        <f>22000000+165083</f>
        <v>22165083</v>
      </c>
      <c r="N11" s="236">
        <f>8700000+215833</f>
        <v>8915833</v>
      </c>
      <c r="O11" s="236">
        <f>9600000+271833</f>
        <v>9871833</v>
      </c>
      <c r="P11" s="236">
        <f>1400000+280000</f>
        <v>1680000</v>
      </c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9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4"/>
      <c r="BY11" s="237">
        <f t="shared" si="0"/>
        <v>48932749</v>
      </c>
      <c r="BZ11" s="602"/>
      <c r="CA11" s="241"/>
      <c r="CB11" s="237">
        <f t="shared" si="1"/>
        <v>97865498</v>
      </c>
      <c r="CC11" s="602"/>
      <c r="CD11" s="241"/>
      <c r="CE11" s="241">
        <f>BY11/CE10</f>
        <v>0.74937878028907923</v>
      </c>
      <c r="CF11" s="241">
        <f>BY11/2100000</f>
        <v>23.301309047619046</v>
      </c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</row>
    <row r="12" spans="1:138">
      <c r="A12" s="505"/>
      <c r="B12" s="568" t="s">
        <v>214</v>
      </c>
      <c r="C12" s="228" t="s">
        <v>215</v>
      </c>
      <c r="D12" s="229" t="s">
        <v>206</v>
      </c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>
        <f>SUM(Rentroll!$M$2:$M$4)</f>
        <v>613130.50199999986</v>
      </c>
      <c r="R12" s="230">
        <f>SUM(Rentroll!$M$2:$M$4)</f>
        <v>613130.50199999986</v>
      </c>
      <c r="S12" s="230">
        <f>SUM(Rentroll!$M$2:$M$4)</f>
        <v>613130.50199999986</v>
      </c>
      <c r="T12" s="230">
        <f>SUM(Rentroll!$M$2:$M$4)</f>
        <v>613130.50199999986</v>
      </c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2"/>
      <c r="BY12" s="233">
        <f t="shared" si="0"/>
        <v>2452522.0079999994</v>
      </c>
      <c r="BZ12" s="561">
        <f>SUM(BY12:BY15)</f>
        <v>149004844.43114042</v>
      </c>
      <c r="CA12" s="222"/>
      <c r="CB12" s="233">
        <f t="shared" si="1"/>
        <v>153909888.44714043</v>
      </c>
      <c r="CC12" s="561">
        <f>SUM(CB12:CB15)</f>
        <v>447014533.29342127</v>
      </c>
      <c r="CD12" s="222"/>
      <c r="CE12" s="238">
        <f>BY5/CE10</f>
        <v>0.25062121971092083</v>
      </c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</row>
    <row r="13" spans="1:138">
      <c r="A13" s="505"/>
      <c r="B13" s="600"/>
      <c r="C13" s="228" t="s">
        <v>216</v>
      </c>
      <c r="D13" s="229" t="s">
        <v>206</v>
      </c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>
        <f>Businessplan_prodej!J25</f>
        <v>138882598.15999994</v>
      </c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2"/>
      <c r="BY13" s="233">
        <f t="shared" si="0"/>
        <v>138882598.15999994</v>
      </c>
      <c r="BZ13" s="597"/>
      <c r="CA13" s="222"/>
      <c r="CB13" s="233">
        <f t="shared" si="1"/>
        <v>277765196.31999987</v>
      </c>
      <c r="CC13" s="597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</row>
    <row r="14" spans="1:138">
      <c r="A14" s="505"/>
      <c r="B14" s="600"/>
      <c r="C14" s="228" t="s">
        <v>7</v>
      </c>
      <c r="D14" s="229" t="s">
        <v>217</v>
      </c>
      <c r="E14" s="231"/>
      <c r="F14" s="231"/>
      <c r="G14" s="231"/>
      <c r="H14" s="231"/>
      <c r="I14" s="231">
        <v>6227</v>
      </c>
      <c r="J14" s="231">
        <f t="shared" ref="J14:O14" si="2">-(SUM(H23,H37)-SUM(H23,H37)/1.21)</f>
        <v>19650.654545454541</v>
      </c>
      <c r="K14" s="231">
        <f t="shared" si="2"/>
        <v>135544.58677685948</v>
      </c>
      <c r="L14" s="231">
        <f t="shared" si="2"/>
        <v>328453.07443801663</v>
      </c>
      <c r="M14" s="231">
        <f t="shared" si="2"/>
        <v>130461.74272727268</v>
      </c>
      <c r="N14" s="231">
        <f t="shared" si="2"/>
        <v>60539.3947107438</v>
      </c>
      <c r="O14" s="231">
        <f t="shared" si="2"/>
        <v>60539.3947107438</v>
      </c>
      <c r="P14" s="231">
        <f>-O15+7000000-(SUM(N23,N37)-SUM(N23,N37)/1.21)</f>
        <v>-1409460.6052892562</v>
      </c>
      <c r="Q14" s="231">
        <f>-(SUM(O23,O37)-SUM(O23,O37)/1.21)</f>
        <v>111583.86371074372</v>
      </c>
      <c r="R14" s="231">
        <f>-(SUM(Rentroll!$H$2:$H$4)+Rentroll!$K$2)-(SUM(P23,P37)-SUM(P23,P37)/1.21)</f>
        <v>-41591.408611570281</v>
      </c>
      <c r="S14" s="231">
        <f>-(SUM(Rentroll!$H$2:$H$4)+Rentroll!$K$2)-(SUM(Q23,Q37)-SUM(Q23,Q37)/1.21)</f>
        <v>-101111.71728925619</v>
      </c>
      <c r="T14" s="231">
        <f>-(SUM(Rentroll!$H$2:$H$4)+Rentroll!$K$2)-(SUM(R23,R37)-SUM(R23,R37)/1.21)</f>
        <v>-101111.71728925619</v>
      </c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28"/>
      <c r="BY14" s="233">
        <f t="shared" si="0"/>
        <v>-800275.73685950413</v>
      </c>
      <c r="BZ14" s="597"/>
      <c r="CA14" s="222"/>
      <c r="CB14" s="233">
        <f t="shared" si="1"/>
        <v>-1600551.4737190083</v>
      </c>
      <c r="CC14" s="597"/>
      <c r="CD14" s="222"/>
      <c r="CE14" s="222">
        <f>51450000</f>
        <v>51450000</v>
      </c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</row>
    <row r="15" spans="1:138">
      <c r="A15" s="505"/>
      <c r="B15" s="599"/>
      <c r="C15" s="234" t="s">
        <v>218</v>
      </c>
      <c r="D15" s="235" t="s">
        <v>217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>
        <f>7000000*1.21</f>
        <v>8470000</v>
      </c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4"/>
      <c r="BY15" s="237">
        <f t="shared" si="0"/>
        <v>8470000</v>
      </c>
      <c r="BZ15" s="602"/>
      <c r="CA15" s="222"/>
      <c r="CB15" s="237">
        <f t="shared" si="1"/>
        <v>16940000</v>
      </c>
      <c r="CC15" s="602"/>
      <c r="CD15" s="222"/>
      <c r="CE15" s="222">
        <f>CE14/24.5</f>
        <v>2100000</v>
      </c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</row>
    <row r="16" spans="1:138" ht="15.95">
      <c r="A16" s="505"/>
      <c r="B16" s="569" t="s">
        <v>219</v>
      </c>
      <c r="C16" s="592"/>
      <c r="D16" s="242"/>
      <c r="E16" s="243">
        <f t="shared" ref="E16:BX16" si="3">SUM(E5:E15)</f>
        <v>0</v>
      </c>
      <c r="F16" s="243">
        <f t="shared" si="3"/>
        <v>0</v>
      </c>
      <c r="G16" s="243">
        <f t="shared" si="3"/>
        <v>0</v>
      </c>
      <c r="H16" s="243">
        <f t="shared" si="3"/>
        <v>16365002</v>
      </c>
      <c r="I16" s="243">
        <f t="shared" si="3"/>
        <v>6227</v>
      </c>
      <c r="J16" s="243">
        <f t="shared" si="3"/>
        <v>7890317.6545454543</v>
      </c>
      <c r="K16" s="243">
        <f t="shared" si="3"/>
        <v>135544.58677685948</v>
      </c>
      <c r="L16" s="243">
        <f t="shared" si="3"/>
        <v>6628453.0744380169</v>
      </c>
      <c r="M16" s="243">
        <f t="shared" si="3"/>
        <v>22295544.742727272</v>
      </c>
      <c r="N16" s="243">
        <f t="shared" si="3"/>
        <v>8976372.3947107438</v>
      </c>
      <c r="O16" s="243">
        <f t="shared" si="3"/>
        <v>18402372.394710742</v>
      </c>
      <c r="P16" s="243">
        <f t="shared" si="3"/>
        <v>270539.3947107438</v>
      </c>
      <c r="Q16" s="243">
        <f t="shared" si="3"/>
        <v>724714.36571074359</v>
      </c>
      <c r="R16" s="243">
        <f t="shared" si="3"/>
        <v>571539.09338842961</v>
      </c>
      <c r="S16" s="243">
        <f t="shared" si="3"/>
        <v>512018.7847107437</v>
      </c>
      <c r="T16" s="243">
        <f t="shared" si="3"/>
        <v>139394616.94471067</v>
      </c>
      <c r="U16" s="243">
        <f t="shared" si="3"/>
        <v>0</v>
      </c>
      <c r="V16" s="243">
        <f t="shared" si="3"/>
        <v>0</v>
      </c>
      <c r="W16" s="243">
        <f t="shared" si="3"/>
        <v>0</v>
      </c>
      <c r="X16" s="243">
        <f t="shared" si="3"/>
        <v>0</v>
      </c>
      <c r="Y16" s="243">
        <f t="shared" si="3"/>
        <v>0</v>
      </c>
      <c r="Z16" s="243">
        <f t="shared" si="3"/>
        <v>0</v>
      </c>
      <c r="AA16" s="243">
        <f t="shared" si="3"/>
        <v>0</v>
      </c>
      <c r="AB16" s="243">
        <f t="shared" si="3"/>
        <v>0</v>
      </c>
      <c r="AC16" s="243">
        <f t="shared" si="3"/>
        <v>0</v>
      </c>
      <c r="AD16" s="243">
        <f t="shared" si="3"/>
        <v>0</v>
      </c>
      <c r="AE16" s="243">
        <f t="shared" si="3"/>
        <v>0</v>
      </c>
      <c r="AF16" s="243">
        <f t="shared" si="3"/>
        <v>0</v>
      </c>
      <c r="AG16" s="243">
        <f t="shared" si="3"/>
        <v>0</v>
      </c>
      <c r="AH16" s="243">
        <f t="shared" si="3"/>
        <v>0</v>
      </c>
      <c r="AI16" s="243">
        <f t="shared" si="3"/>
        <v>0</v>
      </c>
      <c r="AJ16" s="243">
        <f t="shared" si="3"/>
        <v>0</v>
      </c>
      <c r="AK16" s="243">
        <f t="shared" si="3"/>
        <v>0</v>
      </c>
      <c r="AL16" s="243">
        <f t="shared" si="3"/>
        <v>0</v>
      </c>
      <c r="AM16" s="243">
        <f t="shared" si="3"/>
        <v>0</v>
      </c>
      <c r="AN16" s="243">
        <f t="shared" si="3"/>
        <v>0</v>
      </c>
      <c r="AO16" s="243">
        <f t="shared" si="3"/>
        <v>0</v>
      </c>
      <c r="AP16" s="243">
        <f t="shared" si="3"/>
        <v>0</v>
      </c>
      <c r="AQ16" s="243">
        <f t="shared" si="3"/>
        <v>0</v>
      </c>
      <c r="AR16" s="243">
        <f t="shared" si="3"/>
        <v>0</v>
      </c>
      <c r="AS16" s="243">
        <f t="shared" si="3"/>
        <v>0</v>
      </c>
      <c r="AT16" s="243">
        <f t="shared" si="3"/>
        <v>0</v>
      </c>
      <c r="AU16" s="243">
        <f t="shared" si="3"/>
        <v>0</v>
      </c>
      <c r="AV16" s="243">
        <f t="shared" si="3"/>
        <v>0</v>
      </c>
      <c r="AW16" s="243">
        <f t="shared" si="3"/>
        <v>0</v>
      </c>
      <c r="AX16" s="243">
        <f t="shared" si="3"/>
        <v>0</v>
      </c>
      <c r="AY16" s="243">
        <f t="shared" si="3"/>
        <v>0</v>
      </c>
      <c r="AZ16" s="243">
        <f t="shared" si="3"/>
        <v>0</v>
      </c>
      <c r="BA16" s="243">
        <f t="shared" si="3"/>
        <v>0</v>
      </c>
      <c r="BB16" s="243">
        <f t="shared" si="3"/>
        <v>0</v>
      </c>
      <c r="BC16" s="243">
        <f t="shared" si="3"/>
        <v>0</v>
      </c>
      <c r="BD16" s="243">
        <f t="shared" si="3"/>
        <v>0</v>
      </c>
      <c r="BE16" s="243">
        <f t="shared" si="3"/>
        <v>0</v>
      </c>
      <c r="BF16" s="243">
        <f t="shared" si="3"/>
        <v>0</v>
      </c>
      <c r="BG16" s="243">
        <f t="shared" si="3"/>
        <v>0</v>
      </c>
      <c r="BH16" s="243">
        <f t="shared" si="3"/>
        <v>0</v>
      </c>
      <c r="BI16" s="243">
        <f t="shared" si="3"/>
        <v>0</v>
      </c>
      <c r="BJ16" s="243">
        <f t="shared" si="3"/>
        <v>0</v>
      </c>
      <c r="BK16" s="243">
        <f t="shared" si="3"/>
        <v>0</v>
      </c>
      <c r="BL16" s="243">
        <f t="shared" si="3"/>
        <v>0</v>
      </c>
      <c r="BM16" s="243">
        <f t="shared" si="3"/>
        <v>0</v>
      </c>
      <c r="BN16" s="243">
        <f t="shared" si="3"/>
        <v>0</v>
      </c>
      <c r="BO16" s="243">
        <f t="shared" si="3"/>
        <v>0</v>
      </c>
      <c r="BP16" s="243">
        <f t="shared" si="3"/>
        <v>0</v>
      </c>
      <c r="BQ16" s="243">
        <f t="shared" si="3"/>
        <v>0</v>
      </c>
      <c r="BR16" s="243">
        <f t="shared" si="3"/>
        <v>0</v>
      </c>
      <c r="BS16" s="243">
        <f t="shared" si="3"/>
        <v>0</v>
      </c>
      <c r="BT16" s="243">
        <f t="shared" si="3"/>
        <v>0</v>
      </c>
      <c r="BU16" s="243">
        <f t="shared" si="3"/>
        <v>0</v>
      </c>
      <c r="BV16" s="243">
        <f t="shared" si="3"/>
        <v>0</v>
      </c>
      <c r="BW16" s="243">
        <f t="shared" si="3"/>
        <v>0</v>
      </c>
      <c r="BX16" s="243">
        <f t="shared" si="3"/>
        <v>0</v>
      </c>
      <c r="BY16" s="563">
        <f>BZ5+BZ9+BZ12</f>
        <v>222173262.43114042</v>
      </c>
      <c r="BZ16" s="592"/>
      <c r="CA16" s="222"/>
      <c r="CB16" s="563">
        <f>CC5+CC9+CC12</f>
        <v>727840454.29342127</v>
      </c>
      <c r="CC16" s="59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</row>
    <row r="17" spans="1:138" ht="15.95">
      <c r="A17" s="505"/>
      <c r="B17" s="570" t="s">
        <v>220</v>
      </c>
      <c r="C17" s="244" t="s">
        <v>221</v>
      </c>
      <c r="D17" s="245"/>
      <c r="E17" s="246">
        <f t="shared" ref="E17:BY17" si="4">SUM(E18:E22)</f>
        <v>0</v>
      </c>
      <c r="F17" s="246">
        <f t="shared" si="4"/>
        <v>0</v>
      </c>
      <c r="G17" s="246">
        <f t="shared" si="4"/>
        <v>0</v>
      </c>
      <c r="H17" s="246">
        <f t="shared" si="4"/>
        <v>-10620712</v>
      </c>
      <c r="I17" s="246">
        <f t="shared" si="4"/>
        <v>0</v>
      </c>
      <c r="J17" s="246">
        <f t="shared" si="4"/>
        <v>-808330</v>
      </c>
      <c r="K17" s="246">
        <f t="shared" si="4"/>
        <v>0</v>
      </c>
      <c r="L17" s="246">
        <f t="shared" si="4"/>
        <v>0</v>
      </c>
      <c r="M17" s="246">
        <f t="shared" si="4"/>
        <v>0</v>
      </c>
      <c r="N17" s="246">
        <f t="shared" si="4"/>
        <v>0</v>
      </c>
      <c r="O17" s="246">
        <f t="shared" si="4"/>
        <v>0</v>
      </c>
      <c r="P17" s="246">
        <f t="shared" si="4"/>
        <v>0</v>
      </c>
      <c r="Q17" s="246">
        <f t="shared" si="4"/>
        <v>0</v>
      </c>
      <c r="R17" s="246">
        <f t="shared" si="4"/>
        <v>0</v>
      </c>
      <c r="S17" s="246">
        <f t="shared" si="4"/>
        <v>0</v>
      </c>
      <c r="T17" s="246">
        <f t="shared" si="4"/>
        <v>0</v>
      </c>
      <c r="U17" s="246">
        <f t="shared" si="4"/>
        <v>0</v>
      </c>
      <c r="V17" s="246">
        <f t="shared" si="4"/>
        <v>0</v>
      </c>
      <c r="W17" s="246">
        <f t="shared" si="4"/>
        <v>0</v>
      </c>
      <c r="X17" s="246">
        <f t="shared" si="4"/>
        <v>0</v>
      </c>
      <c r="Y17" s="246">
        <f t="shared" si="4"/>
        <v>0</v>
      </c>
      <c r="Z17" s="246">
        <f t="shared" si="4"/>
        <v>0</v>
      </c>
      <c r="AA17" s="246">
        <f t="shared" si="4"/>
        <v>0</v>
      </c>
      <c r="AB17" s="246">
        <f t="shared" si="4"/>
        <v>0</v>
      </c>
      <c r="AC17" s="246">
        <f t="shared" si="4"/>
        <v>0</v>
      </c>
      <c r="AD17" s="246">
        <f t="shared" si="4"/>
        <v>0</v>
      </c>
      <c r="AE17" s="246">
        <f t="shared" si="4"/>
        <v>0</v>
      </c>
      <c r="AF17" s="246">
        <f t="shared" si="4"/>
        <v>0</v>
      </c>
      <c r="AG17" s="246">
        <f t="shared" si="4"/>
        <v>0</v>
      </c>
      <c r="AH17" s="246">
        <f t="shared" si="4"/>
        <v>0</v>
      </c>
      <c r="AI17" s="246">
        <f t="shared" si="4"/>
        <v>0</v>
      </c>
      <c r="AJ17" s="246">
        <f t="shared" si="4"/>
        <v>0</v>
      </c>
      <c r="AK17" s="246">
        <f t="shared" si="4"/>
        <v>0</v>
      </c>
      <c r="AL17" s="246">
        <f t="shared" si="4"/>
        <v>0</v>
      </c>
      <c r="AM17" s="246">
        <f t="shared" si="4"/>
        <v>0</v>
      </c>
      <c r="AN17" s="246">
        <f t="shared" si="4"/>
        <v>0</v>
      </c>
      <c r="AO17" s="246">
        <f t="shared" si="4"/>
        <v>0</v>
      </c>
      <c r="AP17" s="246">
        <f t="shared" si="4"/>
        <v>0</v>
      </c>
      <c r="AQ17" s="246">
        <f t="shared" si="4"/>
        <v>0</v>
      </c>
      <c r="AR17" s="246">
        <f t="shared" si="4"/>
        <v>0</v>
      </c>
      <c r="AS17" s="246">
        <f t="shared" si="4"/>
        <v>0</v>
      </c>
      <c r="AT17" s="246">
        <f t="shared" si="4"/>
        <v>0</v>
      </c>
      <c r="AU17" s="246">
        <f t="shared" si="4"/>
        <v>0</v>
      </c>
      <c r="AV17" s="246">
        <f t="shared" si="4"/>
        <v>0</v>
      </c>
      <c r="AW17" s="246">
        <f t="shared" si="4"/>
        <v>0</v>
      </c>
      <c r="AX17" s="246">
        <f t="shared" si="4"/>
        <v>0</v>
      </c>
      <c r="AY17" s="246">
        <f t="shared" si="4"/>
        <v>0</v>
      </c>
      <c r="AZ17" s="246">
        <f t="shared" si="4"/>
        <v>0</v>
      </c>
      <c r="BA17" s="246">
        <f t="shared" si="4"/>
        <v>0</v>
      </c>
      <c r="BB17" s="246">
        <f t="shared" si="4"/>
        <v>0</v>
      </c>
      <c r="BC17" s="246">
        <f t="shared" si="4"/>
        <v>0</v>
      </c>
      <c r="BD17" s="246">
        <f t="shared" si="4"/>
        <v>0</v>
      </c>
      <c r="BE17" s="246">
        <f t="shared" si="4"/>
        <v>0</v>
      </c>
      <c r="BF17" s="246">
        <f t="shared" si="4"/>
        <v>0</v>
      </c>
      <c r="BG17" s="246">
        <f t="shared" si="4"/>
        <v>0</v>
      </c>
      <c r="BH17" s="246">
        <f t="shared" si="4"/>
        <v>0</v>
      </c>
      <c r="BI17" s="246">
        <f t="shared" si="4"/>
        <v>0</v>
      </c>
      <c r="BJ17" s="246">
        <f t="shared" si="4"/>
        <v>0</v>
      </c>
      <c r="BK17" s="246">
        <f t="shared" si="4"/>
        <v>0</v>
      </c>
      <c r="BL17" s="246">
        <f t="shared" si="4"/>
        <v>0</v>
      </c>
      <c r="BM17" s="246">
        <f t="shared" si="4"/>
        <v>0</v>
      </c>
      <c r="BN17" s="246">
        <f t="shared" si="4"/>
        <v>0</v>
      </c>
      <c r="BO17" s="246">
        <f t="shared" si="4"/>
        <v>0</v>
      </c>
      <c r="BP17" s="246">
        <f t="shared" si="4"/>
        <v>0</v>
      </c>
      <c r="BQ17" s="246">
        <f t="shared" si="4"/>
        <v>0</v>
      </c>
      <c r="BR17" s="246">
        <f t="shared" si="4"/>
        <v>0</v>
      </c>
      <c r="BS17" s="246">
        <f t="shared" si="4"/>
        <v>0</v>
      </c>
      <c r="BT17" s="246">
        <f t="shared" si="4"/>
        <v>0</v>
      </c>
      <c r="BU17" s="246">
        <f t="shared" si="4"/>
        <v>0</v>
      </c>
      <c r="BV17" s="246">
        <f t="shared" si="4"/>
        <v>0</v>
      </c>
      <c r="BW17" s="246">
        <f t="shared" si="4"/>
        <v>0</v>
      </c>
      <c r="BX17" s="246">
        <f t="shared" si="4"/>
        <v>0</v>
      </c>
      <c r="BY17" s="247">
        <f t="shared" si="4"/>
        <v>-11429042</v>
      </c>
      <c r="BZ17" s="562" t="e">
        <f>BY17+BY23+BY26+BY34+BY37+BY47+BY53+BY61+BY85</f>
        <v>#REF!</v>
      </c>
      <c r="CA17" s="222"/>
      <c r="CB17" s="248"/>
      <c r="CC17" s="56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</row>
    <row r="18" spans="1:138" ht="15.95" outlineLevel="1">
      <c r="A18" s="505"/>
      <c r="B18" s="600"/>
      <c r="C18" s="249" t="s">
        <v>327</v>
      </c>
      <c r="D18" s="250" t="s">
        <v>223</v>
      </c>
      <c r="E18" s="251"/>
      <c r="F18" s="251"/>
      <c r="G18" s="251"/>
      <c r="H18" s="251">
        <f>-8458812-2161900</f>
        <v>-10620712</v>
      </c>
      <c r="I18" s="251"/>
      <c r="J18" s="251">
        <f>-657293-151037</f>
        <v>-808330</v>
      </c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3">
        <f t="shared" ref="BY18:BY22" si="5">SUM(E18:BX18)</f>
        <v>-11429042</v>
      </c>
      <c r="BZ18" s="597"/>
      <c r="CA18" s="222"/>
      <c r="CB18" s="248"/>
      <c r="CC18" s="597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</row>
    <row r="19" spans="1:138" ht="15.95" outlineLevel="1">
      <c r="A19" s="505"/>
      <c r="B19" s="600"/>
      <c r="C19" s="249" t="s">
        <v>224</v>
      </c>
      <c r="D19" s="250" t="s">
        <v>223</v>
      </c>
      <c r="E19" s="251"/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3">
        <f t="shared" si="5"/>
        <v>0</v>
      </c>
      <c r="BZ19" s="597"/>
      <c r="CA19" s="222"/>
      <c r="CB19" s="248"/>
      <c r="CC19" s="597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</row>
    <row r="20" spans="1:138" ht="15.95" outlineLevel="1">
      <c r="A20" s="505"/>
      <c r="B20" s="600"/>
      <c r="C20" s="249" t="s">
        <v>225</v>
      </c>
      <c r="D20" s="250" t="s">
        <v>223</v>
      </c>
      <c r="E20" s="251"/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3">
        <f t="shared" si="5"/>
        <v>0</v>
      </c>
      <c r="BZ20" s="597"/>
      <c r="CA20" s="222"/>
      <c r="CB20" s="248"/>
      <c r="CC20" s="597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</row>
    <row r="21" spans="1:138" ht="15.95" outlineLevel="1">
      <c r="A21" s="505"/>
      <c r="B21" s="600"/>
      <c r="C21" s="249" t="s">
        <v>226</v>
      </c>
      <c r="D21" s="250" t="s">
        <v>223</v>
      </c>
      <c r="E21" s="251"/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3">
        <f t="shared" si="5"/>
        <v>0</v>
      </c>
      <c r="BZ21" s="597"/>
      <c r="CA21" s="222"/>
      <c r="CB21" s="248"/>
      <c r="CC21" s="597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</row>
    <row r="22" spans="1:138" ht="15.95" outlineLevel="1">
      <c r="A22" s="505"/>
      <c r="B22" s="600"/>
      <c r="C22" s="249" t="s">
        <v>227</v>
      </c>
      <c r="D22" s="254" t="s">
        <v>223</v>
      </c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3">
        <f t="shared" si="5"/>
        <v>0</v>
      </c>
      <c r="BZ22" s="597"/>
      <c r="CA22" s="222"/>
      <c r="CB22" s="248"/>
      <c r="CC22" s="597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</row>
    <row r="23" spans="1:138" ht="15.95">
      <c r="A23" s="505"/>
      <c r="B23" s="600"/>
      <c r="C23" s="244" t="s">
        <v>228</v>
      </c>
      <c r="D23" s="245"/>
      <c r="E23" s="246">
        <f t="shared" ref="E23:BY23" si="6">SUM(E24:E25)</f>
        <v>0</v>
      </c>
      <c r="F23" s="246">
        <f t="shared" si="6"/>
        <v>0</v>
      </c>
      <c r="G23" s="246">
        <f t="shared" si="6"/>
        <v>0</v>
      </c>
      <c r="H23" s="246">
        <f t="shared" si="6"/>
        <v>0</v>
      </c>
      <c r="I23" s="246">
        <f t="shared" si="6"/>
        <v>-366025</v>
      </c>
      <c r="J23" s="246">
        <f t="shared" si="6"/>
        <v>0</v>
      </c>
      <c r="K23" s="246">
        <f t="shared" si="6"/>
        <v>-367549.6</v>
      </c>
      <c r="L23" s="246">
        <f t="shared" si="6"/>
        <v>0</v>
      </c>
      <c r="M23" s="246">
        <f t="shared" si="6"/>
        <v>0</v>
      </c>
      <c r="N23" s="246">
        <f t="shared" si="6"/>
        <v>0</v>
      </c>
      <c r="O23" s="246">
        <f t="shared" si="6"/>
        <v>0</v>
      </c>
      <c r="P23" s="246">
        <f t="shared" si="6"/>
        <v>0</v>
      </c>
      <c r="Q23" s="246">
        <f t="shared" si="6"/>
        <v>0</v>
      </c>
      <c r="R23" s="246">
        <f t="shared" si="6"/>
        <v>0</v>
      </c>
      <c r="S23" s="246">
        <f t="shared" si="6"/>
        <v>0</v>
      </c>
      <c r="T23" s="246">
        <f t="shared" si="6"/>
        <v>0</v>
      </c>
      <c r="U23" s="246">
        <f t="shared" si="6"/>
        <v>0</v>
      </c>
      <c r="V23" s="246">
        <f t="shared" si="6"/>
        <v>0</v>
      </c>
      <c r="W23" s="246">
        <f t="shared" si="6"/>
        <v>0</v>
      </c>
      <c r="X23" s="246">
        <f t="shared" si="6"/>
        <v>0</v>
      </c>
      <c r="Y23" s="246">
        <f t="shared" si="6"/>
        <v>0</v>
      </c>
      <c r="Z23" s="246">
        <f t="shared" si="6"/>
        <v>0</v>
      </c>
      <c r="AA23" s="246">
        <f t="shared" si="6"/>
        <v>0</v>
      </c>
      <c r="AB23" s="246">
        <f t="shared" si="6"/>
        <v>0</v>
      </c>
      <c r="AC23" s="246">
        <f t="shared" si="6"/>
        <v>0</v>
      </c>
      <c r="AD23" s="246">
        <f t="shared" si="6"/>
        <v>0</v>
      </c>
      <c r="AE23" s="246">
        <f t="shared" si="6"/>
        <v>0</v>
      </c>
      <c r="AF23" s="246">
        <f t="shared" si="6"/>
        <v>0</v>
      </c>
      <c r="AG23" s="246">
        <f t="shared" si="6"/>
        <v>0</v>
      </c>
      <c r="AH23" s="246">
        <f t="shared" si="6"/>
        <v>0</v>
      </c>
      <c r="AI23" s="246">
        <f t="shared" si="6"/>
        <v>0</v>
      </c>
      <c r="AJ23" s="246">
        <f t="shared" si="6"/>
        <v>0</v>
      </c>
      <c r="AK23" s="246">
        <f t="shared" si="6"/>
        <v>0</v>
      </c>
      <c r="AL23" s="246">
        <f t="shared" si="6"/>
        <v>0</v>
      </c>
      <c r="AM23" s="246">
        <f t="shared" si="6"/>
        <v>0</v>
      </c>
      <c r="AN23" s="246">
        <f t="shared" si="6"/>
        <v>0</v>
      </c>
      <c r="AO23" s="246">
        <f t="shared" si="6"/>
        <v>0</v>
      </c>
      <c r="AP23" s="246">
        <f t="shared" si="6"/>
        <v>0</v>
      </c>
      <c r="AQ23" s="246">
        <f t="shared" si="6"/>
        <v>0</v>
      </c>
      <c r="AR23" s="246">
        <f t="shared" si="6"/>
        <v>0</v>
      </c>
      <c r="AS23" s="246">
        <f t="shared" si="6"/>
        <v>0</v>
      </c>
      <c r="AT23" s="246">
        <f t="shared" si="6"/>
        <v>0</v>
      </c>
      <c r="AU23" s="246">
        <f t="shared" si="6"/>
        <v>0</v>
      </c>
      <c r="AV23" s="246">
        <f t="shared" si="6"/>
        <v>0</v>
      </c>
      <c r="AW23" s="246">
        <f t="shared" si="6"/>
        <v>0</v>
      </c>
      <c r="AX23" s="246">
        <f t="shared" si="6"/>
        <v>0</v>
      </c>
      <c r="AY23" s="246">
        <f t="shared" si="6"/>
        <v>0</v>
      </c>
      <c r="AZ23" s="246">
        <f t="shared" si="6"/>
        <v>0</v>
      </c>
      <c r="BA23" s="246">
        <f t="shared" si="6"/>
        <v>0</v>
      </c>
      <c r="BB23" s="246">
        <f t="shared" si="6"/>
        <v>0</v>
      </c>
      <c r="BC23" s="246">
        <f t="shared" si="6"/>
        <v>0</v>
      </c>
      <c r="BD23" s="246">
        <f t="shared" si="6"/>
        <v>0</v>
      </c>
      <c r="BE23" s="246">
        <f t="shared" si="6"/>
        <v>0</v>
      </c>
      <c r="BF23" s="246">
        <f t="shared" si="6"/>
        <v>0</v>
      </c>
      <c r="BG23" s="246">
        <f t="shared" si="6"/>
        <v>0</v>
      </c>
      <c r="BH23" s="246">
        <f t="shared" si="6"/>
        <v>0</v>
      </c>
      <c r="BI23" s="246">
        <f t="shared" si="6"/>
        <v>0</v>
      </c>
      <c r="BJ23" s="246">
        <f t="shared" si="6"/>
        <v>0</v>
      </c>
      <c r="BK23" s="246">
        <f t="shared" si="6"/>
        <v>0</v>
      </c>
      <c r="BL23" s="246">
        <f t="shared" si="6"/>
        <v>0</v>
      </c>
      <c r="BM23" s="246">
        <f t="shared" si="6"/>
        <v>0</v>
      </c>
      <c r="BN23" s="246">
        <f t="shared" si="6"/>
        <v>0</v>
      </c>
      <c r="BO23" s="246">
        <f t="shared" si="6"/>
        <v>0</v>
      </c>
      <c r="BP23" s="246">
        <f t="shared" si="6"/>
        <v>0</v>
      </c>
      <c r="BQ23" s="246">
        <f t="shared" si="6"/>
        <v>0</v>
      </c>
      <c r="BR23" s="246">
        <f t="shared" si="6"/>
        <v>0</v>
      </c>
      <c r="BS23" s="246">
        <f t="shared" si="6"/>
        <v>0</v>
      </c>
      <c r="BT23" s="246">
        <f t="shared" si="6"/>
        <v>0</v>
      </c>
      <c r="BU23" s="246">
        <f t="shared" si="6"/>
        <v>0</v>
      </c>
      <c r="BV23" s="246">
        <f t="shared" si="6"/>
        <v>0</v>
      </c>
      <c r="BW23" s="246">
        <f t="shared" si="6"/>
        <v>0</v>
      </c>
      <c r="BX23" s="246">
        <f t="shared" si="6"/>
        <v>0</v>
      </c>
      <c r="BY23" s="247">
        <f t="shared" si="6"/>
        <v>-733574.6</v>
      </c>
      <c r="BZ23" s="597"/>
      <c r="CA23" s="222"/>
      <c r="CB23" s="248"/>
      <c r="CC23" s="597"/>
      <c r="CD23" s="222"/>
      <c r="CE23" s="222">
        <f>7000000*1.21</f>
        <v>8470000</v>
      </c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</row>
    <row r="24" spans="1:138" ht="15.95" outlineLevel="1">
      <c r="A24" s="505"/>
      <c r="B24" s="600"/>
      <c r="C24" s="249" t="s">
        <v>229</v>
      </c>
      <c r="D24" s="254" t="s">
        <v>223</v>
      </c>
      <c r="E24" s="255"/>
      <c r="F24" s="255"/>
      <c r="G24" s="255"/>
      <c r="H24" s="255"/>
      <c r="I24" s="255">
        <f>-302500*1.21</f>
        <v>-366025</v>
      </c>
      <c r="J24" s="255"/>
      <c r="K24" s="255">
        <f>-152500*1.21</f>
        <v>-184525</v>
      </c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7">
        <f t="shared" ref="BY24:BY25" si="7">SUM(E24:BX24)</f>
        <v>-550550</v>
      </c>
      <c r="BZ24" s="597"/>
      <c r="CA24" s="222"/>
      <c r="CB24" s="248"/>
      <c r="CC24" s="597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</row>
    <row r="25" spans="1:138" ht="15.95" outlineLevel="1">
      <c r="A25" s="505"/>
      <c r="B25" s="600"/>
      <c r="C25" s="249" t="s">
        <v>230</v>
      </c>
      <c r="D25" s="254" t="s">
        <v>223</v>
      </c>
      <c r="E25" s="255"/>
      <c r="F25" s="255"/>
      <c r="G25" s="255"/>
      <c r="H25" s="255"/>
      <c r="I25" s="255"/>
      <c r="J25" s="255"/>
      <c r="K25" s="255">
        <f>-Businessplan_prodej!$F$22*1.21</f>
        <v>-183024.6</v>
      </c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7">
        <f t="shared" si="7"/>
        <v>-183024.6</v>
      </c>
      <c r="BZ25" s="597"/>
      <c r="CA25" s="222"/>
      <c r="CB25" s="248"/>
      <c r="CC25" s="597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</row>
    <row r="26" spans="1:138" ht="15.95">
      <c r="A26" s="505"/>
      <c r="B26" s="600"/>
      <c r="C26" s="244" t="s">
        <v>231</v>
      </c>
      <c r="D26" s="245"/>
      <c r="E26" s="246">
        <f t="shared" ref="E26:BX26" si="8">SUM(E27:E33)</f>
        <v>0</v>
      </c>
      <c r="F26" s="246">
        <f t="shared" si="8"/>
        <v>0</v>
      </c>
      <c r="G26" s="246">
        <f t="shared" si="8"/>
        <v>0</v>
      </c>
      <c r="H26" s="246">
        <f t="shared" si="8"/>
        <v>-2420</v>
      </c>
      <c r="I26" s="246">
        <f t="shared" si="8"/>
        <v>-1081909</v>
      </c>
      <c r="J26" s="246">
        <f t="shared" si="8"/>
        <v>0</v>
      </c>
      <c r="K26" s="246">
        <f t="shared" si="8"/>
        <v>-7031181</v>
      </c>
      <c r="L26" s="246">
        <f t="shared" si="8"/>
        <v>-7899681</v>
      </c>
      <c r="M26" s="246">
        <f t="shared" si="8"/>
        <v>-21093542</v>
      </c>
      <c r="N26" s="246">
        <f t="shared" si="8"/>
        <v>-8788976</v>
      </c>
      <c r="O26" s="246">
        <f t="shared" si="8"/>
        <v>-8788977</v>
      </c>
      <c r="P26" s="246">
        <f t="shared" si="8"/>
        <v>-5859318</v>
      </c>
      <c r="Q26" s="246">
        <f t="shared" si="8"/>
        <v>0</v>
      </c>
      <c r="R26" s="246">
        <f t="shared" si="8"/>
        <v>0</v>
      </c>
      <c r="S26" s="246">
        <f t="shared" si="8"/>
        <v>0</v>
      </c>
      <c r="T26" s="246">
        <f t="shared" si="8"/>
        <v>0</v>
      </c>
      <c r="U26" s="246">
        <f t="shared" si="8"/>
        <v>0</v>
      </c>
      <c r="V26" s="246">
        <f t="shared" si="8"/>
        <v>0</v>
      </c>
      <c r="W26" s="246">
        <f t="shared" si="8"/>
        <v>0</v>
      </c>
      <c r="X26" s="246">
        <f t="shared" si="8"/>
        <v>0</v>
      </c>
      <c r="Y26" s="246">
        <f t="shared" si="8"/>
        <v>0</v>
      </c>
      <c r="Z26" s="246">
        <f t="shared" si="8"/>
        <v>0</v>
      </c>
      <c r="AA26" s="246">
        <f t="shared" si="8"/>
        <v>0</v>
      </c>
      <c r="AB26" s="246">
        <f t="shared" si="8"/>
        <v>0</v>
      </c>
      <c r="AC26" s="246">
        <f t="shared" si="8"/>
        <v>0</v>
      </c>
      <c r="AD26" s="246">
        <f t="shared" si="8"/>
        <v>0</v>
      </c>
      <c r="AE26" s="246">
        <f t="shared" si="8"/>
        <v>0</v>
      </c>
      <c r="AF26" s="246">
        <f t="shared" si="8"/>
        <v>0</v>
      </c>
      <c r="AG26" s="246">
        <f t="shared" si="8"/>
        <v>0</v>
      </c>
      <c r="AH26" s="246">
        <f t="shared" si="8"/>
        <v>0</v>
      </c>
      <c r="AI26" s="246">
        <f t="shared" si="8"/>
        <v>0</v>
      </c>
      <c r="AJ26" s="246">
        <f t="shared" si="8"/>
        <v>0</v>
      </c>
      <c r="AK26" s="246">
        <f t="shared" si="8"/>
        <v>0</v>
      </c>
      <c r="AL26" s="246">
        <f t="shared" si="8"/>
        <v>0</v>
      </c>
      <c r="AM26" s="246">
        <f t="shared" si="8"/>
        <v>0</v>
      </c>
      <c r="AN26" s="246">
        <f t="shared" si="8"/>
        <v>0</v>
      </c>
      <c r="AO26" s="246">
        <f t="shared" si="8"/>
        <v>0</v>
      </c>
      <c r="AP26" s="246">
        <f t="shared" si="8"/>
        <v>0</v>
      </c>
      <c r="AQ26" s="246">
        <f t="shared" si="8"/>
        <v>0</v>
      </c>
      <c r="AR26" s="246">
        <f t="shared" si="8"/>
        <v>0</v>
      </c>
      <c r="AS26" s="246">
        <f t="shared" si="8"/>
        <v>0</v>
      </c>
      <c r="AT26" s="246">
        <f t="shared" si="8"/>
        <v>0</v>
      </c>
      <c r="AU26" s="246">
        <f t="shared" si="8"/>
        <v>0</v>
      </c>
      <c r="AV26" s="246">
        <f t="shared" si="8"/>
        <v>0</v>
      </c>
      <c r="AW26" s="246">
        <f t="shared" si="8"/>
        <v>0</v>
      </c>
      <c r="AX26" s="246">
        <f t="shared" si="8"/>
        <v>0</v>
      </c>
      <c r="AY26" s="246">
        <f t="shared" si="8"/>
        <v>0</v>
      </c>
      <c r="AZ26" s="246">
        <f t="shared" si="8"/>
        <v>0</v>
      </c>
      <c r="BA26" s="246">
        <f t="shared" si="8"/>
        <v>0</v>
      </c>
      <c r="BB26" s="246">
        <f t="shared" si="8"/>
        <v>0</v>
      </c>
      <c r="BC26" s="246">
        <f t="shared" si="8"/>
        <v>0</v>
      </c>
      <c r="BD26" s="246">
        <f t="shared" si="8"/>
        <v>0</v>
      </c>
      <c r="BE26" s="246">
        <f t="shared" si="8"/>
        <v>0</v>
      </c>
      <c r="BF26" s="246">
        <f t="shared" si="8"/>
        <v>0</v>
      </c>
      <c r="BG26" s="246">
        <f t="shared" si="8"/>
        <v>0</v>
      </c>
      <c r="BH26" s="246">
        <f t="shared" si="8"/>
        <v>0</v>
      </c>
      <c r="BI26" s="246">
        <f t="shared" si="8"/>
        <v>0</v>
      </c>
      <c r="BJ26" s="246">
        <f t="shared" si="8"/>
        <v>0</v>
      </c>
      <c r="BK26" s="246">
        <f t="shared" si="8"/>
        <v>0</v>
      </c>
      <c r="BL26" s="246">
        <f t="shared" si="8"/>
        <v>0</v>
      </c>
      <c r="BM26" s="246">
        <f t="shared" si="8"/>
        <v>0</v>
      </c>
      <c r="BN26" s="246">
        <f t="shared" si="8"/>
        <v>0</v>
      </c>
      <c r="BO26" s="246">
        <f t="shared" si="8"/>
        <v>0</v>
      </c>
      <c r="BP26" s="246">
        <f t="shared" si="8"/>
        <v>0</v>
      </c>
      <c r="BQ26" s="246">
        <f t="shared" si="8"/>
        <v>0</v>
      </c>
      <c r="BR26" s="246">
        <f t="shared" si="8"/>
        <v>0</v>
      </c>
      <c r="BS26" s="246">
        <f t="shared" si="8"/>
        <v>0</v>
      </c>
      <c r="BT26" s="246">
        <f t="shared" si="8"/>
        <v>0</v>
      </c>
      <c r="BU26" s="246">
        <f t="shared" si="8"/>
        <v>0</v>
      </c>
      <c r="BV26" s="246">
        <f t="shared" si="8"/>
        <v>0</v>
      </c>
      <c r="BW26" s="246">
        <f t="shared" si="8"/>
        <v>0</v>
      </c>
      <c r="BX26" s="246">
        <f t="shared" si="8"/>
        <v>0</v>
      </c>
      <c r="BY26" s="248">
        <f>SUM(BY27:BY33)</f>
        <v>-60546004</v>
      </c>
      <c r="BZ26" s="597"/>
      <c r="CA26" s="222"/>
      <c r="CB26" s="248"/>
      <c r="CC26" s="597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</row>
    <row r="27" spans="1:138" ht="15.95" outlineLevel="1">
      <c r="A27" s="505"/>
      <c r="B27" s="600"/>
      <c r="C27" s="249" t="s">
        <v>232</v>
      </c>
      <c r="D27" s="250" t="s">
        <v>223</v>
      </c>
      <c r="E27" s="251"/>
      <c r="F27" s="251"/>
      <c r="G27" s="251"/>
      <c r="H27" s="251"/>
      <c r="I27" s="251"/>
      <c r="J27" s="251"/>
      <c r="K27" s="251">
        <f t="shared" ref="K27:L27" si="9">-7031181</f>
        <v>-7031181</v>
      </c>
      <c r="L27" s="251">
        <f t="shared" si="9"/>
        <v>-7031181</v>
      </c>
      <c r="M27" s="251">
        <f>-6445249-5859317-5859317-2929659</f>
        <v>-21093542</v>
      </c>
      <c r="N27" s="251">
        <f>-2929659-5859317</f>
        <v>-8788976</v>
      </c>
      <c r="O27" s="251">
        <f>-2929659-2929659-2929659</f>
        <v>-8788977</v>
      </c>
      <c r="P27" s="251">
        <f>-2929659-2929659</f>
        <v>-5859318</v>
      </c>
      <c r="Q27" s="251"/>
      <c r="R27" s="251"/>
      <c r="S27" s="251"/>
      <c r="T27" s="251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60"/>
      <c r="BY27" s="261">
        <f t="shared" ref="BY27:BY33" si="10">SUM(E27:BX27)</f>
        <v>-58593175</v>
      </c>
      <c r="BZ27" s="597"/>
      <c r="CA27" s="222"/>
      <c r="CB27" s="248"/>
      <c r="CC27" s="597"/>
      <c r="CD27" s="222"/>
      <c r="CE27" s="222"/>
      <c r="CF27" s="222"/>
      <c r="CG27" s="222"/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</row>
    <row r="28" spans="1:138" ht="15.95" outlineLevel="1">
      <c r="A28" s="505"/>
      <c r="B28" s="600"/>
      <c r="C28" s="249" t="s">
        <v>233</v>
      </c>
      <c r="D28" s="250" t="s">
        <v>223</v>
      </c>
      <c r="E28" s="251"/>
      <c r="F28" s="251"/>
      <c r="G28" s="251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60"/>
      <c r="BY28" s="262">
        <f t="shared" si="10"/>
        <v>0</v>
      </c>
      <c r="BZ28" s="597"/>
      <c r="CA28" s="222"/>
      <c r="CB28" s="248"/>
      <c r="CC28" s="597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</row>
    <row r="29" spans="1:138" ht="15.95" outlineLevel="1">
      <c r="A29" s="505"/>
      <c r="B29" s="600"/>
      <c r="C29" s="249" t="s">
        <v>234</v>
      </c>
      <c r="D29" s="250" t="s">
        <v>223</v>
      </c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60"/>
      <c r="BY29" s="262">
        <f t="shared" si="10"/>
        <v>0</v>
      </c>
      <c r="BZ29" s="597"/>
      <c r="CA29" s="222"/>
      <c r="CB29" s="248"/>
      <c r="CC29" s="597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</row>
    <row r="30" spans="1:138" ht="15.95" outlineLevel="1">
      <c r="A30" s="505"/>
      <c r="B30" s="600"/>
      <c r="C30" s="249" t="s">
        <v>235</v>
      </c>
      <c r="D30" s="250" t="s">
        <v>223</v>
      </c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60"/>
      <c r="BY30" s="262">
        <f t="shared" si="10"/>
        <v>0</v>
      </c>
      <c r="BZ30" s="597"/>
      <c r="CA30" s="222"/>
      <c r="CB30" s="248"/>
      <c r="CC30" s="597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</row>
    <row r="31" spans="1:138" ht="15.95" outlineLevel="1">
      <c r="A31" s="505"/>
      <c r="B31" s="600"/>
      <c r="C31" s="249" t="s">
        <v>236</v>
      </c>
      <c r="D31" s="250" t="s">
        <v>223</v>
      </c>
      <c r="E31" s="251"/>
      <c r="F31" s="251"/>
      <c r="G31" s="251"/>
      <c r="H31" s="251">
        <f>-2420</f>
        <v>-2420</v>
      </c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60"/>
      <c r="BY31" s="262">
        <f t="shared" si="10"/>
        <v>-2420</v>
      </c>
      <c r="BZ31" s="597"/>
      <c r="CA31" s="222"/>
      <c r="CB31" s="248"/>
      <c r="CC31" s="597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</row>
    <row r="32" spans="1:138" ht="15.95" outlineLevel="1">
      <c r="A32" s="505"/>
      <c r="B32" s="600"/>
      <c r="C32" s="263" t="s">
        <v>237</v>
      </c>
      <c r="D32" s="250" t="s">
        <v>223</v>
      </c>
      <c r="E32" s="251"/>
      <c r="F32" s="251"/>
      <c r="G32" s="251"/>
      <c r="H32" s="251"/>
      <c r="I32" s="251">
        <f>-1081909</f>
        <v>-1081909</v>
      </c>
      <c r="J32" s="251"/>
      <c r="K32" s="251"/>
      <c r="L32" s="251">
        <f>-868500</f>
        <v>-868500</v>
      </c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60"/>
      <c r="BY32" s="262">
        <f t="shared" si="10"/>
        <v>-1950409</v>
      </c>
      <c r="BZ32" s="597"/>
      <c r="CA32" s="222"/>
      <c r="CB32" s="248"/>
      <c r="CC32" s="597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</row>
    <row r="33" spans="1:138" ht="15.95" outlineLevel="1">
      <c r="A33" s="505"/>
      <c r="B33" s="600"/>
      <c r="C33" s="249" t="s">
        <v>238</v>
      </c>
      <c r="D33" s="254" t="s">
        <v>223</v>
      </c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60"/>
      <c r="BY33" s="264">
        <f t="shared" si="10"/>
        <v>0</v>
      </c>
      <c r="BZ33" s="597"/>
      <c r="CA33" s="222"/>
      <c r="CB33" s="248"/>
      <c r="CC33" s="597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</row>
    <row r="34" spans="1:138" ht="15.95" collapsed="1">
      <c r="A34" s="505"/>
      <c r="B34" s="600"/>
      <c r="C34" s="244" t="s">
        <v>239</v>
      </c>
      <c r="D34" s="245"/>
      <c r="E34" s="246">
        <f t="shared" ref="E34:BX34" si="11">SUM(E35:E36)</f>
        <v>0</v>
      </c>
      <c r="F34" s="246">
        <f t="shared" si="11"/>
        <v>0</v>
      </c>
      <c r="G34" s="246">
        <f t="shared" si="11"/>
        <v>0</v>
      </c>
      <c r="H34" s="246">
        <f t="shared" si="11"/>
        <v>0</v>
      </c>
      <c r="I34" s="246">
        <f t="shared" si="11"/>
        <v>0</v>
      </c>
      <c r="J34" s="246">
        <f t="shared" si="11"/>
        <v>0</v>
      </c>
      <c r="K34" s="246">
        <f t="shared" si="11"/>
        <v>0</v>
      </c>
      <c r="L34" s="246">
        <f t="shared" si="11"/>
        <v>0</v>
      </c>
      <c r="M34" s="246">
        <f t="shared" si="11"/>
        <v>0</v>
      </c>
      <c r="N34" s="246">
        <f t="shared" si="11"/>
        <v>0</v>
      </c>
      <c r="O34" s="246">
        <f t="shared" si="11"/>
        <v>0</v>
      </c>
      <c r="P34" s="246">
        <f t="shared" si="11"/>
        <v>0</v>
      </c>
      <c r="Q34" s="246">
        <f t="shared" si="11"/>
        <v>0</v>
      </c>
      <c r="R34" s="246">
        <f t="shared" si="11"/>
        <v>0</v>
      </c>
      <c r="S34" s="246">
        <f t="shared" si="11"/>
        <v>0</v>
      </c>
      <c r="T34" s="246">
        <f t="shared" si="11"/>
        <v>0</v>
      </c>
      <c r="U34" s="246">
        <f t="shared" si="11"/>
        <v>0</v>
      </c>
      <c r="V34" s="246">
        <f t="shared" si="11"/>
        <v>0</v>
      </c>
      <c r="W34" s="246">
        <f t="shared" si="11"/>
        <v>0</v>
      </c>
      <c r="X34" s="246">
        <f t="shared" si="11"/>
        <v>0</v>
      </c>
      <c r="Y34" s="246">
        <f t="shared" si="11"/>
        <v>0</v>
      </c>
      <c r="Z34" s="246">
        <f t="shared" si="11"/>
        <v>0</v>
      </c>
      <c r="AA34" s="246">
        <f t="shared" si="11"/>
        <v>0</v>
      </c>
      <c r="AB34" s="246">
        <f t="shared" si="11"/>
        <v>0</v>
      </c>
      <c r="AC34" s="246">
        <f t="shared" si="11"/>
        <v>0</v>
      </c>
      <c r="AD34" s="246">
        <f t="shared" si="11"/>
        <v>0</v>
      </c>
      <c r="AE34" s="246">
        <f t="shared" si="11"/>
        <v>0</v>
      </c>
      <c r="AF34" s="246">
        <f t="shared" si="11"/>
        <v>0</v>
      </c>
      <c r="AG34" s="246">
        <f t="shared" si="11"/>
        <v>0</v>
      </c>
      <c r="AH34" s="246">
        <f t="shared" si="11"/>
        <v>0</v>
      </c>
      <c r="AI34" s="246">
        <f t="shared" si="11"/>
        <v>0</v>
      </c>
      <c r="AJ34" s="246">
        <f t="shared" si="11"/>
        <v>0</v>
      </c>
      <c r="AK34" s="246">
        <f t="shared" si="11"/>
        <v>0</v>
      </c>
      <c r="AL34" s="246">
        <f t="shared" si="11"/>
        <v>0</v>
      </c>
      <c r="AM34" s="246">
        <f t="shared" si="11"/>
        <v>0</v>
      </c>
      <c r="AN34" s="246">
        <f t="shared" si="11"/>
        <v>0</v>
      </c>
      <c r="AO34" s="246">
        <f t="shared" si="11"/>
        <v>0</v>
      </c>
      <c r="AP34" s="246">
        <f t="shared" si="11"/>
        <v>0</v>
      </c>
      <c r="AQ34" s="246">
        <f t="shared" si="11"/>
        <v>0</v>
      </c>
      <c r="AR34" s="246">
        <f t="shared" si="11"/>
        <v>0</v>
      </c>
      <c r="AS34" s="246">
        <f t="shared" si="11"/>
        <v>0</v>
      </c>
      <c r="AT34" s="246">
        <f t="shared" si="11"/>
        <v>0</v>
      </c>
      <c r="AU34" s="246">
        <f t="shared" si="11"/>
        <v>0</v>
      </c>
      <c r="AV34" s="246">
        <f t="shared" si="11"/>
        <v>0</v>
      </c>
      <c r="AW34" s="246">
        <f t="shared" si="11"/>
        <v>0</v>
      </c>
      <c r="AX34" s="246">
        <f t="shared" si="11"/>
        <v>0</v>
      </c>
      <c r="AY34" s="246">
        <f t="shared" si="11"/>
        <v>0</v>
      </c>
      <c r="AZ34" s="246">
        <f t="shared" si="11"/>
        <v>0</v>
      </c>
      <c r="BA34" s="246">
        <f t="shared" si="11"/>
        <v>0</v>
      </c>
      <c r="BB34" s="246">
        <f t="shared" si="11"/>
        <v>0</v>
      </c>
      <c r="BC34" s="246">
        <f t="shared" si="11"/>
        <v>0</v>
      </c>
      <c r="BD34" s="246">
        <f t="shared" si="11"/>
        <v>0</v>
      </c>
      <c r="BE34" s="246">
        <f t="shared" si="11"/>
        <v>0</v>
      </c>
      <c r="BF34" s="246">
        <f t="shared" si="11"/>
        <v>0</v>
      </c>
      <c r="BG34" s="246">
        <f t="shared" si="11"/>
        <v>0</v>
      </c>
      <c r="BH34" s="246">
        <f t="shared" si="11"/>
        <v>0</v>
      </c>
      <c r="BI34" s="246">
        <f t="shared" si="11"/>
        <v>0</v>
      </c>
      <c r="BJ34" s="246">
        <f t="shared" si="11"/>
        <v>0</v>
      </c>
      <c r="BK34" s="246">
        <f t="shared" si="11"/>
        <v>0</v>
      </c>
      <c r="BL34" s="246">
        <f t="shared" si="11"/>
        <v>0</v>
      </c>
      <c r="BM34" s="246">
        <f t="shared" si="11"/>
        <v>0</v>
      </c>
      <c r="BN34" s="246">
        <f t="shared" si="11"/>
        <v>0</v>
      </c>
      <c r="BO34" s="246">
        <f t="shared" si="11"/>
        <v>0</v>
      </c>
      <c r="BP34" s="246">
        <f t="shared" si="11"/>
        <v>0</v>
      </c>
      <c r="BQ34" s="246">
        <f t="shared" si="11"/>
        <v>0</v>
      </c>
      <c r="BR34" s="246">
        <f t="shared" si="11"/>
        <v>0</v>
      </c>
      <c r="BS34" s="246">
        <f t="shared" si="11"/>
        <v>0</v>
      </c>
      <c r="BT34" s="246">
        <f t="shared" si="11"/>
        <v>0</v>
      </c>
      <c r="BU34" s="246">
        <f t="shared" si="11"/>
        <v>0</v>
      </c>
      <c r="BV34" s="246">
        <f t="shared" si="11"/>
        <v>0</v>
      </c>
      <c r="BW34" s="246">
        <f t="shared" si="11"/>
        <v>0</v>
      </c>
      <c r="BX34" s="246">
        <f t="shared" si="11"/>
        <v>0</v>
      </c>
      <c r="BY34" s="248">
        <f>SUM(BY35:BY36)</f>
        <v>0</v>
      </c>
      <c r="BZ34" s="597"/>
      <c r="CA34" s="222"/>
      <c r="CB34" s="248"/>
      <c r="CC34" s="597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</row>
    <row r="35" spans="1:138" ht="15.95" hidden="1" outlineLevel="1">
      <c r="A35" s="505"/>
      <c r="B35" s="600"/>
      <c r="C35" s="249" t="s">
        <v>240</v>
      </c>
      <c r="D35" s="250" t="s">
        <v>223</v>
      </c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66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60"/>
      <c r="BY35" s="261">
        <f t="shared" ref="BY35:BY36" si="12">SUM(E35:BX35)</f>
        <v>0</v>
      </c>
      <c r="BZ35" s="597"/>
      <c r="CA35" s="222"/>
      <c r="CB35" s="248"/>
      <c r="CC35" s="597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</row>
    <row r="36" spans="1:138" ht="15.95" hidden="1" outlineLevel="1">
      <c r="A36" s="505"/>
      <c r="B36" s="600"/>
      <c r="C36" s="249" t="s">
        <v>241</v>
      </c>
      <c r="D36" s="254" t="s">
        <v>223</v>
      </c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66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60"/>
      <c r="BY36" s="264">
        <f t="shared" si="12"/>
        <v>0</v>
      </c>
      <c r="BZ36" s="597"/>
      <c r="CA36" s="222"/>
      <c r="CB36" s="248"/>
      <c r="CC36" s="597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</row>
    <row r="37" spans="1:138" ht="15.95">
      <c r="A37" s="505"/>
      <c r="B37" s="600"/>
      <c r="C37" s="244" t="s">
        <v>242</v>
      </c>
      <c r="D37" s="245"/>
      <c r="E37" s="246">
        <f t="shared" ref="E37:BX37" si="13">SUM(E38:E46)</f>
        <v>0</v>
      </c>
      <c r="F37" s="246">
        <f t="shared" si="13"/>
        <v>0</v>
      </c>
      <c r="G37" s="246">
        <f t="shared" si="13"/>
        <v>0</v>
      </c>
      <c r="H37" s="246">
        <f t="shared" si="13"/>
        <v>-113225.2</v>
      </c>
      <c r="I37" s="246">
        <f t="shared" si="13"/>
        <v>-414970</v>
      </c>
      <c r="J37" s="246">
        <f t="shared" si="13"/>
        <v>-1892515.3336666669</v>
      </c>
      <c r="K37" s="246">
        <f t="shared" si="13"/>
        <v>-384158.53666666662</v>
      </c>
      <c r="L37" s="246">
        <f t="shared" si="13"/>
        <v>-348822.22666666663</v>
      </c>
      <c r="M37" s="246">
        <f t="shared" si="13"/>
        <v>-348822.22666666663</v>
      </c>
      <c r="N37" s="246">
        <f t="shared" si="13"/>
        <v>-348822.22666666663</v>
      </c>
      <c r="O37" s="246">
        <f t="shared" si="13"/>
        <v>-642935.59566666663</v>
      </c>
      <c r="P37" s="246">
        <f t="shared" si="13"/>
        <v>-372379.7666666666</v>
      </c>
      <c r="Q37" s="246">
        <f t="shared" si="13"/>
        <v>-29429.416666666672</v>
      </c>
      <c r="R37" s="246">
        <f t="shared" si="13"/>
        <v>-29429.416666666672</v>
      </c>
      <c r="S37" s="246">
        <f t="shared" si="13"/>
        <v>-29429.416666666672</v>
      </c>
      <c r="T37" s="246">
        <f t="shared" si="13"/>
        <v>-88323.266666666663</v>
      </c>
      <c r="U37" s="246">
        <f t="shared" si="13"/>
        <v>0</v>
      </c>
      <c r="V37" s="246">
        <f t="shared" si="13"/>
        <v>0</v>
      </c>
      <c r="W37" s="246">
        <f t="shared" si="13"/>
        <v>0</v>
      </c>
      <c r="X37" s="246">
        <f t="shared" si="13"/>
        <v>0</v>
      </c>
      <c r="Y37" s="246">
        <f t="shared" si="13"/>
        <v>0</v>
      </c>
      <c r="Z37" s="246">
        <f t="shared" si="13"/>
        <v>0</v>
      </c>
      <c r="AA37" s="246">
        <f t="shared" si="13"/>
        <v>0</v>
      </c>
      <c r="AB37" s="246">
        <f t="shared" si="13"/>
        <v>0</v>
      </c>
      <c r="AC37" s="246">
        <f t="shared" si="13"/>
        <v>0</v>
      </c>
      <c r="AD37" s="246">
        <f t="shared" si="13"/>
        <v>0</v>
      </c>
      <c r="AE37" s="246">
        <f t="shared" si="13"/>
        <v>0</v>
      </c>
      <c r="AF37" s="246">
        <f t="shared" si="13"/>
        <v>0</v>
      </c>
      <c r="AG37" s="246">
        <f t="shared" si="13"/>
        <v>0</v>
      </c>
      <c r="AH37" s="246">
        <f t="shared" si="13"/>
        <v>0</v>
      </c>
      <c r="AI37" s="246">
        <f t="shared" si="13"/>
        <v>0</v>
      </c>
      <c r="AJ37" s="246">
        <f t="shared" si="13"/>
        <v>0</v>
      </c>
      <c r="AK37" s="246">
        <f t="shared" si="13"/>
        <v>0</v>
      </c>
      <c r="AL37" s="246">
        <f t="shared" si="13"/>
        <v>0</v>
      </c>
      <c r="AM37" s="246">
        <f t="shared" si="13"/>
        <v>0</v>
      </c>
      <c r="AN37" s="246">
        <f t="shared" si="13"/>
        <v>0</v>
      </c>
      <c r="AO37" s="246">
        <f t="shared" si="13"/>
        <v>0</v>
      </c>
      <c r="AP37" s="246">
        <f t="shared" si="13"/>
        <v>0</v>
      </c>
      <c r="AQ37" s="246">
        <f t="shared" si="13"/>
        <v>0</v>
      </c>
      <c r="AR37" s="246">
        <f t="shared" si="13"/>
        <v>0</v>
      </c>
      <c r="AS37" s="246">
        <f t="shared" si="13"/>
        <v>0</v>
      </c>
      <c r="AT37" s="246">
        <f t="shared" si="13"/>
        <v>0</v>
      </c>
      <c r="AU37" s="246">
        <f t="shared" si="13"/>
        <v>0</v>
      </c>
      <c r="AV37" s="246">
        <f t="shared" si="13"/>
        <v>0</v>
      </c>
      <c r="AW37" s="246">
        <f t="shared" si="13"/>
        <v>0</v>
      </c>
      <c r="AX37" s="246">
        <f t="shared" si="13"/>
        <v>0</v>
      </c>
      <c r="AY37" s="246">
        <f t="shared" si="13"/>
        <v>0</v>
      </c>
      <c r="AZ37" s="246">
        <f t="shared" si="13"/>
        <v>0</v>
      </c>
      <c r="BA37" s="246">
        <f t="shared" si="13"/>
        <v>0</v>
      </c>
      <c r="BB37" s="246">
        <f t="shared" si="13"/>
        <v>0</v>
      </c>
      <c r="BC37" s="246">
        <f t="shared" si="13"/>
        <v>0</v>
      </c>
      <c r="BD37" s="246">
        <f t="shared" si="13"/>
        <v>0</v>
      </c>
      <c r="BE37" s="246">
        <f t="shared" si="13"/>
        <v>0</v>
      </c>
      <c r="BF37" s="246">
        <f t="shared" si="13"/>
        <v>0</v>
      </c>
      <c r="BG37" s="246">
        <f t="shared" si="13"/>
        <v>0</v>
      </c>
      <c r="BH37" s="246">
        <f t="shared" si="13"/>
        <v>0</v>
      </c>
      <c r="BI37" s="246">
        <f t="shared" si="13"/>
        <v>0</v>
      </c>
      <c r="BJ37" s="246">
        <f t="shared" si="13"/>
        <v>0</v>
      </c>
      <c r="BK37" s="246">
        <f t="shared" si="13"/>
        <v>0</v>
      </c>
      <c r="BL37" s="246">
        <f t="shared" si="13"/>
        <v>0</v>
      </c>
      <c r="BM37" s="246">
        <f t="shared" si="13"/>
        <v>0</v>
      </c>
      <c r="BN37" s="246">
        <f t="shared" si="13"/>
        <v>0</v>
      </c>
      <c r="BO37" s="246">
        <f t="shared" si="13"/>
        <v>0</v>
      </c>
      <c r="BP37" s="246">
        <f t="shared" si="13"/>
        <v>0</v>
      </c>
      <c r="BQ37" s="246">
        <f t="shared" si="13"/>
        <v>0</v>
      </c>
      <c r="BR37" s="246">
        <f t="shared" si="13"/>
        <v>0</v>
      </c>
      <c r="BS37" s="246">
        <f t="shared" si="13"/>
        <v>0</v>
      </c>
      <c r="BT37" s="246">
        <f t="shared" si="13"/>
        <v>0</v>
      </c>
      <c r="BU37" s="246">
        <f t="shared" si="13"/>
        <v>0</v>
      </c>
      <c r="BV37" s="246">
        <f t="shared" si="13"/>
        <v>0</v>
      </c>
      <c r="BW37" s="246">
        <f t="shared" si="13"/>
        <v>0</v>
      </c>
      <c r="BX37" s="246">
        <f t="shared" si="13"/>
        <v>0</v>
      </c>
      <c r="BY37" s="248">
        <f>SUM(BY38:BY46)</f>
        <v>-5043262.629333334</v>
      </c>
      <c r="BZ37" s="597"/>
      <c r="CA37" s="222"/>
      <c r="CB37" s="248"/>
      <c r="CC37" s="597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</row>
    <row r="38" spans="1:138" ht="15.95" outlineLevel="1">
      <c r="A38" s="505"/>
      <c r="B38" s="600"/>
      <c r="C38" s="263" t="s">
        <v>170</v>
      </c>
      <c r="D38" s="250" t="s">
        <v>223</v>
      </c>
      <c r="E38" s="255"/>
      <c r="F38" s="255"/>
      <c r="G38" s="255"/>
      <c r="H38" s="255"/>
      <c r="I38" s="255">
        <f>-400000</f>
        <v>-400000</v>
      </c>
      <c r="J38" s="255">
        <f>-661353-(23520+28160+192281+20000)*1.21</f>
        <v>-980745.81</v>
      </c>
      <c r="K38" s="255">
        <f t="shared" ref="K38:P38" si="14">-(23520+28160+192281+20000)*1.21</f>
        <v>-319392.81</v>
      </c>
      <c r="L38" s="255">
        <f t="shared" si="14"/>
        <v>-319392.81</v>
      </c>
      <c r="M38" s="255">
        <f t="shared" si="14"/>
        <v>-319392.81</v>
      </c>
      <c r="N38" s="255">
        <f t="shared" si="14"/>
        <v>-319392.81</v>
      </c>
      <c r="O38" s="255">
        <f t="shared" si="14"/>
        <v>-319392.81</v>
      </c>
      <c r="P38" s="255">
        <f t="shared" si="14"/>
        <v>-319392.81</v>
      </c>
      <c r="Q38" s="255"/>
      <c r="R38" s="255"/>
      <c r="S38" s="268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67"/>
      <c r="BY38" s="261">
        <f t="shared" ref="BY38:BY46" si="15">SUM(E38:BX38)</f>
        <v>-3297102.6700000004</v>
      </c>
      <c r="BZ38" s="597"/>
      <c r="CA38" s="222"/>
      <c r="CB38" s="248"/>
      <c r="CC38" s="597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</row>
    <row r="39" spans="1:138" ht="15.95" outlineLevel="1">
      <c r="A39" s="505"/>
      <c r="B39" s="600"/>
      <c r="C39" s="263" t="s">
        <v>171</v>
      </c>
      <c r="D39" s="250" t="s">
        <v>223</v>
      </c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68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67"/>
      <c r="BY39" s="262">
        <f t="shared" si="15"/>
        <v>0</v>
      </c>
      <c r="BZ39" s="597"/>
      <c r="CA39" s="222"/>
      <c r="CB39" s="248"/>
      <c r="CC39" s="597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</row>
    <row r="40" spans="1:138" ht="15.95" outlineLevel="1">
      <c r="A40" s="505"/>
      <c r="B40" s="600"/>
      <c r="C40" s="263" t="s">
        <v>172</v>
      </c>
      <c r="D40" s="250" t="s">
        <v>223</v>
      </c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68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67"/>
      <c r="BY40" s="262">
        <f t="shared" si="15"/>
        <v>0</v>
      </c>
      <c r="BZ40" s="597"/>
      <c r="CA40" s="222"/>
      <c r="CB40" s="248"/>
      <c r="CC40" s="597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</row>
    <row r="41" spans="1:138" ht="15.95" outlineLevel="1">
      <c r="A41" s="505"/>
      <c r="B41" s="600"/>
      <c r="C41" s="263" t="s">
        <v>176</v>
      </c>
      <c r="D41" s="250" t="s">
        <v>223</v>
      </c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68"/>
      <c r="T41" s="255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67"/>
      <c r="BY41" s="262">
        <f t="shared" si="15"/>
        <v>0</v>
      </c>
      <c r="BZ41" s="597"/>
      <c r="CA41" s="222"/>
      <c r="CB41" s="248"/>
      <c r="CC41" s="597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</row>
    <row r="42" spans="1:138" ht="15.95" outlineLevel="1">
      <c r="A42" s="505"/>
      <c r="B42" s="600"/>
      <c r="C42" s="249" t="s">
        <v>177</v>
      </c>
      <c r="D42" s="250" t="s">
        <v>223</v>
      </c>
      <c r="E42" s="251"/>
      <c r="F42" s="251"/>
      <c r="G42" s="251"/>
      <c r="H42" s="251">
        <f>-11364-25000</f>
        <v>-36364</v>
      </c>
      <c r="I42" s="251">
        <f>-8194</f>
        <v>-8194</v>
      </c>
      <c r="J42" s="251">
        <f>-Businessplan_prodej!$F$67/12*1.21</f>
        <v>-10376.583333333334</v>
      </c>
      <c r="K42" s="251">
        <f>-Businessplan_prodej!$F$67/12*1.21</f>
        <v>-10376.583333333334</v>
      </c>
      <c r="L42" s="251">
        <f>-Businessplan_prodej!$F$67/12*1.21</f>
        <v>-10376.583333333334</v>
      </c>
      <c r="M42" s="251">
        <f>-Businessplan_prodej!$F$67/12*1.21</f>
        <v>-10376.583333333334</v>
      </c>
      <c r="N42" s="251">
        <f>-Businessplan_prodej!$F$67/12*1.21</f>
        <v>-10376.583333333334</v>
      </c>
      <c r="O42" s="251">
        <f>-Businessplan_prodej!$F$67/12*1.21</f>
        <v>-10376.583333333334</v>
      </c>
      <c r="P42" s="251">
        <f>-Businessplan_prodej!$F$67/12*1.21</f>
        <v>-10376.583333333334</v>
      </c>
      <c r="Q42" s="251">
        <f>-Businessplan_prodej!$F$67/12*1.21</f>
        <v>-10376.583333333334</v>
      </c>
      <c r="R42" s="251">
        <f>-Businessplan_prodej!$F$67/12*1.21</f>
        <v>-10376.583333333334</v>
      </c>
      <c r="S42" s="251">
        <f>-Businessplan_prodej!$F$67/12*1.21</f>
        <v>-10376.583333333334</v>
      </c>
      <c r="T42" s="251">
        <f>-Businessplan_prodej!$F$67/12*1.21</f>
        <v>-10376.583333333334</v>
      </c>
      <c r="U42" s="251"/>
      <c r="V42" s="251"/>
      <c r="W42" s="251"/>
      <c r="X42" s="251"/>
      <c r="Y42" s="251"/>
      <c r="Z42" s="251"/>
      <c r="AA42" s="251"/>
      <c r="AB42" s="251"/>
      <c r="AC42" s="251"/>
      <c r="AD42" s="251"/>
      <c r="AE42" s="251"/>
      <c r="AF42" s="251"/>
      <c r="AG42" s="251"/>
      <c r="AH42" s="251"/>
      <c r="AI42" s="251"/>
      <c r="AJ42" s="251"/>
      <c r="AK42" s="251"/>
      <c r="AL42" s="251"/>
      <c r="AM42" s="251"/>
      <c r="AN42" s="251"/>
      <c r="AO42" s="251"/>
      <c r="AP42" s="251"/>
      <c r="AQ42" s="251"/>
      <c r="AR42" s="251"/>
      <c r="AS42" s="251"/>
      <c r="AT42" s="251"/>
      <c r="AU42" s="251"/>
      <c r="AV42" s="251"/>
      <c r="AW42" s="251"/>
      <c r="AX42" s="251"/>
      <c r="AY42" s="251"/>
      <c r="AZ42" s="251"/>
      <c r="BA42" s="251"/>
      <c r="BB42" s="251"/>
      <c r="BC42" s="251"/>
      <c r="BD42" s="251"/>
      <c r="BE42" s="251"/>
      <c r="BF42" s="251"/>
      <c r="BG42" s="251"/>
      <c r="BH42" s="251"/>
      <c r="BI42" s="251"/>
      <c r="BJ42" s="251"/>
      <c r="BK42" s="251"/>
      <c r="BL42" s="251"/>
      <c r="BM42" s="251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60"/>
      <c r="BY42" s="262">
        <f t="shared" si="15"/>
        <v>-158700.41666666666</v>
      </c>
      <c r="BZ42" s="597"/>
      <c r="CA42" s="222"/>
      <c r="CB42" s="248"/>
      <c r="CC42" s="597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</row>
    <row r="43" spans="1:138" ht="15.95" outlineLevel="1">
      <c r="A43" s="505"/>
      <c r="B43" s="600"/>
      <c r="C43" s="249" t="s">
        <v>178</v>
      </c>
      <c r="D43" s="250" t="s">
        <v>223</v>
      </c>
      <c r="E43" s="251"/>
      <c r="F43" s="251"/>
      <c r="G43" s="251"/>
      <c r="H43" s="251">
        <f>-1000-65673</f>
        <v>-66673</v>
      </c>
      <c r="I43" s="251">
        <f>-6776</f>
        <v>-6776</v>
      </c>
      <c r="J43" s="251">
        <f>-Businessplan_prodej!$F$68/12*1.21</f>
        <v>-19052.833333333336</v>
      </c>
      <c r="K43" s="251">
        <f>-Businessplan_prodej!$F$68/12*1.21</f>
        <v>-19052.833333333336</v>
      </c>
      <c r="L43" s="251">
        <f>-Businessplan_prodej!$F$68/12*1.21</f>
        <v>-19052.833333333336</v>
      </c>
      <c r="M43" s="251">
        <f>-Businessplan_prodej!$F$68/12*1.21</f>
        <v>-19052.833333333336</v>
      </c>
      <c r="N43" s="251">
        <f>-Businessplan_prodej!$F$68/12*1.21</f>
        <v>-19052.833333333336</v>
      </c>
      <c r="O43" s="251">
        <f>-Businessplan_prodej!$F$68/12*1.21</f>
        <v>-19052.833333333336</v>
      </c>
      <c r="P43" s="251">
        <f>-Businessplan_prodej!$F$68/12*1.21</f>
        <v>-19052.833333333336</v>
      </c>
      <c r="Q43" s="251">
        <f>-Businessplan_prodej!$F$68/12*1.21</f>
        <v>-19052.833333333336</v>
      </c>
      <c r="R43" s="251">
        <f>-Businessplan_prodej!$F$68/12*1.21</f>
        <v>-19052.833333333336</v>
      </c>
      <c r="S43" s="251">
        <f>-Businessplan_prodej!$F$68/12*1.21</f>
        <v>-19052.833333333336</v>
      </c>
      <c r="T43" s="251">
        <f>-Businessplan_prodej!$F$68/12*1.21</f>
        <v>-19052.833333333336</v>
      </c>
      <c r="U43" s="251"/>
      <c r="V43" s="251"/>
      <c r="W43" s="251"/>
      <c r="X43" s="251"/>
      <c r="Y43" s="251"/>
      <c r="Z43" s="251"/>
      <c r="AA43" s="251"/>
      <c r="AB43" s="251"/>
      <c r="AC43" s="251"/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60"/>
      <c r="BY43" s="262">
        <f t="shared" si="15"/>
        <v>-283030.16666666674</v>
      </c>
      <c r="BZ43" s="597"/>
      <c r="CA43" s="222"/>
      <c r="CB43" s="248"/>
      <c r="CC43" s="597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</row>
    <row r="44" spans="1:138" ht="14.25" customHeight="1" outlineLevel="1">
      <c r="A44" s="505"/>
      <c r="B44" s="600"/>
      <c r="C44" s="249" t="s">
        <v>179</v>
      </c>
      <c r="D44" s="250" t="s">
        <v>223</v>
      </c>
      <c r="E44" s="251"/>
      <c r="F44" s="251"/>
      <c r="G44" s="251"/>
      <c r="H44" s="251">
        <f>-10188.2</f>
        <v>-10188.200000000001</v>
      </c>
      <c r="I44" s="251"/>
      <c r="J44" s="251"/>
      <c r="K44" s="251">
        <f>-Businessplan_prodej!$F$69*0.3*1.21</f>
        <v>-35336.31</v>
      </c>
      <c r="L44" s="251"/>
      <c r="M44" s="251"/>
      <c r="N44" s="251"/>
      <c r="O44" s="251"/>
      <c r="P44" s="251">
        <f>-Businessplan_prodej!$F$69*0.2*1.21</f>
        <v>-23557.54</v>
      </c>
      <c r="Q44" s="251"/>
      <c r="R44" s="251"/>
      <c r="S44" s="251"/>
      <c r="T44" s="251">
        <f>-Businessplan_prodej!$F$69*0.5*1.21</f>
        <v>-58893.85</v>
      </c>
      <c r="U44" s="251"/>
      <c r="V44" s="251"/>
      <c r="W44" s="251"/>
      <c r="X44" s="251"/>
      <c r="Y44" s="251"/>
      <c r="Z44" s="251"/>
      <c r="AA44" s="251"/>
      <c r="AB44" s="251"/>
      <c r="AC44" s="251"/>
      <c r="AD44" s="251"/>
      <c r="AE44" s="251"/>
      <c r="AF44" s="251"/>
      <c r="AG44" s="251"/>
      <c r="AH44" s="251"/>
      <c r="AI44" s="251"/>
      <c r="AJ44" s="251"/>
      <c r="AK44" s="251"/>
      <c r="AL44" s="251"/>
      <c r="AM44" s="251"/>
      <c r="AN44" s="251"/>
      <c r="AO44" s="251"/>
      <c r="AP44" s="251"/>
      <c r="AQ44" s="251"/>
      <c r="AR44" s="251"/>
      <c r="AS44" s="251"/>
      <c r="AT44" s="251"/>
      <c r="AU44" s="251"/>
      <c r="AV44" s="251"/>
      <c r="AW44" s="251"/>
      <c r="AX44" s="251"/>
      <c r="AY44" s="251"/>
      <c r="AZ44" s="251"/>
      <c r="BA44" s="251"/>
      <c r="BB44" s="251"/>
      <c r="BC44" s="251"/>
      <c r="BD44" s="251"/>
      <c r="BE44" s="251"/>
      <c r="BF44" s="251"/>
      <c r="BG44" s="251"/>
      <c r="BH44" s="251"/>
      <c r="BI44" s="251"/>
      <c r="BJ44" s="251"/>
      <c r="BK44" s="251"/>
      <c r="BL44" s="251"/>
      <c r="BM44" s="251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60"/>
      <c r="BY44" s="262">
        <f t="shared" si="15"/>
        <v>-127975.9</v>
      </c>
      <c r="BZ44" s="597"/>
      <c r="CA44" s="222"/>
      <c r="CB44" s="248"/>
      <c r="CC44" s="597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</row>
    <row r="45" spans="1:138" ht="14.25" customHeight="1" outlineLevel="1">
      <c r="A45" s="505"/>
      <c r="B45" s="600"/>
      <c r="C45" s="249" t="s">
        <v>180</v>
      </c>
      <c r="D45" s="250" t="s">
        <v>223</v>
      </c>
      <c r="E45" s="251"/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60"/>
      <c r="BY45" s="262">
        <f t="shared" si="15"/>
        <v>0</v>
      </c>
      <c r="BZ45" s="597"/>
      <c r="CA45" s="222"/>
      <c r="CB45" s="248"/>
      <c r="CC45" s="597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</row>
    <row r="46" spans="1:138" ht="14.25" customHeight="1" outlineLevel="1">
      <c r="A46" s="505"/>
      <c r="B46" s="600"/>
      <c r="C46" s="249" t="s">
        <v>181</v>
      </c>
      <c r="D46" s="254" t="s">
        <v>223</v>
      </c>
      <c r="E46" s="251"/>
      <c r="F46" s="251"/>
      <c r="G46" s="251"/>
      <c r="H46" s="251"/>
      <c r="I46" s="251"/>
      <c r="J46" s="251">
        <f>-((17529*2*25.2+44407*2)*1.21)*75%</f>
        <v>-882340.10700000008</v>
      </c>
      <c r="K46" s="251"/>
      <c r="L46" s="251"/>
      <c r="M46" s="251"/>
      <c r="N46" s="251"/>
      <c r="O46" s="251">
        <f>-((17529*2*25.2+44407*2)*1.21)*25%</f>
        <v>-294113.36900000001</v>
      </c>
      <c r="P46" s="251"/>
      <c r="Q46" s="251"/>
      <c r="R46" s="251"/>
      <c r="S46" s="251"/>
      <c r="T46" s="251"/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60"/>
      <c r="BY46" s="262">
        <f t="shared" si="15"/>
        <v>-1176453.476</v>
      </c>
      <c r="BZ46" s="597"/>
      <c r="CA46" s="222"/>
      <c r="CB46" s="248"/>
      <c r="CC46" s="597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22"/>
      <c r="DJ46" s="222"/>
      <c r="DK46" s="222"/>
      <c r="DL46" s="222"/>
      <c r="DM46" s="222"/>
      <c r="DN46" s="222"/>
      <c r="DO46" s="222"/>
      <c r="DP46" s="222"/>
      <c r="DQ46" s="222"/>
      <c r="DR46" s="222"/>
      <c r="DS46" s="222"/>
      <c r="DT46" s="222"/>
      <c r="DU46" s="222"/>
      <c r="DV46" s="222"/>
      <c r="DW46" s="222"/>
      <c r="DX46" s="222"/>
      <c r="DY46" s="222"/>
      <c r="DZ46" s="222"/>
      <c r="EA46" s="222"/>
      <c r="EB46" s="222"/>
      <c r="EC46" s="222"/>
      <c r="ED46" s="222"/>
      <c r="EE46" s="222"/>
      <c r="EF46" s="222"/>
      <c r="EG46" s="222"/>
      <c r="EH46" s="222"/>
    </row>
    <row r="47" spans="1:138" ht="15.95" collapsed="1">
      <c r="A47" s="505"/>
      <c r="B47" s="600"/>
      <c r="C47" s="244" t="s">
        <v>245</v>
      </c>
      <c r="D47" s="245"/>
      <c r="E47" s="246">
        <f t="shared" ref="E47:BX47" si="16">SUM(E48:E52)</f>
        <v>0</v>
      </c>
      <c r="F47" s="246">
        <f t="shared" si="16"/>
        <v>0</v>
      </c>
      <c r="G47" s="246">
        <f t="shared" si="16"/>
        <v>0</v>
      </c>
      <c r="H47" s="246">
        <f t="shared" si="16"/>
        <v>-1442.155</v>
      </c>
      <c r="I47" s="246">
        <f t="shared" si="16"/>
        <v>-4792.1949999999997</v>
      </c>
      <c r="J47" s="246">
        <f t="shared" si="16"/>
        <v>-2076.3529166666667</v>
      </c>
      <c r="K47" s="246">
        <f t="shared" si="16"/>
        <v>-102076.35291666667</v>
      </c>
      <c r="L47" s="246">
        <f t="shared" si="16"/>
        <v>-2076.3529166666667</v>
      </c>
      <c r="M47" s="246">
        <f t="shared" si="16"/>
        <v>-2076.3529166666667</v>
      </c>
      <c r="N47" s="246">
        <f t="shared" si="16"/>
        <v>-2076.3529166666667</v>
      </c>
      <c r="O47" s="246">
        <f t="shared" si="16"/>
        <v>-2076.3529166666667</v>
      </c>
      <c r="P47" s="246">
        <f t="shared" si="16"/>
        <v>-2076.3529166666667</v>
      </c>
      <c r="Q47" s="246">
        <f t="shared" si="16"/>
        <v>-2076.3529166666667</v>
      </c>
      <c r="R47" s="246">
        <f t="shared" si="16"/>
        <v>-2076.3529166666667</v>
      </c>
      <c r="S47" s="246">
        <f t="shared" si="16"/>
        <v>-2076.3529166666667</v>
      </c>
      <c r="T47" s="246">
        <f t="shared" si="16"/>
        <v>-2076.3529166666667</v>
      </c>
      <c r="U47" s="246">
        <f t="shared" si="16"/>
        <v>0</v>
      </c>
      <c r="V47" s="246">
        <f t="shared" si="16"/>
        <v>0</v>
      </c>
      <c r="W47" s="246">
        <f t="shared" si="16"/>
        <v>0</v>
      </c>
      <c r="X47" s="246">
        <f t="shared" si="16"/>
        <v>0</v>
      </c>
      <c r="Y47" s="246">
        <f t="shared" si="16"/>
        <v>0</v>
      </c>
      <c r="Z47" s="246">
        <f t="shared" si="16"/>
        <v>0</v>
      </c>
      <c r="AA47" s="246">
        <f t="shared" si="16"/>
        <v>0</v>
      </c>
      <c r="AB47" s="246">
        <f t="shared" si="16"/>
        <v>0</v>
      </c>
      <c r="AC47" s="246">
        <f t="shared" si="16"/>
        <v>0</v>
      </c>
      <c r="AD47" s="246">
        <f t="shared" si="16"/>
        <v>0</v>
      </c>
      <c r="AE47" s="246">
        <f t="shared" si="16"/>
        <v>0</v>
      </c>
      <c r="AF47" s="246">
        <f t="shared" si="16"/>
        <v>0</v>
      </c>
      <c r="AG47" s="246">
        <f t="shared" si="16"/>
        <v>0</v>
      </c>
      <c r="AH47" s="246">
        <f t="shared" si="16"/>
        <v>0</v>
      </c>
      <c r="AI47" s="246">
        <f t="shared" si="16"/>
        <v>0</v>
      </c>
      <c r="AJ47" s="246">
        <f t="shared" si="16"/>
        <v>0</v>
      </c>
      <c r="AK47" s="246">
        <f t="shared" si="16"/>
        <v>0</v>
      </c>
      <c r="AL47" s="246">
        <f t="shared" si="16"/>
        <v>0</v>
      </c>
      <c r="AM47" s="246">
        <f t="shared" si="16"/>
        <v>0</v>
      </c>
      <c r="AN47" s="246">
        <f t="shared" si="16"/>
        <v>0</v>
      </c>
      <c r="AO47" s="246">
        <f t="shared" si="16"/>
        <v>0</v>
      </c>
      <c r="AP47" s="246">
        <f t="shared" si="16"/>
        <v>0</v>
      </c>
      <c r="AQ47" s="246">
        <f t="shared" si="16"/>
        <v>0</v>
      </c>
      <c r="AR47" s="246">
        <f t="shared" si="16"/>
        <v>0</v>
      </c>
      <c r="AS47" s="246">
        <f t="shared" si="16"/>
        <v>0</v>
      </c>
      <c r="AT47" s="246">
        <f t="shared" si="16"/>
        <v>0</v>
      </c>
      <c r="AU47" s="246">
        <f t="shared" si="16"/>
        <v>0</v>
      </c>
      <c r="AV47" s="246">
        <f t="shared" si="16"/>
        <v>0</v>
      </c>
      <c r="AW47" s="246">
        <f t="shared" si="16"/>
        <v>0</v>
      </c>
      <c r="AX47" s="246">
        <f t="shared" si="16"/>
        <v>0</v>
      </c>
      <c r="AY47" s="246">
        <f t="shared" si="16"/>
        <v>0</v>
      </c>
      <c r="AZ47" s="246">
        <f t="shared" si="16"/>
        <v>0</v>
      </c>
      <c r="BA47" s="246">
        <f t="shared" si="16"/>
        <v>0</v>
      </c>
      <c r="BB47" s="246">
        <f t="shared" si="16"/>
        <v>0</v>
      </c>
      <c r="BC47" s="246">
        <f t="shared" si="16"/>
        <v>0</v>
      </c>
      <c r="BD47" s="246">
        <f t="shared" si="16"/>
        <v>0</v>
      </c>
      <c r="BE47" s="246">
        <f t="shared" si="16"/>
        <v>0</v>
      </c>
      <c r="BF47" s="246">
        <f t="shared" si="16"/>
        <v>0</v>
      </c>
      <c r="BG47" s="246">
        <f t="shared" si="16"/>
        <v>0</v>
      </c>
      <c r="BH47" s="246">
        <f t="shared" si="16"/>
        <v>0</v>
      </c>
      <c r="BI47" s="246">
        <f t="shared" si="16"/>
        <v>0</v>
      </c>
      <c r="BJ47" s="246">
        <f t="shared" si="16"/>
        <v>0</v>
      </c>
      <c r="BK47" s="246">
        <f t="shared" si="16"/>
        <v>0</v>
      </c>
      <c r="BL47" s="246">
        <f t="shared" si="16"/>
        <v>0</v>
      </c>
      <c r="BM47" s="246">
        <f t="shared" si="16"/>
        <v>0</v>
      </c>
      <c r="BN47" s="246">
        <f t="shared" si="16"/>
        <v>0</v>
      </c>
      <c r="BO47" s="246">
        <f t="shared" si="16"/>
        <v>0</v>
      </c>
      <c r="BP47" s="246">
        <f t="shared" si="16"/>
        <v>0</v>
      </c>
      <c r="BQ47" s="246">
        <f t="shared" si="16"/>
        <v>0</v>
      </c>
      <c r="BR47" s="246">
        <f t="shared" si="16"/>
        <v>0</v>
      </c>
      <c r="BS47" s="246">
        <f t="shared" si="16"/>
        <v>0</v>
      </c>
      <c r="BT47" s="246">
        <f t="shared" si="16"/>
        <v>0</v>
      </c>
      <c r="BU47" s="246">
        <f t="shared" si="16"/>
        <v>0</v>
      </c>
      <c r="BV47" s="246">
        <f t="shared" si="16"/>
        <v>0</v>
      </c>
      <c r="BW47" s="246">
        <f t="shared" si="16"/>
        <v>0</v>
      </c>
      <c r="BX47" s="246">
        <f t="shared" si="16"/>
        <v>0</v>
      </c>
      <c r="BY47" s="248">
        <f>SUM(BY48:BY52)</f>
        <v>-129074.23208333334</v>
      </c>
      <c r="BZ47" s="597"/>
      <c r="CA47" s="222"/>
      <c r="CB47" s="248"/>
      <c r="CC47" s="597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/>
      <c r="DU47" s="222"/>
      <c r="DV47" s="222"/>
      <c r="DW47" s="222"/>
      <c r="DX47" s="222"/>
      <c r="DY47" s="222"/>
      <c r="DZ47" s="222"/>
      <c r="EA47" s="222"/>
      <c r="EB47" s="222"/>
      <c r="EC47" s="222"/>
      <c r="ED47" s="222"/>
      <c r="EE47" s="222"/>
      <c r="EF47" s="222"/>
      <c r="EG47" s="222"/>
      <c r="EH47" s="222"/>
    </row>
    <row r="48" spans="1:138" ht="15.95" hidden="1" outlineLevel="1">
      <c r="A48" s="505"/>
      <c r="B48" s="600"/>
      <c r="C48" s="249" t="s">
        <v>183</v>
      </c>
      <c r="D48" s="250" t="s">
        <v>223</v>
      </c>
      <c r="E48" s="251"/>
      <c r="F48" s="251"/>
      <c r="G48" s="251"/>
      <c r="H48" s="251"/>
      <c r="I48" s="251"/>
      <c r="J48" s="251"/>
      <c r="K48" s="251">
        <f>-Businessplan_prodej!$F$98</f>
        <v>-100000</v>
      </c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60"/>
      <c r="BY48" s="261">
        <f t="shared" ref="BY48:BY52" si="17">SUM(E48:BX48)</f>
        <v>-100000</v>
      </c>
      <c r="BZ48" s="597"/>
      <c r="CA48" s="222"/>
      <c r="CB48" s="248"/>
      <c r="CC48" s="597"/>
      <c r="CD48" s="222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2"/>
      <c r="CV48" s="222"/>
      <c r="CW48" s="222"/>
      <c r="CX48" s="222"/>
      <c r="CY48" s="222"/>
      <c r="CZ48" s="222"/>
      <c r="DA48" s="222"/>
      <c r="DB48" s="222"/>
      <c r="DC48" s="222"/>
      <c r="DD48" s="222"/>
      <c r="DE48" s="222"/>
      <c r="DF48" s="222"/>
      <c r="DG48" s="222"/>
      <c r="DH48" s="222"/>
      <c r="DI48" s="222"/>
      <c r="DJ48" s="222"/>
      <c r="DK48" s="222"/>
      <c r="DL48" s="222"/>
      <c r="DM48" s="222"/>
      <c r="DN48" s="222"/>
      <c r="DO48" s="222"/>
      <c r="DP48" s="222"/>
      <c r="DQ48" s="222"/>
      <c r="DR48" s="222"/>
      <c r="DS48" s="222"/>
      <c r="DT48" s="222"/>
      <c r="DU48" s="222"/>
      <c r="DV48" s="222"/>
      <c r="DW48" s="222"/>
      <c r="DX48" s="222"/>
      <c r="DY48" s="222"/>
      <c r="DZ48" s="222"/>
      <c r="EA48" s="222"/>
      <c r="EB48" s="222"/>
      <c r="EC48" s="222"/>
      <c r="ED48" s="222"/>
      <c r="EE48" s="222"/>
      <c r="EF48" s="222"/>
      <c r="EG48" s="222"/>
      <c r="EH48" s="222"/>
    </row>
    <row r="49" spans="1:138" ht="15.95" hidden="1" outlineLevel="1">
      <c r="A49" s="505"/>
      <c r="B49" s="600"/>
      <c r="C49" s="249" t="s">
        <v>246</v>
      </c>
      <c r="D49" s="250" t="s">
        <v>223</v>
      </c>
      <c r="E49" s="251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51"/>
      <c r="BW49" s="251"/>
      <c r="BX49" s="260"/>
      <c r="BY49" s="261">
        <f t="shared" si="17"/>
        <v>0</v>
      </c>
      <c r="BZ49" s="597"/>
      <c r="CA49" s="222"/>
      <c r="CB49" s="248"/>
      <c r="CC49" s="597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2"/>
      <c r="DE49" s="222"/>
      <c r="DF49" s="222"/>
      <c r="DG49" s="222"/>
      <c r="DH49" s="222"/>
      <c r="DI49" s="222"/>
      <c r="DJ49" s="222"/>
      <c r="DK49" s="222"/>
      <c r="DL49" s="222"/>
      <c r="DM49" s="222"/>
      <c r="DN49" s="222"/>
      <c r="DO49" s="222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2"/>
      <c r="EA49" s="222"/>
      <c r="EB49" s="222"/>
      <c r="EC49" s="222"/>
      <c r="ED49" s="222"/>
      <c r="EE49" s="222"/>
      <c r="EF49" s="222"/>
      <c r="EG49" s="222"/>
      <c r="EH49" s="222"/>
    </row>
    <row r="50" spans="1:138" ht="15.95" hidden="1" outlineLevel="1">
      <c r="A50" s="505"/>
      <c r="B50" s="600"/>
      <c r="C50" s="249" t="s">
        <v>247</v>
      </c>
      <c r="D50" s="250" t="s">
        <v>223</v>
      </c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60"/>
      <c r="BY50" s="261">
        <f t="shared" si="17"/>
        <v>0</v>
      </c>
      <c r="BZ50" s="597"/>
      <c r="CA50" s="222"/>
      <c r="CB50" s="248"/>
      <c r="CC50" s="597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22"/>
      <c r="DH50" s="222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</row>
    <row r="51" spans="1:138" ht="15.95" hidden="1" outlineLevel="1">
      <c r="A51" s="505"/>
      <c r="B51" s="600"/>
      <c r="C51" s="249" t="s">
        <v>189</v>
      </c>
      <c r="D51" s="250" t="s">
        <v>223</v>
      </c>
      <c r="E51" s="251"/>
      <c r="F51" s="251"/>
      <c r="G51" s="251"/>
      <c r="H51" s="251">
        <f>-3-12-5-200-2-12-400-36-(0.02+0.09+0.21+17.06)*22-15.91*24.5</f>
        <v>-1442.155</v>
      </c>
      <c r="I51" s="251">
        <f>-6-5-200-12-400-24-2-16.19*24.5-17.57*22</f>
        <v>-1432.1949999999999</v>
      </c>
      <c r="J51" s="251">
        <f>-Businessplan_prodej!$F$102/12</f>
        <v>-2076.3529166666667</v>
      </c>
      <c r="K51" s="251">
        <f>-Businessplan_prodej!$F$102/12</f>
        <v>-2076.3529166666667</v>
      </c>
      <c r="L51" s="251">
        <f>-Businessplan_prodej!$F$102/12</f>
        <v>-2076.3529166666667</v>
      </c>
      <c r="M51" s="251">
        <f>-Businessplan_prodej!$F$102/12</f>
        <v>-2076.3529166666667</v>
      </c>
      <c r="N51" s="251">
        <f>-Businessplan_prodej!$F$102/12</f>
        <v>-2076.3529166666667</v>
      </c>
      <c r="O51" s="251">
        <f>-Businessplan_prodej!$F$102/12</f>
        <v>-2076.3529166666667</v>
      </c>
      <c r="P51" s="251">
        <f>-Businessplan_prodej!$F$102/12</f>
        <v>-2076.3529166666667</v>
      </c>
      <c r="Q51" s="251">
        <f>-Businessplan_prodej!$F$102/12</f>
        <v>-2076.3529166666667</v>
      </c>
      <c r="R51" s="251">
        <f>-Businessplan_prodej!$F$102/12</f>
        <v>-2076.3529166666667</v>
      </c>
      <c r="S51" s="251">
        <f>-Businessplan_prodej!$F$102/12</f>
        <v>-2076.3529166666667</v>
      </c>
      <c r="T51" s="251">
        <f>-Businessplan_prodej!$F$102/12</f>
        <v>-2076.3529166666667</v>
      </c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60"/>
      <c r="BY51" s="262">
        <f t="shared" si="17"/>
        <v>-25714.232083333336</v>
      </c>
      <c r="BZ51" s="597"/>
      <c r="CA51" s="222"/>
      <c r="CB51" s="248"/>
      <c r="CC51" s="597"/>
      <c r="CD51" s="222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222"/>
      <c r="DJ51" s="222"/>
      <c r="DK51" s="222"/>
      <c r="DL51" s="222"/>
      <c r="DM51" s="222"/>
      <c r="DN51" s="222"/>
      <c r="DO51" s="222"/>
      <c r="DP51" s="222"/>
      <c r="DQ51" s="222"/>
      <c r="DR51" s="222"/>
      <c r="DS51" s="222"/>
      <c r="DT51" s="222"/>
      <c r="DU51" s="222"/>
      <c r="DV51" s="222"/>
      <c r="DW51" s="222"/>
      <c r="DX51" s="222"/>
      <c r="DY51" s="222"/>
      <c r="DZ51" s="222"/>
      <c r="EA51" s="222"/>
      <c r="EB51" s="222"/>
      <c r="EC51" s="222"/>
      <c r="ED51" s="222"/>
      <c r="EE51" s="222"/>
      <c r="EF51" s="222"/>
      <c r="EG51" s="222"/>
      <c r="EH51" s="222"/>
    </row>
    <row r="52" spans="1:138" ht="15.95" hidden="1" outlineLevel="1">
      <c r="A52" s="505"/>
      <c r="B52" s="600"/>
      <c r="C52" s="249" t="s">
        <v>190</v>
      </c>
      <c r="D52" s="254" t="s">
        <v>223</v>
      </c>
      <c r="E52" s="255"/>
      <c r="F52" s="255"/>
      <c r="G52" s="251"/>
      <c r="H52" s="251"/>
      <c r="I52" s="251">
        <f>-3360</f>
        <v>-3360</v>
      </c>
      <c r="J52" s="251"/>
      <c r="K52" s="251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60"/>
      <c r="BY52" s="264">
        <f t="shared" si="17"/>
        <v>-3360</v>
      </c>
      <c r="BZ52" s="597"/>
      <c r="CA52" s="222"/>
      <c r="CB52" s="248"/>
      <c r="CC52" s="597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</row>
    <row r="53" spans="1:138" ht="15.95">
      <c r="A53" s="505"/>
      <c r="B53" s="600"/>
      <c r="C53" s="244" t="s">
        <v>248</v>
      </c>
      <c r="D53" s="245"/>
      <c r="E53" s="246">
        <f t="shared" ref="E53:BX53" si="18">SUM(E54:E60)</f>
        <v>0</v>
      </c>
      <c r="F53" s="246">
        <f t="shared" si="18"/>
        <v>0</v>
      </c>
      <c r="G53" s="246">
        <f t="shared" si="18"/>
        <v>0</v>
      </c>
      <c r="H53" s="246">
        <f t="shared" si="18"/>
        <v>0</v>
      </c>
      <c r="I53" s="246">
        <f t="shared" si="18"/>
        <v>0</v>
      </c>
      <c r="J53" s="246">
        <f t="shared" si="18"/>
        <v>0</v>
      </c>
      <c r="K53" s="246">
        <f t="shared" si="18"/>
        <v>0</v>
      </c>
      <c r="L53" s="246">
        <f t="shared" si="18"/>
        <v>0</v>
      </c>
      <c r="M53" s="246">
        <f t="shared" si="18"/>
        <v>-165083.33333333334</v>
      </c>
      <c r="N53" s="246">
        <f t="shared" si="18"/>
        <v>-215833.33333333337</v>
      </c>
      <c r="O53" s="246">
        <f t="shared" si="18"/>
        <v>-271833.33333333337</v>
      </c>
      <c r="P53" s="246">
        <f t="shared" si="18"/>
        <v>-280000.00000000006</v>
      </c>
      <c r="Q53" s="246">
        <f t="shared" si="18"/>
        <v>-285441.03583333333</v>
      </c>
      <c r="R53" s="246">
        <f t="shared" si="18"/>
        <v>-285441.03583333333</v>
      </c>
      <c r="S53" s="246">
        <f t="shared" si="18"/>
        <v>-285441.03583333333</v>
      </c>
      <c r="T53" s="246" t="e">
        <f t="shared" si="18"/>
        <v>#REF!</v>
      </c>
      <c r="U53" s="246">
        <f t="shared" si="18"/>
        <v>0</v>
      </c>
      <c r="V53" s="246">
        <f t="shared" si="18"/>
        <v>0</v>
      </c>
      <c r="W53" s="246">
        <f t="shared" si="18"/>
        <v>0</v>
      </c>
      <c r="X53" s="246">
        <f t="shared" si="18"/>
        <v>0</v>
      </c>
      <c r="Y53" s="246">
        <f t="shared" si="18"/>
        <v>0</v>
      </c>
      <c r="Z53" s="246">
        <f t="shared" si="18"/>
        <v>0</v>
      </c>
      <c r="AA53" s="246">
        <f t="shared" si="18"/>
        <v>0</v>
      </c>
      <c r="AB53" s="246">
        <f t="shared" si="18"/>
        <v>0</v>
      </c>
      <c r="AC53" s="246">
        <f t="shared" si="18"/>
        <v>0</v>
      </c>
      <c r="AD53" s="246">
        <f t="shared" si="18"/>
        <v>0</v>
      </c>
      <c r="AE53" s="246">
        <f t="shared" si="18"/>
        <v>0</v>
      </c>
      <c r="AF53" s="246">
        <f t="shared" si="18"/>
        <v>0</v>
      </c>
      <c r="AG53" s="246">
        <f t="shared" si="18"/>
        <v>0</v>
      </c>
      <c r="AH53" s="246">
        <f t="shared" si="18"/>
        <v>0</v>
      </c>
      <c r="AI53" s="246">
        <f t="shared" si="18"/>
        <v>0</v>
      </c>
      <c r="AJ53" s="246">
        <f t="shared" si="18"/>
        <v>0</v>
      </c>
      <c r="AK53" s="246">
        <f t="shared" si="18"/>
        <v>0</v>
      </c>
      <c r="AL53" s="246">
        <f t="shared" si="18"/>
        <v>0</v>
      </c>
      <c r="AM53" s="246">
        <f t="shared" si="18"/>
        <v>0</v>
      </c>
      <c r="AN53" s="246">
        <f t="shared" si="18"/>
        <v>0</v>
      </c>
      <c r="AO53" s="246">
        <f t="shared" si="18"/>
        <v>0</v>
      </c>
      <c r="AP53" s="246">
        <f t="shared" si="18"/>
        <v>0</v>
      </c>
      <c r="AQ53" s="246">
        <f t="shared" si="18"/>
        <v>0</v>
      </c>
      <c r="AR53" s="246">
        <f t="shared" si="18"/>
        <v>0</v>
      </c>
      <c r="AS53" s="246">
        <f t="shared" si="18"/>
        <v>0</v>
      </c>
      <c r="AT53" s="246">
        <f t="shared" si="18"/>
        <v>0</v>
      </c>
      <c r="AU53" s="246">
        <f t="shared" si="18"/>
        <v>0</v>
      </c>
      <c r="AV53" s="246">
        <f t="shared" si="18"/>
        <v>0</v>
      </c>
      <c r="AW53" s="246">
        <f t="shared" si="18"/>
        <v>0</v>
      </c>
      <c r="AX53" s="246">
        <f t="shared" si="18"/>
        <v>0</v>
      </c>
      <c r="AY53" s="246">
        <f t="shared" si="18"/>
        <v>0</v>
      </c>
      <c r="AZ53" s="246">
        <f t="shared" si="18"/>
        <v>0</v>
      </c>
      <c r="BA53" s="246">
        <f t="shared" si="18"/>
        <v>0</v>
      </c>
      <c r="BB53" s="246">
        <f t="shared" si="18"/>
        <v>0</v>
      </c>
      <c r="BC53" s="246">
        <f t="shared" si="18"/>
        <v>0</v>
      </c>
      <c r="BD53" s="246">
        <f t="shared" si="18"/>
        <v>0</v>
      </c>
      <c r="BE53" s="246">
        <f t="shared" si="18"/>
        <v>0</v>
      </c>
      <c r="BF53" s="246">
        <f t="shared" si="18"/>
        <v>0</v>
      </c>
      <c r="BG53" s="246">
        <f t="shared" si="18"/>
        <v>0</v>
      </c>
      <c r="BH53" s="246">
        <f t="shared" si="18"/>
        <v>0</v>
      </c>
      <c r="BI53" s="246">
        <f t="shared" si="18"/>
        <v>0</v>
      </c>
      <c r="BJ53" s="246">
        <f t="shared" si="18"/>
        <v>0</v>
      </c>
      <c r="BK53" s="246">
        <f t="shared" si="18"/>
        <v>0</v>
      </c>
      <c r="BL53" s="246">
        <f t="shared" si="18"/>
        <v>0</v>
      </c>
      <c r="BM53" s="246">
        <f t="shared" si="18"/>
        <v>0</v>
      </c>
      <c r="BN53" s="246">
        <f t="shared" si="18"/>
        <v>0</v>
      </c>
      <c r="BO53" s="246">
        <f t="shared" si="18"/>
        <v>0</v>
      </c>
      <c r="BP53" s="246">
        <f t="shared" si="18"/>
        <v>0</v>
      </c>
      <c r="BQ53" s="246">
        <f t="shared" si="18"/>
        <v>0</v>
      </c>
      <c r="BR53" s="246">
        <f t="shared" si="18"/>
        <v>0</v>
      </c>
      <c r="BS53" s="246">
        <f t="shared" si="18"/>
        <v>0</v>
      </c>
      <c r="BT53" s="246">
        <f t="shared" si="18"/>
        <v>0</v>
      </c>
      <c r="BU53" s="246">
        <f t="shared" si="18"/>
        <v>0</v>
      </c>
      <c r="BV53" s="246">
        <f t="shared" si="18"/>
        <v>0</v>
      </c>
      <c r="BW53" s="246">
        <f t="shared" si="18"/>
        <v>0</v>
      </c>
      <c r="BX53" s="246">
        <f t="shared" si="18"/>
        <v>0</v>
      </c>
      <c r="BY53" s="248" t="e">
        <f>SUM(BY54:BY60)</f>
        <v>#REF!</v>
      </c>
      <c r="BZ53" s="597"/>
      <c r="CA53" s="222"/>
      <c r="CB53" s="248"/>
      <c r="CC53" s="597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</row>
    <row r="54" spans="1:138" ht="15.95" outlineLevel="1">
      <c r="A54" s="505"/>
      <c r="B54" s="600"/>
      <c r="C54" s="249" t="s">
        <v>249</v>
      </c>
      <c r="D54" s="275">
        <v>0.105</v>
      </c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60"/>
      <c r="BN54" s="260"/>
      <c r="BO54" s="260"/>
      <c r="BP54" s="260"/>
      <c r="BQ54" s="260"/>
      <c r="BR54" s="260"/>
      <c r="BS54" s="260"/>
      <c r="BT54" s="260"/>
      <c r="BU54" s="260"/>
      <c r="BV54" s="260"/>
      <c r="BW54" s="260"/>
      <c r="BX54" s="260"/>
      <c r="BY54" s="276">
        <f t="shared" ref="BY54:BY60" si="19">SUM(E54:BX54)</f>
        <v>0</v>
      </c>
      <c r="BZ54" s="597"/>
      <c r="CA54" s="222"/>
      <c r="CB54" s="248"/>
      <c r="CC54" s="597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</row>
    <row r="55" spans="1:138" ht="15.95" outlineLevel="1">
      <c r="A55" s="505"/>
      <c r="B55" s="600"/>
      <c r="C55" s="249" t="s">
        <v>250</v>
      </c>
      <c r="D55" s="275">
        <v>0.105</v>
      </c>
      <c r="E55" s="251"/>
      <c r="F55" s="251"/>
      <c r="G55" s="251"/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 t="e">
        <f>-SUM(' Interest Calc EQ FAKT'!J13:J22)-' Interest Calc EQ FAKT'!J22</f>
        <v>#REF!</v>
      </c>
      <c r="U55" s="251"/>
      <c r="V55" s="251"/>
      <c r="W55" s="251"/>
      <c r="X55" s="251"/>
      <c r="Y55" s="251"/>
      <c r="Z55" s="251"/>
      <c r="AA55" s="251"/>
      <c r="AB55" s="251"/>
      <c r="AC55" s="251"/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Q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51"/>
      <c r="BF55" s="251"/>
      <c r="BG55" s="251"/>
      <c r="BH55" s="251"/>
      <c r="BI55" s="251"/>
      <c r="BJ55" s="251"/>
      <c r="BK55" s="251"/>
      <c r="BL55" s="251"/>
      <c r="BM55" s="260"/>
      <c r="BN55" s="260"/>
      <c r="BO55" s="260"/>
      <c r="BP55" s="260"/>
      <c r="BQ55" s="260"/>
      <c r="BR55" s="260"/>
      <c r="BS55" s="260"/>
      <c r="BT55" s="260"/>
      <c r="BU55" s="260"/>
      <c r="BV55" s="260"/>
      <c r="BW55" s="260"/>
      <c r="BX55" s="260"/>
      <c r="BY55" s="276" t="e">
        <f t="shared" si="19"/>
        <v>#REF!</v>
      </c>
      <c r="BZ55" s="597"/>
      <c r="CA55" s="222"/>
      <c r="CB55" s="248"/>
      <c r="CC55" s="597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222"/>
      <c r="DJ55" s="222"/>
      <c r="DK55" s="222"/>
      <c r="DL55" s="222"/>
      <c r="DM55" s="222"/>
      <c r="DN55" s="222"/>
      <c r="DO55" s="222"/>
      <c r="DP55" s="222"/>
      <c r="DQ55" s="222"/>
      <c r="DR55" s="222"/>
      <c r="DS55" s="222"/>
      <c r="DT55" s="222"/>
      <c r="DU55" s="222"/>
      <c r="DV55" s="222"/>
      <c r="DW55" s="222"/>
      <c r="DX55" s="222"/>
      <c r="DY55" s="222"/>
      <c r="DZ55" s="222"/>
      <c r="EA55" s="222"/>
      <c r="EB55" s="222"/>
      <c r="EC55" s="222"/>
      <c r="ED55" s="222"/>
      <c r="EE55" s="222"/>
      <c r="EF55" s="222"/>
      <c r="EG55" s="222"/>
      <c r="EH55" s="222"/>
    </row>
    <row r="56" spans="1:138" ht="15.95" outlineLevel="1">
      <c r="A56" s="505"/>
      <c r="B56" s="600"/>
      <c r="C56" s="249" t="s">
        <v>251</v>
      </c>
      <c r="D56" s="275">
        <v>0.105</v>
      </c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76">
        <f t="shared" si="19"/>
        <v>0</v>
      </c>
      <c r="BZ56" s="597"/>
      <c r="CA56" s="222"/>
      <c r="CB56" s="248"/>
      <c r="CC56" s="597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</row>
    <row r="57" spans="1:138" ht="15.95" outlineLevel="1">
      <c r="A57" s="505"/>
      <c r="B57" s="600"/>
      <c r="C57" s="249" t="s">
        <v>252</v>
      </c>
      <c r="D57" s="275">
        <v>0.105</v>
      </c>
      <c r="E57" s="251"/>
      <c r="F57" s="251"/>
      <c r="G57" s="251"/>
      <c r="H57" s="251"/>
      <c r="I57" s="251"/>
      <c r="J57" s="251"/>
      <c r="K57" s="251"/>
      <c r="L57" s="251"/>
      <c r="M57" s="251"/>
      <c r="N57" s="251"/>
      <c r="O57" s="251"/>
      <c r="P57" s="251"/>
      <c r="Q57" s="251"/>
      <c r="R57" s="251"/>
      <c r="S57" s="251"/>
      <c r="T57" s="251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77">
        <f t="shared" si="19"/>
        <v>0</v>
      </c>
      <c r="BZ57" s="597"/>
      <c r="CA57" s="222"/>
      <c r="CB57" s="248"/>
      <c r="CC57" s="597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</row>
    <row r="58" spans="1:138" ht="15.95" outlineLevel="1">
      <c r="A58" s="505"/>
      <c r="B58" s="600"/>
      <c r="C58" s="249" t="s">
        <v>253</v>
      </c>
      <c r="D58" s="275">
        <v>0.15</v>
      </c>
      <c r="E58" s="251"/>
      <c r="F58" s="251"/>
      <c r="G58" s="251"/>
      <c r="H58" s="251"/>
      <c r="I58" s="251"/>
      <c r="J58" s="251"/>
      <c r="K58" s="251"/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78">
        <f t="shared" si="19"/>
        <v>0</v>
      </c>
      <c r="BZ58" s="597"/>
      <c r="CA58" s="222"/>
      <c r="CB58" s="248"/>
      <c r="CC58" s="597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</row>
    <row r="59" spans="1:138" ht="15.95" outlineLevel="1">
      <c r="A59" s="505"/>
      <c r="B59" s="600"/>
      <c r="C59" s="249" t="s">
        <v>328</v>
      </c>
      <c r="D59" s="279">
        <f>25%/12</f>
        <v>2.0833333333333332E-2</v>
      </c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  <c r="BA59" s="255"/>
      <c r="BB59" s="255"/>
      <c r="BC59" s="255"/>
      <c r="BD59" s="255"/>
      <c r="BE59" s="255"/>
      <c r="BF59" s="255"/>
      <c r="BG59" s="255"/>
      <c r="BH59" s="255"/>
      <c r="BI59" s="255"/>
      <c r="BJ59" s="255"/>
      <c r="BK59" s="255"/>
      <c r="BL59" s="251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78">
        <f t="shared" si="19"/>
        <v>0</v>
      </c>
      <c r="BZ59" s="597"/>
      <c r="CA59" s="222"/>
      <c r="CB59" s="248"/>
      <c r="CC59" s="597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</row>
    <row r="60" spans="1:138" ht="15.95" outlineLevel="1">
      <c r="A60" s="505"/>
      <c r="B60" s="600"/>
      <c r="C60" s="280" t="s">
        <v>255</v>
      </c>
      <c r="D60" s="281">
        <v>7.0000000000000007E-2</v>
      </c>
      <c r="E60" s="282"/>
      <c r="F60" s="282"/>
      <c r="G60" s="282"/>
      <c r="H60" s="282"/>
      <c r="I60" s="282"/>
      <c r="J60" s="282"/>
      <c r="K60" s="282"/>
      <c r="L60" s="282"/>
      <c r="M60" s="282">
        <v>-165083.33333333334</v>
      </c>
      <c r="N60" s="282">
        <v>-215833.33333333337</v>
      </c>
      <c r="O60" s="282">
        <v>-271833.33333333337</v>
      </c>
      <c r="P60" s="282">
        <v>-280000.00000000006</v>
      </c>
      <c r="Q60" s="282">
        <f t="shared" ref="Q60:T60" si="20">-SUM($K$11:Q11)*$D$60/12</f>
        <v>-285441.03583333333</v>
      </c>
      <c r="R60" s="282">
        <f t="shared" si="20"/>
        <v>-285441.03583333333</v>
      </c>
      <c r="S60" s="282">
        <f t="shared" si="20"/>
        <v>-285441.03583333333</v>
      </c>
      <c r="T60" s="282">
        <f t="shared" si="20"/>
        <v>-285441.03583333333</v>
      </c>
      <c r="U60" s="282"/>
      <c r="V60" s="282"/>
      <c r="W60" s="282"/>
      <c r="X60" s="282"/>
      <c r="Y60" s="282"/>
      <c r="Z60" s="282"/>
      <c r="AA60" s="282"/>
      <c r="AB60" s="282"/>
      <c r="AC60" s="282"/>
      <c r="AD60" s="282"/>
      <c r="AE60" s="282"/>
      <c r="AF60" s="282"/>
      <c r="AG60" s="282"/>
      <c r="AH60" s="282"/>
      <c r="AI60" s="282"/>
      <c r="AJ60" s="282"/>
      <c r="AK60" s="282"/>
      <c r="AL60" s="282"/>
      <c r="AM60" s="282"/>
      <c r="AN60" s="282"/>
      <c r="AO60" s="282"/>
      <c r="AP60" s="282"/>
      <c r="AQ60" s="282"/>
      <c r="AR60" s="282"/>
      <c r="AS60" s="282"/>
      <c r="AT60" s="282"/>
      <c r="AU60" s="282"/>
      <c r="AV60" s="282"/>
      <c r="AW60" s="282"/>
      <c r="AX60" s="282"/>
      <c r="AY60" s="282"/>
      <c r="AZ60" s="282"/>
      <c r="BA60" s="282"/>
      <c r="BB60" s="282"/>
      <c r="BC60" s="282"/>
      <c r="BD60" s="282"/>
      <c r="BE60" s="282"/>
      <c r="BF60" s="282"/>
      <c r="BG60" s="282"/>
      <c r="BH60" s="282"/>
      <c r="BI60" s="282"/>
      <c r="BJ60" s="282"/>
      <c r="BK60" s="282"/>
      <c r="BL60" s="282"/>
      <c r="BM60" s="284"/>
      <c r="BN60" s="284"/>
      <c r="BO60" s="284"/>
      <c r="BP60" s="284"/>
      <c r="BQ60" s="284"/>
      <c r="BR60" s="284"/>
      <c r="BS60" s="284"/>
      <c r="BT60" s="284"/>
      <c r="BU60" s="284"/>
      <c r="BV60" s="284"/>
      <c r="BW60" s="284"/>
      <c r="BX60" s="284"/>
      <c r="BY60" s="285">
        <f t="shared" si="19"/>
        <v>-2074514.1433333338</v>
      </c>
      <c r="BZ60" s="597"/>
      <c r="CA60" s="222"/>
      <c r="CB60" s="248"/>
      <c r="CC60" s="597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</row>
    <row r="61" spans="1:138" ht="15.95" collapsed="1">
      <c r="A61" s="505"/>
      <c r="B61" s="600"/>
      <c r="C61" s="244" t="s">
        <v>256</v>
      </c>
      <c r="D61" s="245"/>
      <c r="E61" s="246">
        <f t="shared" ref="E61:BY61" si="21">SUM(E62:E84)</f>
        <v>0</v>
      </c>
      <c r="F61" s="246">
        <f t="shared" si="21"/>
        <v>0</v>
      </c>
      <c r="G61" s="246">
        <f t="shared" si="21"/>
        <v>0</v>
      </c>
      <c r="H61" s="246">
        <f t="shared" si="21"/>
        <v>0</v>
      </c>
      <c r="I61" s="246">
        <f t="shared" si="21"/>
        <v>0</v>
      </c>
      <c r="J61" s="246">
        <f t="shared" si="21"/>
        <v>0</v>
      </c>
      <c r="K61" s="246">
        <f t="shared" si="21"/>
        <v>0</v>
      </c>
      <c r="L61" s="246">
        <f t="shared" si="21"/>
        <v>0</v>
      </c>
      <c r="M61" s="246">
        <f t="shared" si="21"/>
        <v>0</v>
      </c>
      <c r="N61" s="246">
        <f t="shared" si="21"/>
        <v>0</v>
      </c>
      <c r="O61" s="246">
        <f t="shared" si="21"/>
        <v>0</v>
      </c>
      <c r="P61" s="246">
        <f t="shared" si="21"/>
        <v>0</v>
      </c>
      <c r="Q61" s="246">
        <f t="shared" si="21"/>
        <v>-98230.703999999983</v>
      </c>
      <c r="R61" s="246">
        <f t="shared" si="21"/>
        <v>-98230.703999999983</v>
      </c>
      <c r="S61" s="246">
        <f t="shared" si="21"/>
        <v>-98230.703999999983</v>
      </c>
      <c r="T61" s="246">
        <f t="shared" si="21"/>
        <v>-98230.703999999983</v>
      </c>
      <c r="U61" s="246">
        <f t="shared" si="21"/>
        <v>0</v>
      </c>
      <c r="V61" s="246">
        <f t="shared" si="21"/>
        <v>0</v>
      </c>
      <c r="W61" s="246">
        <f t="shared" si="21"/>
        <v>0</v>
      </c>
      <c r="X61" s="246">
        <f t="shared" si="21"/>
        <v>0</v>
      </c>
      <c r="Y61" s="246">
        <f t="shared" si="21"/>
        <v>0</v>
      </c>
      <c r="Z61" s="246">
        <f t="shared" si="21"/>
        <v>0</v>
      </c>
      <c r="AA61" s="246">
        <f t="shared" si="21"/>
        <v>0</v>
      </c>
      <c r="AB61" s="246">
        <f t="shared" si="21"/>
        <v>0</v>
      </c>
      <c r="AC61" s="246">
        <f t="shared" si="21"/>
        <v>0</v>
      </c>
      <c r="AD61" s="246">
        <f t="shared" si="21"/>
        <v>0</v>
      </c>
      <c r="AE61" s="246">
        <f t="shared" si="21"/>
        <v>0</v>
      </c>
      <c r="AF61" s="246">
        <f t="shared" si="21"/>
        <v>0</v>
      </c>
      <c r="AG61" s="246">
        <f t="shared" si="21"/>
        <v>0</v>
      </c>
      <c r="AH61" s="246">
        <f t="shared" si="21"/>
        <v>0</v>
      </c>
      <c r="AI61" s="246">
        <f t="shared" si="21"/>
        <v>0</v>
      </c>
      <c r="AJ61" s="246">
        <f t="shared" si="21"/>
        <v>0</v>
      </c>
      <c r="AK61" s="246">
        <f t="shared" si="21"/>
        <v>0</v>
      </c>
      <c r="AL61" s="246">
        <f t="shared" si="21"/>
        <v>0</v>
      </c>
      <c r="AM61" s="246">
        <f t="shared" si="21"/>
        <v>0</v>
      </c>
      <c r="AN61" s="246">
        <f t="shared" si="21"/>
        <v>0</v>
      </c>
      <c r="AO61" s="246">
        <f t="shared" si="21"/>
        <v>0</v>
      </c>
      <c r="AP61" s="246">
        <f t="shared" si="21"/>
        <v>0</v>
      </c>
      <c r="AQ61" s="246">
        <f t="shared" si="21"/>
        <v>0</v>
      </c>
      <c r="AR61" s="246">
        <f t="shared" si="21"/>
        <v>0</v>
      </c>
      <c r="AS61" s="246">
        <f t="shared" si="21"/>
        <v>0</v>
      </c>
      <c r="AT61" s="246">
        <f t="shared" si="21"/>
        <v>0</v>
      </c>
      <c r="AU61" s="246">
        <f t="shared" si="21"/>
        <v>0</v>
      </c>
      <c r="AV61" s="246">
        <f t="shared" si="21"/>
        <v>0</v>
      </c>
      <c r="AW61" s="246">
        <f t="shared" si="21"/>
        <v>0</v>
      </c>
      <c r="AX61" s="246">
        <f t="shared" si="21"/>
        <v>0</v>
      </c>
      <c r="AY61" s="246">
        <f t="shared" si="21"/>
        <v>0</v>
      </c>
      <c r="AZ61" s="246">
        <f t="shared" si="21"/>
        <v>0</v>
      </c>
      <c r="BA61" s="246">
        <f t="shared" si="21"/>
        <v>0</v>
      </c>
      <c r="BB61" s="246">
        <f t="shared" si="21"/>
        <v>0</v>
      </c>
      <c r="BC61" s="246">
        <f t="shared" si="21"/>
        <v>0</v>
      </c>
      <c r="BD61" s="246">
        <f t="shared" si="21"/>
        <v>0</v>
      </c>
      <c r="BE61" s="246">
        <f t="shared" si="21"/>
        <v>0</v>
      </c>
      <c r="BF61" s="246">
        <f t="shared" si="21"/>
        <v>0</v>
      </c>
      <c r="BG61" s="246">
        <f t="shared" si="21"/>
        <v>0</v>
      </c>
      <c r="BH61" s="246">
        <f t="shared" si="21"/>
        <v>0</v>
      </c>
      <c r="BI61" s="246">
        <f t="shared" si="21"/>
        <v>0</v>
      </c>
      <c r="BJ61" s="246">
        <f t="shared" si="21"/>
        <v>0</v>
      </c>
      <c r="BK61" s="246">
        <f t="shared" si="21"/>
        <v>0</v>
      </c>
      <c r="BL61" s="246">
        <f t="shared" si="21"/>
        <v>0</v>
      </c>
      <c r="BM61" s="246">
        <f t="shared" si="21"/>
        <v>0</v>
      </c>
      <c r="BN61" s="246">
        <f t="shared" si="21"/>
        <v>0</v>
      </c>
      <c r="BO61" s="246">
        <f t="shared" si="21"/>
        <v>0</v>
      </c>
      <c r="BP61" s="246">
        <f t="shared" si="21"/>
        <v>0</v>
      </c>
      <c r="BQ61" s="246">
        <f t="shared" si="21"/>
        <v>0</v>
      </c>
      <c r="BR61" s="246">
        <f t="shared" si="21"/>
        <v>0</v>
      </c>
      <c r="BS61" s="246">
        <f t="shared" si="21"/>
        <v>0</v>
      </c>
      <c r="BT61" s="246">
        <f t="shared" si="21"/>
        <v>0</v>
      </c>
      <c r="BU61" s="246">
        <f t="shared" si="21"/>
        <v>0</v>
      </c>
      <c r="BV61" s="246">
        <f t="shared" si="21"/>
        <v>0</v>
      </c>
      <c r="BW61" s="246">
        <f t="shared" si="21"/>
        <v>0</v>
      </c>
      <c r="BX61" s="246">
        <f t="shared" si="21"/>
        <v>0</v>
      </c>
      <c r="BY61" s="247">
        <f t="shared" si="21"/>
        <v>-392922.81599999993</v>
      </c>
      <c r="BZ61" s="597"/>
      <c r="CA61" s="222"/>
      <c r="CB61" s="248"/>
      <c r="CC61" s="597"/>
      <c r="CD61" s="222"/>
      <c r="CE61" s="222">
        <v>-165083.33333333334</v>
      </c>
      <c r="CF61" s="222">
        <v>-215833.33333333337</v>
      </c>
      <c r="CG61" s="222">
        <v>-271833.33333333337</v>
      </c>
      <c r="CH61" s="222">
        <v>-280000.00000000006</v>
      </c>
      <c r="CI61" s="222">
        <v>-165083.33333333334</v>
      </c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</row>
    <row r="62" spans="1:138" ht="15.95" hidden="1" outlineLevel="1">
      <c r="A62" s="505"/>
      <c r="B62" s="600"/>
      <c r="C62" s="286" t="s">
        <v>257</v>
      </c>
      <c r="D62" s="250" t="s">
        <v>223</v>
      </c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  <c r="AP62" s="252"/>
      <c r="AQ62" s="252"/>
      <c r="AR62" s="252"/>
      <c r="AS62" s="252"/>
      <c r="AT62" s="252"/>
      <c r="AU62" s="252"/>
      <c r="AV62" s="252"/>
      <c r="AW62" s="252"/>
      <c r="AX62" s="252"/>
      <c r="AY62" s="252"/>
      <c r="AZ62" s="252"/>
      <c r="BA62" s="252"/>
      <c r="BB62" s="252"/>
      <c r="BC62" s="252"/>
      <c r="BD62" s="252"/>
      <c r="BE62" s="252"/>
      <c r="BF62" s="252"/>
      <c r="BG62" s="252"/>
      <c r="BH62" s="252"/>
      <c r="BI62" s="252"/>
      <c r="BJ62" s="252"/>
      <c r="BK62" s="252"/>
      <c r="BL62" s="252"/>
      <c r="BM62" s="252"/>
      <c r="BN62" s="252"/>
      <c r="BO62" s="252"/>
      <c r="BP62" s="252"/>
      <c r="BQ62" s="252"/>
      <c r="BR62" s="252"/>
      <c r="BS62" s="252"/>
      <c r="BT62" s="252"/>
      <c r="BU62" s="252"/>
      <c r="BV62" s="252"/>
      <c r="BW62" s="252"/>
      <c r="BX62" s="252"/>
      <c r="BY62" s="287">
        <f t="shared" ref="BY62:BY84" si="22">SUM(E62:BX62)</f>
        <v>0</v>
      </c>
      <c r="BZ62" s="597"/>
      <c r="CA62" s="222"/>
      <c r="CB62" s="248"/>
      <c r="CC62" s="597"/>
      <c r="CD62" s="222"/>
      <c r="CE62" s="222"/>
      <c r="CF62" s="222"/>
      <c r="CG62" s="222"/>
      <c r="CH62" s="222"/>
      <c r="CI62" s="222"/>
      <c r="CJ62" s="222"/>
      <c r="CK62" s="222"/>
      <c r="CL62" s="222"/>
      <c r="CM62" s="222"/>
      <c r="CN62" s="222"/>
      <c r="CO62" s="222"/>
      <c r="CP62" s="222"/>
      <c r="CQ62" s="222"/>
      <c r="CR62" s="222"/>
      <c r="CS62" s="222"/>
      <c r="CT62" s="222"/>
      <c r="CU62" s="222"/>
      <c r="CV62" s="222"/>
      <c r="CW62" s="222"/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222"/>
      <c r="DT62" s="222"/>
      <c r="DU62" s="222"/>
      <c r="DV62" s="222"/>
      <c r="DW62" s="222"/>
      <c r="DX62" s="222"/>
      <c r="DY62" s="222"/>
      <c r="DZ62" s="222"/>
      <c r="EA62" s="222"/>
      <c r="EB62" s="222"/>
      <c r="EC62" s="222"/>
      <c r="ED62" s="222"/>
      <c r="EE62" s="222"/>
      <c r="EF62" s="222"/>
      <c r="EG62" s="222"/>
      <c r="EH62" s="222"/>
    </row>
    <row r="63" spans="1:138" ht="15.95" hidden="1" outlineLevel="1">
      <c r="A63" s="505"/>
      <c r="B63" s="600"/>
      <c r="C63" s="288" t="s">
        <v>258</v>
      </c>
      <c r="D63" s="250" t="s">
        <v>223</v>
      </c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  <c r="AP63" s="252"/>
      <c r="AQ63" s="252"/>
      <c r="AR63" s="252"/>
      <c r="AS63" s="252"/>
      <c r="AT63" s="252"/>
      <c r="AU63" s="252"/>
      <c r="AV63" s="252"/>
      <c r="AW63" s="252"/>
      <c r="AX63" s="252"/>
      <c r="AY63" s="252"/>
      <c r="AZ63" s="252"/>
      <c r="BA63" s="252"/>
      <c r="BB63" s="252"/>
      <c r="BC63" s="252"/>
      <c r="BD63" s="252"/>
      <c r="BE63" s="252"/>
      <c r="BF63" s="252"/>
      <c r="BG63" s="252"/>
      <c r="BH63" s="252"/>
      <c r="BI63" s="252"/>
      <c r="BJ63" s="252"/>
      <c r="BK63" s="252"/>
      <c r="BL63" s="252"/>
      <c r="BM63" s="252"/>
      <c r="BN63" s="252"/>
      <c r="BO63" s="252"/>
      <c r="BP63" s="252"/>
      <c r="BQ63" s="252"/>
      <c r="BR63" s="252"/>
      <c r="BS63" s="252"/>
      <c r="BT63" s="252"/>
      <c r="BU63" s="252"/>
      <c r="BV63" s="252"/>
      <c r="BW63" s="252"/>
      <c r="BX63" s="252"/>
      <c r="BY63" s="287">
        <f t="shared" si="22"/>
        <v>0</v>
      </c>
      <c r="BZ63" s="597"/>
      <c r="CA63" s="222"/>
      <c r="CB63" s="248"/>
      <c r="CC63" s="597"/>
      <c r="CD63" s="222"/>
      <c r="CE63" s="222"/>
      <c r="CF63" s="222"/>
      <c r="CG63" s="222"/>
      <c r="CH63" s="222"/>
      <c r="CI63" s="222"/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2"/>
      <c r="DI63" s="222"/>
      <c r="DJ63" s="222"/>
      <c r="DK63" s="222"/>
      <c r="DL63" s="222"/>
      <c r="DM63" s="222"/>
      <c r="DN63" s="222"/>
      <c r="DO63" s="222"/>
      <c r="DP63" s="222"/>
      <c r="DQ63" s="222"/>
      <c r="DR63" s="222"/>
      <c r="DS63" s="222"/>
      <c r="DT63" s="222"/>
      <c r="DU63" s="222"/>
      <c r="DV63" s="222"/>
      <c r="DW63" s="222"/>
      <c r="DX63" s="222"/>
      <c r="DY63" s="222"/>
      <c r="DZ63" s="222"/>
      <c r="EA63" s="222"/>
      <c r="EB63" s="222"/>
      <c r="EC63" s="222"/>
      <c r="ED63" s="222"/>
      <c r="EE63" s="222"/>
      <c r="EF63" s="222"/>
      <c r="EG63" s="222"/>
      <c r="EH63" s="222"/>
    </row>
    <row r="64" spans="1:138" ht="15.95" hidden="1" outlineLevel="1">
      <c r="A64" s="505"/>
      <c r="B64" s="600"/>
      <c r="C64" s="288" t="s">
        <v>259</v>
      </c>
      <c r="D64" s="250" t="s">
        <v>223</v>
      </c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87">
        <f t="shared" si="22"/>
        <v>0</v>
      </c>
      <c r="BZ64" s="597"/>
      <c r="CA64" s="222"/>
      <c r="CB64" s="248"/>
      <c r="CC64" s="597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</row>
    <row r="65" spans="1:138" ht="15.95" hidden="1" outlineLevel="1">
      <c r="A65" s="505"/>
      <c r="B65" s="600"/>
      <c r="C65" s="288" t="s">
        <v>260</v>
      </c>
      <c r="D65" s="250" t="s">
        <v>223</v>
      </c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87">
        <f t="shared" si="22"/>
        <v>0</v>
      </c>
      <c r="BZ65" s="597"/>
      <c r="CA65" s="222"/>
      <c r="CB65" s="248"/>
      <c r="CC65" s="597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2"/>
      <c r="DC65" s="222"/>
      <c r="DD65" s="222"/>
      <c r="DE65" s="222"/>
      <c r="DF65" s="222"/>
      <c r="DG65" s="222"/>
      <c r="DH65" s="222"/>
      <c r="DI65" s="222"/>
      <c r="DJ65" s="222"/>
      <c r="DK65" s="222"/>
      <c r="DL65" s="222"/>
      <c r="DM65" s="222"/>
      <c r="DN65" s="222"/>
      <c r="DO65" s="222"/>
      <c r="DP65" s="222"/>
      <c r="DQ65" s="222"/>
      <c r="DR65" s="222"/>
      <c r="DS65" s="222"/>
      <c r="DT65" s="222"/>
      <c r="DU65" s="222"/>
      <c r="DV65" s="222"/>
      <c r="DW65" s="222"/>
      <c r="DX65" s="222"/>
      <c r="DY65" s="222"/>
      <c r="DZ65" s="222"/>
      <c r="EA65" s="222"/>
      <c r="EB65" s="222"/>
      <c r="EC65" s="222"/>
      <c r="ED65" s="222"/>
      <c r="EE65" s="222"/>
      <c r="EF65" s="222"/>
      <c r="EG65" s="222"/>
      <c r="EH65" s="222"/>
    </row>
    <row r="66" spans="1:138" ht="15.95" hidden="1" outlineLevel="1">
      <c r="A66" s="505"/>
      <c r="B66" s="600"/>
      <c r="C66" s="288" t="s">
        <v>261</v>
      </c>
      <c r="D66" s="250" t="s">
        <v>223</v>
      </c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87">
        <f t="shared" si="22"/>
        <v>0</v>
      </c>
      <c r="BZ66" s="597"/>
      <c r="CA66" s="222"/>
      <c r="CB66" s="248"/>
      <c r="CC66" s="597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</row>
    <row r="67" spans="1:138" ht="15.95" hidden="1" outlineLevel="1">
      <c r="A67" s="505"/>
      <c r="B67" s="600"/>
      <c r="C67" s="288" t="s">
        <v>262</v>
      </c>
      <c r="D67" s="250" t="s">
        <v>223</v>
      </c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87">
        <f t="shared" si="22"/>
        <v>0</v>
      </c>
      <c r="BZ67" s="597"/>
      <c r="CA67" s="222"/>
      <c r="CB67" s="248"/>
      <c r="CC67" s="597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</row>
    <row r="68" spans="1:138" ht="15.95" hidden="1" outlineLevel="1">
      <c r="A68" s="505"/>
      <c r="B68" s="600"/>
      <c r="C68" s="288" t="s">
        <v>263</v>
      </c>
      <c r="D68" s="250" t="s">
        <v>223</v>
      </c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87">
        <f t="shared" si="22"/>
        <v>0</v>
      </c>
      <c r="BZ68" s="597"/>
      <c r="CA68" s="222"/>
      <c r="CB68" s="248"/>
      <c r="CC68" s="597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</row>
    <row r="69" spans="1:138" ht="15.95" hidden="1" outlineLevel="1">
      <c r="A69" s="505"/>
      <c r="B69" s="600"/>
      <c r="C69" s="288" t="s">
        <v>264</v>
      </c>
      <c r="D69" s="250" t="s">
        <v>223</v>
      </c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87">
        <f t="shared" si="22"/>
        <v>0</v>
      </c>
      <c r="BZ69" s="597"/>
      <c r="CA69" s="222"/>
      <c r="CB69" s="248"/>
      <c r="CC69" s="597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</row>
    <row r="70" spans="1:138" ht="15.95" hidden="1" outlineLevel="1">
      <c r="A70" s="505"/>
      <c r="B70" s="600"/>
      <c r="C70" s="288" t="s">
        <v>265</v>
      </c>
      <c r="D70" s="250" t="s">
        <v>223</v>
      </c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87">
        <f t="shared" si="22"/>
        <v>0</v>
      </c>
      <c r="BZ70" s="597"/>
      <c r="CA70" s="222"/>
      <c r="CB70" s="248"/>
      <c r="CC70" s="597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2"/>
      <c r="DI70" s="222"/>
      <c r="DJ70" s="222"/>
      <c r="DK70" s="222"/>
      <c r="DL70" s="222"/>
      <c r="DM70" s="222"/>
      <c r="DN70" s="222"/>
      <c r="DO70" s="222"/>
      <c r="DP70" s="222"/>
      <c r="DQ70" s="222"/>
      <c r="DR70" s="222"/>
      <c r="DS70" s="222"/>
      <c r="DT70" s="222"/>
      <c r="DU70" s="222"/>
      <c r="DV70" s="222"/>
      <c r="DW70" s="222"/>
      <c r="DX70" s="222"/>
      <c r="DY70" s="222"/>
      <c r="DZ70" s="222"/>
      <c r="EA70" s="222"/>
      <c r="EB70" s="222"/>
      <c r="EC70" s="222"/>
      <c r="ED70" s="222"/>
      <c r="EE70" s="222"/>
      <c r="EF70" s="222"/>
      <c r="EG70" s="222"/>
      <c r="EH70" s="222"/>
    </row>
    <row r="71" spans="1:138" ht="15.95" hidden="1" outlineLevel="1">
      <c r="A71" s="505"/>
      <c r="B71" s="600"/>
      <c r="C71" s="288" t="s">
        <v>266</v>
      </c>
      <c r="D71" s="250" t="s">
        <v>223</v>
      </c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87">
        <f t="shared" si="22"/>
        <v>0</v>
      </c>
      <c r="BZ71" s="597"/>
      <c r="CA71" s="222"/>
      <c r="CB71" s="248"/>
      <c r="CC71" s="597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D71" s="222"/>
      <c r="EE71" s="222"/>
      <c r="EF71" s="222"/>
      <c r="EG71" s="222"/>
      <c r="EH71" s="222"/>
    </row>
    <row r="72" spans="1:138" ht="15.95" hidden="1" outlineLevel="1">
      <c r="A72" s="505"/>
      <c r="B72" s="600"/>
      <c r="C72" s="288" t="s">
        <v>267</v>
      </c>
      <c r="D72" s="250" t="s">
        <v>223</v>
      </c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87">
        <f t="shared" si="22"/>
        <v>0</v>
      </c>
      <c r="BZ72" s="597"/>
      <c r="CA72" s="222"/>
      <c r="CB72" s="248"/>
      <c r="CC72" s="597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2"/>
      <c r="DI72" s="222"/>
      <c r="DJ72" s="222"/>
      <c r="DK72" s="222"/>
      <c r="DL72" s="222"/>
      <c r="DM72" s="222"/>
      <c r="DN72" s="222"/>
      <c r="DO72" s="222"/>
      <c r="DP72" s="222"/>
      <c r="DQ72" s="222"/>
      <c r="DR72" s="222"/>
      <c r="DS72" s="222"/>
      <c r="DT72" s="222"/>
      <c r="DU72" s="222"/>
      <c r="DV72" s="222"/>
      <c r="DW72" s="222"/>
      <c r="DX72" s="222"/>
      <c r="DY72" s="222"/>
      <c r="DZ72" s="222"/>
      <c r="EA72" s="222"/>
      <c r="EB72" s="222"/>
      <c r="EC72" s="222"/>
      <c r="ED72" s="222"/>
      <c r="EE72" s="222"/>
      <c r="EF72" s="222"/>
      <c r="EG72" s="222"/>
      <c r="EH72" s="222"/>
    </row>
    <row r="73" spans="1:138" ht="15.95" hidden="1" outlineLevel="1">
      <c r="A73" s="505"/>
      <c r="B73" s="600"/>
      <c r="C73" s="288" t="s">
        <v>268</v>
      </c>
      <c r="D73" s="250" t="s">
        <v>223</v>
      </c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87">
        <f t="shared" si="22"/>
        <v>0</v>
      </c>
      <c r="BZ73" s="597"/>
      <c r="CA73" s="222"/>
      <c r="CB73" s="248"/>
      <c r="CC73" s="597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  <c r="DI73" s="222"/>
      <c r="DJ73" s="222"/>
      <c r="DK73" s="222"/>
      <c r="DL73" s="222"/>
      <c r="DM73" s="222"/>
      <c r="DN73" s="222"/>
      <c r="DO73" s="222"/>
      <c r="DP73" s="222"/>
      <c r="DQ73" s="222"/>
      <c r="DR73" s="222"/>
      <c r="DS73" s="222"/>
      <c r="DT73" s="222"/>
      <c r="DU73" s="222"/>
      <c r="DV73" s="222"/>
      <c r="DW73" s="222"/>
      <c r="DX73" s="222"/>
      <c r="DY73" s="222"/>
      <c r="DZ73" s="222"/>
      <c r="EA73" s="222"/>
      <c r="EB73" s="222"/>
      <c r="EC73" s="222"/>
      <c r="ED73" s="222"/>
      <c r="EE73" s="222"/>
      <c r="EF73" s="222"/>
      <c r="EG73" s="222"/>
      <c r="EH73" s="222"/>
    </row>
    <row r="74" spans="1:138" ht="15.95" hidden="1" outlineLevel="1">
      <c r="A74" s="505"/>
      <c r="B74" s="600"/>
      <c r="C74" s="288" t="s">
        <v>269</v>
      </c>
      <c r="D74" s="250" t="s">
        <v>223</v>
      </c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87">
        <f t="shared" si="22"/>
        <v>0</v>
      </c>
      <c r="BZ74" s="597"/>
      <c r="CA74" s="222"/>
      <c r="CB74" s="248"/>
      <c r="CC74" s="597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2"/>
      <c r="DI74" s="222"/>
      <c r="DJ74" s="222"/>
      <c r="DK74" s="222"/>
      <c r="DL74" s="222"/>
      <c r="DM74" s="222"/>
      <c r="DN74" s="222"/>
      <c r="DO74" s="222"/>
      <c r="DP74" s="222"/>
      <c r="DQ74" s="222"/>
      <c r="DR74" s="222"/>
      <c r="DS74" s="222"/>
      <c r="DT74" s="222"/>
      <c r="DU74" s="222"/>
      <c r="DV74" s="222"/>
      <c r="DW74" s="222"/>
      <c r="DX74" s="222"/>
      <c r="DY74" s="222"/>
      <c r="DZ74" s="222"/>
      <c r="EA74" s="222"/>
      <c r="EB74" s="222"/>
      <c r="EC74" s="222"/>
      <c r="ED74" s="222"/>
      <c r="EE74" s="222"/>
      <c r="EF74" s="222"/>
      <c r="EG74" s="222"/>
      <c r="EH74" s="222"/>
    </row>
    <row r="75" spans="1:138" ht="15.95" hidden="1" outlineLevel="1">
      <c r="A75" s="505"/>
      <c r="B75" s="600"/>
      <c r="C75" s="288" t="s">
        <v>270</v>
      </c>
      <c r="D75" s="250" t="s">
        <v>223</v>
      </c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87">
        <f t="shared" si="22"/>
        <v>0</v>
      </c>
      <c r="BZ75" s="597"/>
      <c r="CA75" s="222"/>
      <c r="CB75" s="248"/>
      <c r="CC75" s="597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</row>
    <row r="76" spans="1:138" ht="15.95" hidden="1" outlineLevel="1">
      <c r="A76" s="505"/>
      <c r="B76" s="600"/>
      <c r="C76" s="288" t="s">
        <v>271</v>
      </c>
      <c r="D76" s="250" t="s">
        <v>223</v>
      </c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87">
        <f t="shared" si="22"/>
        <v>0</v>
      </c>
      <c r="BZ76" s="597"/>
      <c r="CA76" s="222"/>
      <c r="CB76" s="248"/>
      <c r="CC76" s="597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</row>
    <row r="77" spans="1:138" ht="15.95" hidden="1" outlineLevel="1">
      <c r="A77" s="505"/>
      <c r="B77" s="600"/>
      <c r="C77" s="288" t="s">
        <v>272</v>
      </c>
      <c r="D77" s="250" t="s">
        <v>223</v>
      </c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87">
        <f t="shared" si="22"/>
        <v>0</v>
      </c>
      <c r="BZ77" s="597"/>
      <c r="CA77" s="222"/>
      <c r="CB77" s="248"/>
      <c r="CC77" s="597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</row>
    <row r="78" spans="1:138" ht="15.95" hidden="1" outlineLevel="1">
      <c r="A78" s="505"/>
      <c r="B78" s="600"/>
      <c r="C78" s="288" t="s">
        <v>273</v>
      </c>
      <c r="D78" s="250" t="s">
        <v>223</v>
      </c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87">
        <f t="shared" si="22"/>
        <v>0</v>
      </c>
      <c r="BZ78" s="597"/>
      <c r="CA78" s="222"/>
      <c r="CB78" s="248"/>
      <c r="CC78" s="597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</row>
    <row r="79" spans="1:138" ht="15.95" hidden="1" outlineLevel="1">
      <c r="A79" s="505"/>
      <c r="B79" s="600"/>
      <c r="C79" s="288" t="s">
        <v>274</v>
      </c>
      <c r="D79" s="250" t="s">
        <v>223</v>
      </c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87">
        <f t="shared" si="22"/>
        <v>0</v>
      </c>
      <c r="BZ79" s="597"/>
      <c r="CA79" s="222"/>
      <c r="CB79" s="248"/>
      <c r="CC79" s="597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</row>
    <row r="80" spans="1:138" ht="15.95" hidden="1" outlineLevel="1">
      <c r="A80" s="505"/>
      <c r="B80" s="600"/>
      <c r="C80" s="289" t="s">
        <v>178</v>
      </c>
      <c r="D80" s="250" t="s">
        <v>223</v>
      </c>
      <c r="E80" s="252"/>
      <c r="F80" s="251"/>
      <c r="G80" s="251"/>
      <c r="H80" s="251"/>
      <c r="I80" s="251"/>
      <c r="J80" s="251"/>
      <c r="K80" s="251"/>
      <c r="L80" s="251"/>
      <c r="M80" s="251"/>
      <c r="N80" s="251"/>
      <c r="O80" s="251"/>
      <c r="P80" s="251"/>
      <c r="Q80" s="251">
        <f>-Businessplan_prodej!$N$19/12*1.21</f>
        <v>-98230.703999999983</v>
      </c>
      <c r="R80" s="251">
        <f>-Businessplan_prodej!$N$19/12*1.21</f>
        <v>-98230.703999999983</v>
      </c>
      <c r="S80" s="251">
        <f>-Businessplan_prodej!$N$19/12*1.21</f>
        <v>-98230.703999999983</v>
      </c>
      <c r="T80" s="251">
        <f>-Businessplan_prodej!$N$19/12*1.21</f>
        <v>-98230.703999999983</v>
      </c>
      <c r="U80" s="251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87">
        <f t="shared" si="22"/>
        <v>-392922.81599999993</v>
      </c>
      <c r="BZ80" s="597"/>
      <c r="CA80" s="222"/>
      <c r="CB80" s="248"/>
      <c r="CC80" s="597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</row>
    <row r="81" spans="1:138" ht="15.95" hidden="1" outlineLevel="1">
      <c r="A81" s="505"/>
      <c r="B81" s="600"/>
      <c r="C81" s="288" t="s">
        <v>179</v>
      </c>
      <c r="D81" s="250" t="s">
        <v>223</v>
      </c>
      <c r="E81" s="252"/>
      <c r="F81" s="251"/>
      <c r="G81" s="251"/>
      <c r="H81" s="251"/>
      <c r="I81" s="251"/>
      <c r="J81" s="251"/>
      <c r="K81" s="251"/>
      <c r="L81" s="251"/>
      <c r="M81" s="251"/>
      <c r="N81" s="251"/>
      <c r="O81" s="251"/>
      <c r="P81" s="251"/>
      <c r="Q81" s="251"/>
      <c r="R81" s="251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G81" s="251"/>
      <c r="BH81" s="251"/>
      <c r="BI81" s="251"/>
      <c r="BJ81" s="251"/>
      <c r="BK81" s="251"/>
      <c r="BL81" s="251"/>
      <c r="BM81" s="251"/>
      <c r="BN81" s="251"/>
      <c r="BO81" s="251"/>
      <c r="BP81" s="251"/>
      <c r="BQ81" s="251"/>
      <c r="BR81" s="251"/>
      <c r="BS81" s="251"/>
      <c r="BT81" s="251"/>
      <c r="BU81" s="251"/>
      <c r="BV81" s="251"/>
      <c r="BW81" s="251"/>
      <c r="BX81" s="251"/>
      <c r="BY81" s="287">
        <f t="shared" si="22"/>
        <v>0</v>
      </c>
      <c r="BZ81" s="597"/>
      <c r="CA81" s="222"/>
      <c r="CB81" s="248"/>
      <c r="CC81" s="597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</row>
    <row r="82" spans="1:138" ht="15.95" hidden="1" outlineLevel="1">
      <c r="A82" s="505"/>
      <c r="B82" s="600"/>
      <c r="C82" s="288" t="s">
        <v>189</v>
      </c>
      <c r="D82" s="250" t="s">
        <v>223</v>
      </c>
      <c r="E82" s="252"/>
      <c r="F82" s="251"/>
      <c r="G82" s="251"/>
      <c r="H82" s="251"/>
      <c r="I82" s="251"/>
      <c r="J82" s="251"/>
      <c r="K82" s="251"/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87">
        <f t="shared" si="22"/>
        <v>0</v>
      </c>
      <c r="BZ82" s="597"/>
      <c r="CA82" s="222"/>
      <c r="CB82" s="248"/>
      <c r="CC82" s="597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</row>
    <row r="83" spans="1:138" ht="15.95" hidden="1" outlineLevel="1">
      <c r="A83" s="505"/>
      <c r="B83" s="600"/>
      <c r="C83" s="288" t="s">
        <v>190</v>
      </c>
      <c r="D83" s="250" t="s">
        <v>223</v>
      </c>
      <c r="E83" s="252"/>
      <c r="F83" s="251"/>
      <c r="G83" s="251"/>
      <c r="H83" s="251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87">
        <f t="shared" si="22"/>
        <v>0</v>
      </c>
      <c r="BZ83" s="597"/>
      <c r="CA83" s="222"/>
      <c r="CB83" s="248"/>
      <c r="CC83" s="597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</row>
    <row r="84" spans="1:138" ht="15.95" hidden="1" outlineLevel="1">
      <c r="A84" s="505"/>
      <c r="B84" s="600"/>
      <c r="C84" s="290" t="s">
        <v>275</v>
      </c>
      <c r="D84" s="254" t="s">
        <v>223</v>
      </c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/>
      <c r="BK84" s="291"/>
      <c r="BL84" s="291"/>
      <c r="BM84" s="291"/>
      <c r="BN84" s="291"/>
      <c r="BO84" s="291"/>
      <c r="BP84" s="291"/>
      <c r="BQ84" s="291"/>
      <c r="BR84" s="291"/>
      <c r="BS84" s="291"/>
      <c r="BT84" s="291"/>
      <c r="BU84" s="291"/>
      <c r="BV84" s="291"/>
      <c r="BW84" s="291"/>
      <c r="BX84" s="291"/>
      <c r="BY84" s="287">
        <f t="shared" si="22"/>
        <v>0</v>
      </c>
      <c r="BZ84" s="597"/>
      <c r="CA84" s="222"/>
      <c r="CB84" s="248"/>
      <c r="CC84" s="597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</row>
    <row r="85" spans="1:138" ht="15.95">
      <c r="A85" s="505"/>
      <c r="B85" s="600"/>
      <c r="C85" s="244" t="s">
        <v>276</v>
      </c>
      <c r="D85" s="245"/>
      <c r="E85" s="246">
        <f t="shared" ref="E85:BY85" si="23">SUM(E86:E87)</f>
        <v>0</v>
      </c>
      <c r="F85" s="246">
        <f t="shared" si="23"/>
        <v>0</v>
      </c>
      <c r="G85" s="246">
        <f t="shared" si="23"/>
        <v>0</v>
      </c>
      <c r="H85" s="246">
        <f t="shared" si="23"/>
        <v>0</v>
      </c>
      <c r="I85" s="246">
        <f t="shared" si="23"/>
        <v>0</v>
      </c>
      <c r="J85" s="246">
        <f t="shared" si="23"/>
        <v>0</v>
      </c>
      <c r="K85" s="246">
        <f t="shared" si="23"/>
        <v>0</v>
      </c>
      <c r="L85" s="246">
        <f t="shared" si="23"/>
        <v>0</v>
      </c>
      <c r="M85" s="246">
        <f t="shared" si="23"/>
        <v>0</v>
      </c>
      <c r="N85" s="246">
        <f t="shared" si="23"/>
        <v>0</v>
      </c>
      <c r="O85" s="246">
        <f t="shared" si="23"/>
        <v>0</v>
      </c>
      <c r="P85" s="246">
        <f t="shared" si="23"/>
        <v>0</v>
      </c>
      <c r="Q85" s="246">
        <f t="shared" si="23"/>
        <v>0</v>
      </c>
      <c r="R85" s="246">
        <f t="shared" si="23"/>
        <v>0</v>
      </c>
      <c r="S85" s="246">
        <f t="shared" si="23"/>
        <v>0</v>
      </c>
      <c r="T85" s="246">
        <f t="shared" si="23"/>
        <v>0</v>
      </c>
      <c r="U85" s="246">
        <f t="shared" si="23"/>
        <v>0</v>
      </c>
      <c r="V85" s="246">
        <f t="shared" si="23"/>
        <v>0</v>
      </c>
      <c r="W85" s="246">
        <f t="shared" si="23"/>
        <v>0</v>
      </c>
      <c r="X85" s="246">
        <f t="shared" si="23"/>
        <v>0</v>
      </c>
      <c r="Y85" s="246">
        <f t="shared" si="23"/>
        <v>0</v>
      </c>
      <c r="Z85" s="246">
        <f t="shared" si="23"/>
        <v>0</v>
      </c>
      <c r="AA85" s="246">
        <f t="shared" si="23"/>
        <v>0</v>
      </c>
      <c r="AB85" s="246">
        <f t="shared" si="23"/>
        <v>0</v>
      </c>
      <c r="AC85" s="246">
        <f t="shared" si="23"/>
        <v>0</v>
      </c>
      <c r="AD85" s="246">
        <f t="shared" si="23"/>
        <v>0</v>
      </c>
      <c r="AE85" s="246">
        <f t="shared" si="23"/>
        <v>0</v>
      </c>
      <c r="AF85" s="246">
        <f t="shared" si="23"/>
        <v>0</v>
      </c>
      <c r="AG85" s="246">
        <f t="shared" si="23"/>
        <v>0</v>
      </c>
      <c r="AH85" s="246">
        <f t="shared" si="23"/>
        <v>0</v>
      </c>
      <c r="AI85" s="246">
        <f t="shared" si="23"/>
        <v>0</v>
      </c>
      <c r="AJ85" s="246">
        <f t="shared" si="23"/>
        <v>0</v>
      </c>
      <c r="AK85" s="246">
        <f t="shared" si="23"/>
        <v>0</v>
      </c>
      <c r="AL85" s="246">
        <f t="shared" si="23"/>
        <v>0</v>
      </c>
      <c r="AM85" s="246">
        <f t="shared" si="23"/>
        <v>0</v>
      </c>
      <c r="AN85" s="246">
        <f t="shared" si="23"/>
        <v>0</v>
      </c>
      <c r="AO85" s="246">
        <f t="shared" si="23"/>
        <v>0</v>
      </c>
      <c r="AP85" s="246">
        <f t="shared" si="23"/>
        <v>0</v>
      </c>
      <c r="AQ85" s="246">
        <f t="shared" si="23"/>
        <v>0</v>
      </c>
      <c r="AR85" s="246">
        <f t="shared" si="23"/>
        <v>0</v>
      </c>
      <c r="AS85" s="246">
        <f t="shared" si="23"/>
        <v>0</v>
      </c>
      <c r="AT85" s="246">
        <f t="shared" si="23"/>
        <v>0</v>
      </c>
      <c r="AU85" s="246">
        <f t="shared" si="23"/>
        <v>0</v>
      </c>
      <c r="AV85" s="246">
        <f t="shared" si="23"/>
        <v>0</v>
      </c>
      <c r="AW85" s="246">
        <f t="shared" si="23"/>
        <v>0</v>
      </c>
      <c r="AX85" s="246">
        <f t="shared" si="23"/>
        <v>0</v>
      </c>
      <c r="AY85" s="246">
        <f t="shared" si="23"/>
        <v>0</v>
      </c>
      <c r="AZ85" s="246">
        <f t="shared" si="23"/>
        <v>0</v>
      </c>
      <c r="BA85" s="246">
        <f t="shared" si="23"/>
        <v>0</v>
      </c>
      <c r="BB85" s="246">
        <f t="shared" si="23"/>
        <v>0</v>
      </c>
      <c r="BC85" s="246">
        <f t="shared" si="23"/>
        <v>0</v>
      </c>
      <c r="BD85" s="246">
        <f t="shared" si="23"/>
        <v>0</v>
      </c>
      <c r="BE85" s="246">
        <f t="shared" si="23"/>
        <v>0</v>
      </c>
      <c r="BF85" s="246">
        <f t="shared" si="23"/>
        <v>0</v>
      </c>
      <c r="BG85" s="246">
        <f t="shared" si="23"/>
        <v>0</v>
      </c>
      <c r="BH85" s="246">
        <f t="shared" si="23"/>
        <v>0</v>
      </c>
      <c r="BI85" s="246">
        <f t="shared" si="23"/>
        <v>0</v>
      </c>
      <c r="BJ85" s="246">
        <f t="shared" si="23"/>
        <v>0</v>
      </c>
      <c r="BK85" s="246">
        <f t="shared" si="23"/>
        <v>0</v>
      </c>
      <c r="BL85" s="246">
        <f t="shared" si="23"/>
        <v>0</v>
      </c>
      <c r="BM85" s="246">
        <f t="shared" si="23"/>
        <v>0</v>
      </c>
      <c r="BN85" s="246">
        <f t="shared" si="23"/>
        <v>0</v>
      </c>
      <c r="BO85" s="246">
        <f t="shared" si="23"/>
        <v>0</v>
      </c>
      <c r="BP85" s="246">
        <f t="shared" si="23"/>
        <v>0</v>
      </c>
      <c r="BQ85" s="246">
        <f t="shared" si="23"/>
        <v>0</v>
      </c>
      <c r="BR85" s="246">
        <f t="shared" si="23"/>
        <v>0</v>
      </c>
      <c r="BS85" s="246">
        <f t="shared" si="23"/>
        <v>0</v>
      </c>
      <c r="BT85" s="246">
        <f t="shared" si="23"/>
        <v>0</v>
      </c>
      <c r="BU85" s="246">
        <f t="shared" si="23"/>
        <v>0</v>
      </c>
      <c r="BV85" s="246">
        <f t="shared" si="23"/>
        <v>0</v>
      </c>
      <c r="BW85" s="246">
        <f t="shared" si="23"/>
        <v>0</v>
      </c>
      <c r="BX85" s="246">
        <f t="shared" si="23"/>
        <v>0</v>
      </c>
      <c r="BY85" s="247">
        <f t="shared" si="23"/>
        <v>0</v>
      </c>
      <c r="BZ85" s="597"/>
      <c r="CA85" s="222"/>
      <c r="CB85" s="248"/>
      <c r="CC85" s="597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</row>
    <row r="86" spans="1:138" ht="15.95" outlineLevel="1">
      <c r="A86" s="505"/>
      <c r="B86" s="600"/>
      <c r="C86" s="286" t="s">
        <v>277</v>
      </c>
      <c r="D86" s="250" t="s">
        <v>223</v>
      </c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92">
        <f t="shared" ref="BY86:BY87" si="24">SUM(E86:BX86)</f>
        <v>0</v>
      </c>
      <c r="BZ86" s="597"/>
      <c r="CA86" s="222"/>
      <c r="CB86" s="248"/>
      <c r="CC86" s="597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</row>
    <row r="87" spans="1:138" ht="15.95" outlineLevel="1">
      <c r="A87" s="505"/>
      <c r="B87" s="600"/>
      <c r="C87" s="290" t="s">
        <v>278</v>
      </c>
      <c r="D87" s="254" t="s">
        <v>223</v>
      </c>
      <c r="E87" s="283"/>
      <c r="F87" s="284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84"/>
      <c r="S87" s="284"/>
      <c r="T87" s="284"/>
      <c r="U87" s="284"/>
      <c r="V87" s="284"/>
      <c r="W87" s="284"/>
      <c r="X87" s="284"/>
      <c r="Y87" s="284"/>
      <c r="Z87" s="284"/>
      <c r="AA87" s="284"/>
      <c r="AB87" s="284"/>
      <c r="AC87" s="284"/>
      <c r="AD87" s="284"/>
      <c r="AE87" s="284"/>
      <c r="AF87" s="284"/>
      <c r="AG87" s="284"/>
      <c r="AH87" s="284"/>
      <c r="AI87" s="284"/>
      <c r="AJ87" s="284"/>
      <c r="AK87" s="284"/>
      <c r="AL87" s="284"/>
      <c r="AM87" s="284"/>
      <c r="AN87" s="284"/>
      <c r="AO87" s="284"/>
      <c r="AP87" s="284"/>
      <c r="AQ87" s="284"/>
      <c r="AR87" s="284"/>
      <c r="AS87" s="284"/>
      <c r="AT87" s="284"/>
      <c r="AU87" s="284"/>
      <c r="AV87" s="284"/>
      <c r="AW87" s="284"/>
      <c r="AX87" s="284"/>
      <c r="AY87" s="284"/>
      <c r="AZ87" s="284"/>
      <c r="BA87" s="284"/>
      <c r="BB87" s="284"/>
      <c r="BC87" s="284"/>
      <c r="BD87" s="284"/>
      <c r="BE87" s="284"/>
      <c r="BF87" s="284"/>
      <c r="BG87" s="284"/>
      <c r="BH87" s="284"/>
      <c r="BI87" s="284"/>
      <c r="BJ87" s="284"/>
      <c r="BK87" s="284"/>
      <c r="BL87" s="284"/>
      <c r="BM87" s="284"/>
      <c r="BN87" s="284"/>
      <c r="BO87" s="284"/>
      <c r="BP87" s="284"/>
      <c r="BQ87" s="284"/>
      <c r="BR87" s="284"/>
      <c r="BS87" s="284"/>
      <c r="BT87" s="284"/>
      <c r="BU87" s="284"/>
      <c r="BV87" s="284"/>
      <c r="BW87" s="284"/>
      <c r="BX87" s="284"/>
      <c r="BY87" s="293">
        <f t="shared" si="24"/>
        <v>0</v>
      </c>
      <c r="BZ87" s="592"/>
      <c r="CA87" s="222"/>
      <c r="CB87" s="248"/>
      <c r="CC87" s="592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</row>
    <row r="88" spans="1:138">
      <c r="A88" s="505"/>
      <c r="B88" s="600"/>
      <c r="C88" s="244" t="s">
        <v>279</v>
      </c>
      <c r="D88" s="245"/>
      <c r="E88" s="246">
        <f t="shared" ref="E88:BX88" si="25">SUM(E89:E95)</f>
        <v>0</v>
      </c>
      <c r="F88" s="246">
        <f t="shared" si="25"/>
        <v>0</v>
      </c>
      <c r="G88" s="246">
        <f t="shared" si="25"/>
        <v>0</v>
      </c>
      <c r="H88" s="246">
        <f t="shared" si="25"/>
        <v>0</v>
      </c>
      <c r="I88" s="246">
        <f t="shared" si="25"/>
        <v>0</v>
      </c>
      <c r="J88" s="246">
        <f t="shared" si="25"/>
        <v>0</v>
      </c>
      <c r="K88" s="246">
        <f t="shared" si="25"/>
        <v>0</v>
      </c>
      <c r="L88" s="246">
        <f t="shared" si="25"/>
        <v>0</v>
      </c>
      <c r="M88" s="246">
        <f t="shared" si="25"/>
        <v>0</v>
      </c>
      <c r="N88" s="246">
        <f t="shared" si="25"/>
        <v>0</v>
      </c>
      <c r="O88" s="246">
        <f t="shared" si="25"/>
        <v>0</v>
      </c>
      <c r="P88" s="246">
        <f t="shared" si="25"/>
        <v>0</v>
      </c>
      <c r="Q88" s="246">
        <f t="shared" si="25"/>
        <v>-60405.454753502156</v>
      </c>
      <c r="R88" s="246">
        <f t="shared" si="25"/>
        <v>-60405.454753502156</v>
      </c>
      <c r="S88" s="246">
        <f t="shared" si="25"/>
        <v>-60405.454753502156</v>
      </c>
      <c r="T88" s="246">
        <f t="shared" si="25"/>
        <v>-72987201.63573949</v>
      </c>
      <c r="U88" s="246">
        <f t="shared" si="25"/>
        <v>0</v>
      </c>
      <c r="V88" s="246">
        <f t="shared" si="25"/>
        <v>0</v>
      </c>
      <c r="W88" s="246">
        <f t="shared" si="25"/>
        <v>0</v>
      </c>
      <c r="X88" s="246">
        <f t="shared" si="25"/>
        <v>0</v>
      </c>
      <c r="Y88" s="246">
        <f t="shared" si="25"/>
        <v>0</v>
      </c>
      <c r="Z88" s="246">
        <f t="shared" si="25"/>
        <v>0</v>
      </c>
      <c r="AA88" s="246">
        <f t="shared" si="25"/>
        <v>0</v>
      </c>
      <c r="AB88" s="246">
        <f t="shared" si="25"/>
        <v>0</v>
      </c>
      <c r="AC88" s="246">
        <f t="shared" si="25"/>
        <v>0</v>
      </c>
      <c r="AD88" s="246">
        <f t="shared" si="25"/>
        <v>0</v>
      </c>
      <c r="AE88" s="246">
        <f t="shared" si="25"/>
        <v>0</v>
      </c>
      <c r="AF88" s="246">
        <f t="shared" si="25"/>
        <v>0</v>
      </c>
      <c r="AG88" s="246">
        <f t="shared" si="25"/>
        <v>0</v>
      </c>
      <c r="AH88" s="246">
        <f t="shared" si="25"/>
        <v>0</v>
      </c>
      <c r="AI88" s="246">
        <f t="shared" si="25"/>
        <v>0</v>
      </c>
      <c r="AJ88" s="246">
        <f t="shared" si="25"/>
        <v>0</v>
      </c>
      <c r="AK88" s="246">
        <f t="shared" si="25"/>
        <v>0</v>
      </c>
      <c r="AL88" s="246">
        <f t="shared" si="25"/>
        <v>0</v>
      </c>
      <c r="AM88" s="246">
        <f t="shared" si="25"/>
        <v>0</v>
      </c>
      <c r="AN88" s="246">
        <f t="shared" si="25"/>
        <v>0</v>
      </c>
      <c r="AO88" s="246">
        <f t="shared" si="25"/>
        <v>0</v>
      </c>
      <c r="AP88" s="246">
        <f t="shared" si="25"/>
        <v>0</v>
      </c>
      <c r="AQ88" s="246">
        <f t="shared" si="25"/>
        <v>0</v>
      </c>
      <c r="AR88" s="246">
        <f t="shared" si="25"/>
        <v>0</v>
      </c>
      <c r="AS88" s="246">
        <f t="shared" si="25"/>
        <v>0</v>
      </c>
      <c r="AT88" s="246">
        <f t="shared" si="25"/>
        <v>0</v>
      </c>
      <c r="AU88" s="246">
        <f t="shared" si="25"/>
        <v>0</v>
      </c>
      <c r="AV88" s="246">
        <f t="shared" si="25"/>
        <v>0</v>
      </c>
      <c r="AW88" s="246">
        <f t="shared" si="25"/>
        <v>0</v>
      </c>
      <c r="AX88" s="246">
        <f t="shared" si="25"/>
        <v>0</v>
      </c>
      <c r="AY88" s="246">
        <f t="shared" si="25"/>
        <v>0</v>
      </c>
      <c r="AZ88" s="246">
        <f t="shared" si="25"/>
        <v>0</v>
      </c>
      <c r="BA88" s="246">
        <f t="shared" si="25"/>
        <v>0</v>
      </c>
      <c r="BB88" s="246">
        <f t="shared" si="25"/>
        <v>0</v>
      </c>
      <c r="BC88" s="246">
        <f t="shared" si="25"/>
        <v>0</v>
      </c>
      <c r="BD88" s="246">
        <f t="shared" si="25"/>
        <v>0</v>
      </c>
      <c r="BE88" s="246">
        <f t="shared" si="25"/>
        <v>0</v>
      </c>
      <c r="BF88" s="246">
        <f t="shared" si="25"/>
        <v>0</v>
      </c>
      <c r="BG88" s="246">
        <f t="shared" si="25"/>
        <v>0</v>
      </c>
      <c r="BH88" s="246">
        <f t="shared" si="25"/>
        <v>0</v>
      </c>
      <c r="BI88" s="246">
        <f t="shared" si="25"/>
        <v>0</v>
      </c>
      <c r="BJ88" s="246">
        <f t="shared" si="25"/>
        <v>0</v>
      </c>
      <c r="BK88" s="246">
        <f t="shared" si="25"/>
        <v>0</v>
      </c>
      <c r="BL88" s="246">
        <f t="shared" si="25"/>
        <v>0</v>
      </c>
      <c r="BM88" s="246">
        <f t="shared" si="25"/>
        <v>0</v>
      </c>
      <c r="BN88" s="246">
        <f t="shared" si="25"/>
        <v>0</v>
      </c>
      <c r="BO88" s="246">
        <f t="shared" si="25"/>
        <v>0</v>
      </c>
      <c r="BP88" s="246">
        <f t="shared" si="25"/>
        <v>0</v>
      </c>
      <c r="BQ88" s="246">
        <f t="shared" si="25"/>
        <v>0</v>
      </c>
      <c r="BR88" s="246">
        <f t="shared" si="25"/>
        <v>0</v>
      </c>
      <c r="BS88" s="246">
        <f t="shared" si="25"/>
        <v>0</v>
      </c>
      <c r="BT88" s="246">
        <f t="shared" si="25"/>
        <v>0</v>
      </c>
      <c r="BU88" s="246">
        <f t="shared" si="25"/>
        <v>0</v>
      </c>
      <c r="BV88" s="246">
        <f t="shared" si="25"/>
        <v>0</v>
      </c>
      <c r="BW88" s="246">
        <f t="shared" si="25"/>
        <v>0</v>
      </c>
      <c r="BX88" s="246">
        <f t="shared" si="25"/>
        <v>0</v>
      </c>
      <c r="BY88" s="564" t="e">
        <f>BZ17</f>
        <v>#REF!</v>
      </c>
      <c r="BZ88" s="599"/>
      <c r="CA88" s="222"/>
      <c r="CB88" s="222"/>
      <c r="CC88" s="222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</row>
    <row r="89" spans="1:138" outlineLevel="1">
      <c r="A89" s="505"/>
      <c r="B89" s="600"/>
      <c r="C89" s="249" t="s">
        <v>280</v>
      </c>
      <c r="D89" s="250" t="s">
        <v>223</v>
      </c>
      <c r="E89" s="251"/>
      <c r="F89" s="251"/>
      <c r="G89" s="251"/>
      <c r="H89" s="251"/>
      <c r="I89" s="251"/>
      <c r="J89" s="251"/>
      <c r="K89" s="251"/>
      <c r="L89" s="251"/>
      <c r="M89" s="251"/>
      <c r="N89" s="251"/>
      <c r="O89" s="251"/>
      <c r="P89" s="251"/>
      <c r="Q89" s="251"/>
      <c r="R89" s="251"/>
      <c r="S89" s="251"/>
      <c r="T89" s="251">
        <f t="shared" ref="T89:T90" si="26">-BY5</f>
        <v>-16365002</v>
      </c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2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  <c r="BS89" s="251"/>
      <c r="BT89" s="251"/>
      <c r="BU89" s="251"/>
      <c r="BV89" s="251"/>
      <c r="BW89" s="251"/>
      <c r="BX89" s="260"/>
      <c r="BY89" s="292">
        <f t="shared" ref="BY89:BY95" si="27">SUM(E89:BX89)</f>
        <v>-16365002</v>
      </c>
      <c r="BZ89" s="562">
        <f>SUM(BY89:BY95)</f>
        <v>-73168418</v>
      </c>
      <c r="CA89" s="222"/>
      <c r="CB89" s="222"/>
      <c r="CC89" s="22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</row>
    <row r="90" spans="1:138" outlineLevel="1">
      <c r="A90" s="249" t="s">
        <v>281</v>
      </c>
      <c r="B90" s="600"/>
      <c r="C90" s="249" t="s">
        <v>282</v>
      </c>
      <c r="D90" s="250" t="s">
        <v>223</v>
      </c>
      <c r="E90" s="251"/>
      <c r="F90" s="251"/>
      <c r="G90" s="251"/>
      <c r="H90" s="251"/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>
        <f t="shared" si="26"/>
        <v>-7870667</v>
      </c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G90" s="251"/>
      <c r="BH90" s="251"/>
      <c r="BI90" s="251"/>
      <c r="BJ90" s="251"/>
      <c r="BK90" s="251"/>
      <c r="BL90" s="251"/>
      <c r="BM90" s="251"/>
      <c r="BN90" s="251"/>
      <c r="BO90" s="251"/>
      <c r="BP90" s="251"/>
      <c r="BQ90" s="251"/>
      <c r="BR90" s="251"/>
      <c r="BS90" s="251"/>
      <c r="BT90" s="251"/>
      <c r="BU90" s="251"/>
      <c r="BV90" s="251"/>
      <c r="BW90" s="251"/>
      <c r="BX90" s="260"/>
      <c r="BY90" s="287">
        <f t="shared" si="27"/>
        <v>-7870667</v>
      </c>
      <c r="BZ90" s="597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</row>
    <row r="91" spans="1:138" outlineLevel="1">
      <c r="A91" s="249" t="s">
        <v>283</v>
      </c>
      <c r="B91" s="600"/>
      <c r="C91" s="289" t="s">
        <v>281</v>
      </c>
      <c r="D91" s="250" t="s">
        <v>223</v>
      </c>
      <c r="E91" s="251"/>
      <c r="F91" s="251"/>
      <c r="G91" s="251"/>
      <c r="H91" s="251"/>
      <c r="I91" s="251"/>
      <c r="J91" s="251"/>
      <c r="K91" s="251"/>
      <c r="L91" s="251"/>
      <c r="M91" s="251"/>
      <c r="N91" s="251"/>
      <c r="O91" s="251"/>
      <c r="P91" s="251"/>
      <c r="Q91" s="251"/>
      <c r="R91" s="251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60"/>
      <c r="BY91" s="287">
        <f t="shared" si="27"/>
        <v>0</v>
      </c>
      <c r="BZ91" s="597"/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</row>
    <row r="92" spans="1:138" outlineLevel="1">
      <c r="A92" s="505"/>
      <c r="B92" s="600"/>
      <c r="C92" s="288" t="s">
        <v>283</v>
      </c>
      <c r="D92" s="250" t="s">
        <v>223</v>
      </c>
      <c r="E92" s="251"/>
      <c r="F92" s="251"/>
      <c r="G92" s="251"/>
      <c r="H92" s="251"/>
      <c r="I92" s="251"/>
      <c r="J92" s="251"/>
      <c r="K92" s="251"/>
      <c r="L92" s="251"/>
      <c r="M92" s="251"/>
      <c r="N92" s="251"/>
      <c r="O92" s="251"/>
      <c r="P92" s="251"/>
      <c r="Q92" s="251"/>
      <c r="R92" s="251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60"/>
      <c r="BY92" s="287">
        <f t="shared" si="27"/>
        <v>0</v>
      </c>
      <c r="BZ92" s="597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</row>
    <row r="93" spans="1:138" outlineLevel="1">
      <c r="A93" s="505"/>
      <c r="B93" s="600"/>
      <c r="C93" s="249" t="s">
        <v>284</v>
      </c>
      <c r="D93" s="250" t="s">
        <v>223</v>
      </c>
      <c r="E93" s="251"/>
      <c r="F93" s="251"/>
      <c r="G93" s="251"/>
      <c r="H93" s="251"/>
      <c r="I93" s="251"/>
      <c r="J93" s="251"/>
      <c r="K93" s="251"/>
      <c r="L93" s="251"/>
      <c r="M93" s="251"/>
      <c r="N93" s="251"/>
      <c r="O93" s="251"/>
      <c r="P93" s="251"/>
      <c r="Q93" s="251"/>
      <c r="R93" s="251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2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60"/>
      <c r="BY93" s="287">
        <f t="shared" si="27"/>
        <v>0</v>
      </c>
      <c r="BZ93" s="597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</row>
    <row r="94" spans="1:138" outlineLevel="1">
      <c r="A94" s="505"/>
      <c r="B94" s="600"/>
      <c r="C94" s="249" t="s">
        <v>330</v>
      </c>
      <c r="D94" s="250" t="s">
        <v>223</v>
      </c>
      <c r="E94" s="251"/>
      <c r="F94" s="251"/>
      <c r="G94" s="251"/>
      <c r="H94" s="251"/>
      <c r="I94" s="251"/>
      <c r="J94" s="251"/>
      <c r="K94" s="251"/>
      <c r="L94" s="251"/>
      <c r="M94" s="251"/>
      <c r="N94" s="251"/>
      <c r="O94" s="251"/>
      <c r="P94" s="251"/>
      <c r="Q94" s="251"/>
      <c r="R94" s="251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2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60"/>
      <c r="BY94" s="294">
        <f t="shared" si="27"/>
        <v>0</v>
      </c>
      <c r="BZ94" s="597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</row>
    <row r="95" spans="1:138" outlineLevel="1">
      <c r="A95" s="505"/>
      <c r="B95" s="601"/>
      <c r="C95" s="280" t="s">
        <v>286</v>
      </c>
      <c r="D95" s="295" t="s">
        <v>223</v>
      </c>
      <c r="E95" s="282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>
        <f t="shared" ref="Q95:S95" si="28">PMT($D$60/12,25*12,$BY11)-Q60</f>
        <v>-60405.454753502156</v>
      </c>
      <c r="R95" s="282">
        <f t="shared" si="28"/>
        <v>-60405.454753502156</v>
      </c>
      <c r="S95" s="282">
        <f t="shared" si="28"/>
        <v>-60405.454753502156</v>
      </c>
      <c r="T95" s="282">
        <f>-BY11-SUM(P95:S95)</f>
        <v>-48751532.63573949</v>
      </c>
      <c r="U95" s="282"/>
      <c r="V95" s="282"/>
      <c r="W95" s="282"/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  <c r="AU95" s="282"/>
      <c r="AV95" s="282"/>
      <c r="AW95" s="282"/>
      <c r="AX95" s="282"/>
      <c r="AY95" s="282"/>
      <c r="AZ95" s="282"/>
      <c r="BA95" s="282"/>
      <c r="BB95" s="282"/>
      <c r="BC95" s="282"/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2"/>
      <c r="BS95" s="282"/>
      <c r="BT95" s="282"/>
      <c r="BU95" s="282"/>
      <c r="BV95" s="282"/>
      <c r="BW95" s="282"/>
      <c r="BX95" s="284"/>
      <c r="BY95" s="264">
        <f t="shared" si="27"/>
        <v>-48932749</v>
      </c>
      <c r="BZ95" s="602"/>
      <c r="CA95" s="222"/>
      <c r="CB95" s="222"/>
      <c r="CC95" s="222"/>
      <c r="CD95" s="222"/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222"/>
      <c r="DU95" s="222"/>
      <c r="DV95" s="222"/>
      <c r="DW95" s="222"/>
      <c r="DX95" s="222"/>
      <c r="DY95" s="222"/>
      <c r="DZ95" s="222"/>
      <c r="EA95" s="222"/>
      <c r="EB95" s="222"/>
      <c r="EC95" s="222"/>
      <c r="ED95" s="222"/>
      <c r="EE95" s="222"/>
      <c r="EF95" s="222"/>
      <c r="EG95" s="222"/>
      <c r="EH95" s="222"/>
    </row>
    <row r="96" spans="1:138" ht="15.95">
      <c r="A96" s="505"/>
      <c r="B96" s="571" t="s">
        <v>287</v>
      </c>
      <c r="C96" s="592"/>
      <c r="D96" s="296" t="s">
        <v>223</v>
      </c>
      <c r="E96" s="297">
        <f t="shared" ref="E96:BX96" si="29">(E17+E23+E26+E34+E37+E47+E53+E61+E85+E88)</f>
        <v>0</v>
      </c>
      <c r="F96" s="297">
        <f t="shared" si="29"/>
        <v>0</v>
      </c>
      <c r="G96" s="297">
        <f t="shared" si="29"/>
        <v>0</v>
      </c>
      <c r="H96" s="297">
        <f t="shared" si="29"/>
        <v>-10737799.354999999</v>
      </c>
      <c r="I96" s="297">
        <f t="shared" si="29"/>
        <v>-1867696.1950000001</v>
      </c>
      <c r="J96" s="297">
        <f t="shared" si="29"/>
        <v>-2702921.6865833336</v>
      </c>
      <c r="K96" s="297">
        <f t="shared" si="29"/>
        <v>-7884965.489583333</v>
      </c>
      <c r="L96" s="297">
        <f t="shared" si="29"/>
        <v>-8250579.5795833329</v>
      </c>
      <c r="M96" s="297">
        <f t="shared" si="29"/>
        <v>-21609523.912916664</v>
      </c>
      <c r="N96" s="297">
        <f t="shared" si="29"/>
        <v>-9355707.9129166678</v>
      </c>
      <c r="O96" s="297">
        <f t="shared" si="29"/>
        <v>-9705822.2819166686</v>
      </c>
      <c r="P96" s="297">
        <f t="shared" si="29"/>
        <v>-6513774.1195833329</v>
      </c>
      <c r="Q96" s="297">
        <f t="shared" si="29"/>
        <v>-475582.96417016879</v>
      </c>
      <c r="R96" s="297">
        <f t="shared" si="29"/>
        <v>-475582.96417016879</v>
      </c>
      <c r="S96" s="297">
        <f t="shared" si="29"/>
        <v>-475582.96417016879</v>
      </c>
      <c r="T96" s="297" t="e">
        <f t="shared" si="29"/>
        <v>#REF!</v>
      </c>
      <c r="U96" s="297">
        <f t="shared" si="29"/>
        <v>0</v>
      </c>
      <c r="V96" s="297">
        <f t="shared" si="29"/>
        <v>0</v>
      </c>
      <c r="W96" s="297">
        <f t="shared" si="29"/>
        <v>0</v>
      </c>
      <c r="X96" s="297">
        <f t="shared" si="29"/>
        <v>0</v>
      </c>
      <c r="Y96" s="297">
        <f t="shared" si="29"/>
        <v>0</v>
      </c>
      <c r="Z96" s="297">
        <f t="shared" si="29"/>
        <v>0</v>
      </c>
      <c r="AA96" s="297">
        <f t="shared" si="29"/>
        <v>0</v>
      </c>
      <c r="AB96" s="297">
        <f t="shared" si="29"/>
        <v>0</v>
      </c>
      <c r="AC96" s="297">
        <f t="shared" si="29"/>
        <v>0</v>
      </c>
      <c r="AD96" s="297">
        <f t="shared" si="29"/>
        <v>0</v>
      </c>
      <c r="AE96" s="297">
        <f t="shared" si="29"/>
        <v>0</v>
      </c>
      <c r="AF96" s="297">
        <f t="shared" si="29"/>
        <v>0</v>
      </c>
      <c r="AG96" s="297">
        <f t="shared" si="29"/>
        <v>0</v>
      </c>
      <c r="AH96" s="297">
        <f t="shared" si="29"/>
        <v>0</v>
      </c>
      <c r="AI96" s="297">
        <f t="shared" si="29"/>
        <v>0</v>
      </c>
      <c r="AJ96" s="297">
        <f t="shared" si="29"/>
        <v>0</v>
      </c>
      <c r="AK96" s="297">
        <f t="shared" si="29"/>
        <v>0</v>
      </c>
      <c r="AL96" s="297">
        <f t="shared" si="29"/>
        <v>0</v>
      </c>
      <c r="AM96" s="297">
        <f t="shared" si="29"/>
        <v>0</v>
      </c>
      <c r="AN96" s="297">
        <f t="shared" si="29"/>
        <v>0</v>
      </c>
      <c r="AO96" s="297">
        <f t="shared" si="29"/>
        <v>0</v>
      </c>
      <c r="AP96" s="297">
        <f t="shared" si="29"/>
        <v>0</v>
      </c>
      <c r="AQ96" s="297">
        <f t="shared" si="29"/>
        <v>0</v>
      </c>
      <c r="AR96" s="297">
        <f t="shared" si="29"/>
        <v>0</v>
      </c>
      <c r="AS96" s="297">
        <f t="shared" si="29"/>
        <v>0</v>
      </c>
      <c r="AT96" s="297">
        <f t="shared" si="29"/>
        <v>0</v>
      </c>
      <c r="AU96" s="297">
        <f t="shared" si="29"/>
        <v>0</v>
      </c>
      <c r="AV96" s="297">
        <f t="shared" si="29"/>
        <v>0</v>
      </c>
      <c r="AW96" s="297">
        <f t="shared" si="29"/>
        <v>0</v>
      </c>
      <c r="AX96" s="297">
        <f t="shared" si="29"/>
        <v>0</v>
      </c>
      <c r="AY96" s="297">
        <f t="shared" si="29"/>
        <v>0</v>
      </c>
      <c r="AZ96" s="297">
        <f t="shared" si="29"/>
        <v>0</v>
      </c>
      <c r="BA96" s="297">
        <f t="shared" si="29"/>
        <v>0</v>
      </c>
      <c r="BB96" s="297">
        <f t="shared" si="29"/>
        <v>0</v>
      </c>
      <c r="BC96" s="297">
        <f t="shared" si="29"/>
        <v>0</v>
      </c>
      <c r="BD96" s="297">
        <f t="shared" si="29"/>
        <v>0</v>
      </c>
      <c r="BE96" s="297">
        <f t="shared" si="29"/>
        <v>0</v>
      </c>
      <c r="BF96" s="297">
        <f t="shared" si="29"/>
        <v>0</v>
      </c>
      <c r="BG96" s="297">
        <f t="shared" si="29"/>
        <v>0</v>
      </c>
      <c r="BH96" s="297">
        <f t="shared" si="29"/>
        <v>0</v>
      </c>
      <c r="BI96" s="297">
        <f t="shared" si="29"/>
        <v>0</v>
      </c>
      <c r="BJ96" s="297">
        <f t="shared" si="29"/>
        <v>0</v>
      </c>
      <c r="BK96" s="297">
        <f t="shared" si="29"/>
        <v>0</v>
      </c>
      <c r="BL96" s="297">
        <f t="shared" si="29"/>
        <v>0</v>
      </c>
      <c r="BM96" s="297">
        <f t="shared" si="29"/>
        <v>0</v>
      </c>
      <c r="BN96" s="297">
        <f t="shared" si="29"/>
        <v>0</v>
      </c>
      <c r="BO96" s="297">
        <f t="shared" si="29"/>
        <v>0</v>
      </c>
      <c r="BP96" s="297">
        <f t="shared" si="29"/>
        <v>0</v>
      </c>
      <c r="BQ96" s="297">
        <f t="shared" si="29"/>
        <v>0</v>
      </c>
      <c r="BR96" s="297">
        <f t="shared" si="29"/>
        <v>0</v>
      </c>
      <c r="BS96" s="297">
        <f t="shared" si="29"/>
        <v>0</v>
      </c>
      <c r="BT96" s="297">
        <f t="shared" si="29"/>
        <v>0</v>
      </c>
      <c r="BU96" s="297">
        <f t="shared" si="29"/>
        <v>0</v>
      </c>
      <c r="BV96" s="297">
        <f t="shared" si="29"/>
        <v>0</v>
      </c>
      <c r="BW96" s="297">
        <f t="shared" si="29"/>
        <v>0</v>
      </c>
      <c r="BX96" s="297">
        <f t="shared" si="29"/>
        <v>0</v>
      </c>
      <c r="BY96" s="565">
        <f>BZ89</f>
        <v>-73168418</v>
      </c>
      <c r="BZ96" s="601"/>
      <c r="CA96" s="222"/>
      <c r="CB96" s="222"/>
      <c r="CC96" s="222"/>
      <c r="CD96" s="222"/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2"/>
      <c r="CQ96" s="222"/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2"/>
      <c r="DI96" s="222"/>
      <c r="DJ96" s="222"/>
      <c r="DK96" s="222"/>
      <c r="DL96" s="222"/>
      <c r="DM96" s="222"/>
      <c r="DN96" s="222"/>
      <c r="DO96" s="222"/>
      <c r="DP96" s="222"/>
      <c r="DQ96" s="222"/>
      <c r="DR96" s="222"/>
      <c r="DS96" s="222"/>
      <c r="DT96" s="222"/>
      <c r="DU96" s="222"/>
      <c r="DV96" s="222"/>
      <c r="DW96" s="222"/>
      <c r="DX96" s="222"/>
      <c r="DY96" s="222"/>
      <c r="DZ96" s="222"/>
      <c r="EA96" s="222"/>
      <c r="EB96" s="222"/>
      <c r="EC96" s="222"/>
      <c r="ED96" s="222"/>
      <c r="EE96" s="222"/>
      <c r="EF96" s="222"/>
      <c r="EG96" s="222"/>
      <c r="EH96" s="222"/>
    </row>
    <row r="97" spans="1:138" ht="15.95">
      <c r="A97" s="505"/>
      <c r="B97" s="572" t="s">
        <v>288</v>
      </c>
      <c r="C97" s="592"/>
      <c r="D97" s="303"/>
      <c r="E97" s="299">
        <f t="shared" ref="E97:BX97" si="30">E16+E96</f>
        <v>0</v>
      </c>
      <c r="F97" s="299">
        <f t="shared" si="30"/>
        <v>0</v>
      </c>
      <c r="G97" s="299">
        <f t="shared" si="30"/>
        <v>0</v>
      </c>
      <c r="H97" s="299">
        <f t="shared" si="30"/>
        <v>5627202.6450000014</v>
      </c>
      <c r="I97" s="299">
        <f t="shared" si="30"/>
        <v>-1861469.1950000001</v>
      </c>
      <c r="J97" s="299">
        <f t="shared" si="30"/>
        <v>5187395.9679621207</v>
      </c>
      <c r="K97" s="299">
        <f t="shared" si="30"/>
        <v>-7749420.9028064739</v>
      </c>
      <c r="L97" s="299">
        <f t="shared" si="30"/>
        <v>-1622126.505145316</v>
      </c>
      <c r="M97" s="300">
        <f t="shared" si="30"/>
        <v>686020.82981060818</v>
      </c>
      <c r="N97" s="299">
        <f t="shared" si="30"/>
        <v>-379335.51820592396</v>
      </c>
      <c r="O97" s="300">
        <f t="shared" si="30"/>
        <v>8696550.1127940733</v>
      </c>
      <c r="P97" s="300">
        <f t="shared" si="30"/>
        <v>-6243234.7248725891</v>
      </c>
      <c r="Q97" s="300">
        <f t="shared" si="30"/>
        <v>249131.40154057479</v>
      </c>
      <c r="R97" s="300">
        <f t="shared" si="30"/>
        <v>95956.129218260816</v>
      </c>
      <c r="S97" s="300">
        <f t="shared" si="30"/>
        <v>36435.820540574903</v>
      </c>
      <c r="T97" s="300" t="e">
        <f t="shared" si="30"/>
        <v>#REF!</v>
      </c>
      <c r="U97" s="299">
        <f t="shared" si="30"/>
        <v>0</v>
      </c>
      <c r="V97" s="299">
        <f t="shared" si="30"/>
        <v>0</v>
      </c>
      <c r="W97" s="299">
        <f t="shared" si="30"/>
        <v>0</v>
      </c>
      <c r="X97" s="300">
        <f t="shared" si="30"/>
        <v>0</v>
      </c>
      <c r="Y97" s="300">
        <f t="shared" si="30"/>
        <v>0</v>
      </c>
      <c r="Z97" s="300">
        <f t="shared" si="30"/>
        <v>0</v>
      </c>
      <c r="AA97" s="300">
        <f t="shared" si="30"/>
        <v>0</v>
      </c>
      <c r="AB97" s="300">
        <f t="shared" si="30"/>
        <v>0</v>
      </c>
      <c r="AC97" s="299">
        <f t="shared" si="30"/>
        <v>0</v>
      </c>
      <c r="AD97" s="300">
        <f t="shared" si="30"/>
        <v>0</v>
      </c>
      <c r="AE97" s="300">
        <f t="shared" si="30"/>
        <v>0</v>
      </c>
      <c r="AF97" s="300">
        <f t="shared" si="30"/>
        <v>0</v>
      </c>
      <c r="AG97" s="300">
        <f t="shared" si="30"/>
        <v>0</v>
      </c>
      <c r="AH97" s="300">
        <f t="shared" si="30"/>
        <v>0</v>
      </c>
      <c r="AI97" s="300">
        <f t="shared" si="30"/>
        <v>0</v>
      </c>
      <c r="AJ97" s="300">
        <f t="shared" si="30"/>
        <v>0</v>
      </c>
      <c r="AK97" s="300">
        <f t="shared" si="30"/>
        <v>0</v>
      </c>
      <c r="AL97" s="300">
        <f t="shared" si="30"/>
        <v>0</v>
      </c>
      <c r="AM97" s="300">
        <f t="shared" si="30"/>
        <v>0</v>
      </c>
      <c r="AN97" s="300">
        <f t="shared" si="30"/>
        <v>0</v>
      </c>
      <c r="AO97" s="299">
        <f t="shared" si="30"/>
        <v>0</v>
      </c>
      <c r="AP97" s="300">
        <f t="shared" si="30"/>
        <v>0</v>
      </c>
      <c r="AQ97" s="300">
        <f t="shared" si="30"/>
        <v>0</v>
      </c>
      <c r="AR97" s="300">
        <f t="shared" si="30"/>
        <v>0</v>
      </c>
      <c r="AS97" s="299">
        <f t="shared" si="30"/>
        <v>0</v>
      </c>
      <c r="AT97" s="299">
        <f t="shared" si="30"/>
        <v>0</v>
      </c>
      <c r="AU97" s="299">
        <f t="shared" si="30"/>
        <v>0</v>
      </c>
      <c r="AV97" s="299">
        <f t="shared" si="30"/>
        <v>0</v>
      </c>
      <c r="AW97" s="299">
        <f t="shared" si="30"/>
        <v>0</v>
      </c>
      <c r="AX97" s="299">
        <f t="shared" si="30"/>
        <v>0</v>
      </c>
      <c r="AY97" s="299">
        <f t="shared" si="30"/>
        <v>0</v>
      </c>
      <c r="AZ97" s="299">
        <f t="shared" si="30"/>
        <v>0</v>
      </c>
      <c r="BA97" s="299">
        <f t="shared" si="30"/>
        <v>0</v>
      </c>
      <c r="BB97" s="299">
        <f t="shared" si="30"/>
        <v>0</v>
      </c>
      <c r="BC97" s="299">
        <f t="shared" si="30"/>
        <v>0</v>
      </c>
      <c r="BD97" s="299">
        <f t="shared" si="30"/>
        <v>0</v>
      </c>
      <c r="BE97" s="299">
        <f t="shared" si="30"/>
        <v>0</v>
      </c>
      <c r="BF97" s="299">
        <f t="shared" si="30"/>
        <v>0</v>
      </c>
      <c r="BG97" s="299">
        <f t="shared" si="30"/>
        <v>0</v>
      </c>
      <c r="BH97" s="299">
        <f t="shared" si="30"/>
        <v>0</v>
      </c>
      <c r="BI97" s="299">
        <f t="shared" si="30"/>
        <v>0</v>
      </c>
      <c r="BJ97" s="299">
        <f t="shared" si="30"/>
        <v>0</v>
      </c>
      <c r="BK97" s="299">
        <f t="shared" si="30"/>
        <v>0</v>
      </c>
      <c r="BL97" s="304">
        <f t="shared" si="30"/>
        <v>0</v>
      </c>
      <c r="BM97" s="304">
        <f t="shared" si="30"/>
        <v>0</v>
      </c>
      <c r="BN97" s="304">
        <f t="shared" si="30"/>
        <v>0</v>
      </c>
      <c r="BO97" s="304">
        <f t="shared" si="30"/>
        <v>0</v>
      </c>
      <c r="BP97" s="304">
        <f t="shared" si="30"/>
        <v>0</v>
      </c>
      <c r="BQ97" s="304">
        <f t="shared" si="30"/>
        <v>0</v>
      </c>
      <c r="BR97" s="304">
        <f t="shared" si="30"/>
        <v>0</v>
      </c>
      <c r="BS97" s="304">
        <f t="shared" si="30"/>
        <v>0</v>
      </c>
      <c r="BT97" s="304">
        <f t="shared" si="30"/>
        <v>0</v>
      </c>
      <c r="BU97" s="304">
        <f t="shared" si="30"/>
        <v>0</v>
      </c>
      <c r="BV97" s="304">
        <f t="shared" si="30"/>
        <v>0</v>
      </c>
      <c r="BW97" s="304">
        <f t="shared" si="30"/>
        <v>0</v>
      </c>
      <c r="BX97" s="304">
        <f t="shared" si="30"/>
        <v>0</v>
      </c>
      <c r="BY97" s="566" t="e">
        <f>BY16+BY88+BY96</f>
        <v>#REF!</v>
      </c>
      <c r="BZ97" s="603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2"/>
      <c r="DI97" s="222"/>
      <c r="DJ97" s="222"/>
      <c r="DK97" s="222"/>
      <c r="DL97" s="222"/>
      <c r="DM97" s="222"/>
      <c r="DN97" s="222"/>
      <c r="DO97" s="222"/>
      <c r="DP97" s="222"/>
      <c r="DQ97" s="222"/>
      <c r="DR97" s="222"/>
      <c r="DS97" s="222"/>
      <c r="DT97" s="222"/>
      <c r="DU97" s="222"/>
      <c r="DV97" s="222"/>
      <c r="DW97" s="222"/>
      <c r="DX97" s="222"/>
      <c r="DY97" s="222"/>
      <c r="DZ97" s="222"/>
      <c r="EA97" s="222"/>
      <c r="EB97" s="222"/>
      <c r="EC97" s="222"/>
      <c r="ED97" s="222"/>
      <c r="EE97" s="222"/>
      <c r="EF97" s="222"/>
      <c r="EG97" s="222"/>
      <c r="EH97" s="222"/>
    </row>
    <row r="98" spans="1:138">
      <c r="A98" s="505"/>
      <c r="B98" s="573" t="s">
        <v>289</v>
      </c>
      <c r="C98" s="592"/>
      <c r="D98" s="305"/>
      <c r="E98" s="306">
        <f>E97</f>
        <v>0</v>
      </c>
      <c r="F98" s="306">
        <f>F97+E98</f>
        <v>0</v>
      </c>
      <c r="G98" s="306">
        <f>655760.63+24.98*24.5-16.85*22</f>
        <v>656001.94000000006</v>
      </c>
      <c r="H98" s="306">
        <f>H97+G98-66</f>
        <v>6283138.5850000018</v>
      </c>
      <c r="I98" s="306">
        <f t="shared" ref="I98:BX98" si="31">I97+H98</f>
        <v>4421669.3900000015</v>
      </c>
      <c r="J98" s="306">
        <f t="shared" si="31"/>
        <v>9609065.3579621222</v>
      </c>
      <c r="K98" s="306">
        <f t="shared" si="31"/>
        <v>1859644.4551556483</v>
      </c>
      <c r="L98" s="306">
        <f t="shared" si="31"/>
        <v>237517.95001033228</v>
      </c>
      <c r="M98" s="306">
        <f t="shared" si="31"/>
        <v>923538.77982094046</v>
      </c>
      <c r="N98" s="306">
        <f t="shared" si="31"/>
        <v>544203.2616150165</v>
      </c>
      <c r="O98" s="306">
        <f t="shared" si="31"/>
        <v>9240753.3744090907</v>
      </c>
      <c r="P98" s="306">
        <f t="shared" si="31"/>
        <v>2997518.6495365016</v>
      </c>
      <c r="Q98" s="306">
        <f t="shared" si="31"/>
        <v>3246650.0510770762</v>
      </c>
      <c r="R98" s="306">
        <f t="shared" si="31"/>
        <v>3342606.180295337</v>
      </c>
      <c r="S98" s="306">
        <f t="shared" si="31"/>
        <v>3379042.0008359118</v>
      </c>
      <c r="T98" s="306" t="e">
        <f t="shared" si="31"/>
        <v>#REF!</v>
      </c>
      <c r="U98" s="306" t="e">
        <f t="shared" si="31"/>
        <v>#REF!</v>
      </c>
      <c r="V98" s="306" t="e">
        <f t="shared" si="31"/>
        <v>#REF!</v>
      </c>
      <c r="W98" s="306" t="e">
        <f t="shared" si="31"/>
        <v>#REF!</v>
      </c>
      <c r="X98" s="306" t="e">
        <f t="shared" si="31"/>
        <v>#REF!</v>
      </c>
      <c r="Y98" s="306" t="e">
        <f t="shared" si="31"/>
        <v>#REF!</v>
      </c>
      <c r="Z98" s="306" t="e">
        <f t="shared" si="31"/>
        <v>#REF!</v>
      </c>
      <c r="AA98" s="306" t="e">
        <f t="shared" si="31"/>
        <v>#REF!</v>
      </c>
      <c r="AB98" s="306" t="e">
        <f t="shared" si="31"/>
        <v>#REF!</v>
      </c>
      <c r="AC98" s="306" t="e">
        <f t="shared" si="31"/>
        <v>#REF!</v>
      </c>
      <c r="AD98" s="306" t="e">
        <f t="shared" si="31"/>
        <v>#REF!</v>
      </c>
      <c r="AE98" s="306" t="e">
        <f t="shared" si="31"/>
        <v>#REF!</v>
      </c>
      <c r="AF98" s="306" t="e">
        <f t="shared" si="31"/>
        <v>#REF!</v>
      </c>
      <c r="AG98" s="306" t="e">
        <f t="shared" si="31"/>
        <v>#REF!</v>
      </c>
      <c r="AH98" s="306" t="e">
        <f t="shared" si="31"/>
        <v>#REF!</v>
      </c>
      <c r="AI98" s="306" t="e">
        <f t="shared" si="31"/>
        <v>#REF!</v>
      </c>
      <c r="AJ98" s="306" t="e">
        <f t="shared" si="31"/>
        <v>#REF!</v>
      </c>
      <c r="AK98" s="306" t="e">
        <f t="shared" si="31"/>
        <v>#REF!</v>
      </c>
      <c r="AL98" s="306" t="e">
        <f t="shared" si="31"/>
        <v>#REF!</v>
      </c>
      <c r="AM98" s="306" t="e">
        <f t="shared" si="31"/>
        <v>#REF!</v>
      </c>
      <c r="AN98" s="306" t="e">
        <f t="shared" si="31"/>
        <v>#REF!</v>
      </c>
      <c r="AO98" s="306" t="e">
        <f t="shared" si="31"/>
        <v>#REF!</v>
      </c>
      <c r="AP98" s="306" t="e">
        <f t="shared" si="31"/>
        <v>#REF!</v>
      </c>
      <c r="AQ98" s="306" t="e">
        <f t="shared" si="31"/>
        <v>#REF!</v>
      </c>
      <c r="AR98" s="306" t="e">
        <f t="shared" si="31"/>
        <v>#REF!</v>
      </c>
      <c r="AS98" s="306" t="e">
        <f t="shared" si="31"/>
        <v>#REF!</v>
      </c>
      <c r="AT98" s="306" t="e">
        <f t="shared" si="31"/>
        <v>#REF!</v>
      </c>
      <c r="AU98" s="306" t="e">
        <f t="shared" si="31"/>
        <v>#REF!</v>
      </c>
      <c r="AV98" s="306" t="e">
        <f t="shared" si="31"/>
        <v>#REF!</v>
      </c>
      <c r="AW98" s="306" t="e">
        <f t="shared" si="31"/>
        <v>#REF!</v>
      </c>
      <c r="AX98" s="306" t="e">
        <f t="shared" si="31"/>
        <v>#REF!</v>
      </c>
      <c r="AY98" s="306" t="e">
        <f t="shared" si="31"/>
        <v>#REF!</v>
      </c>
      <c r="AZ98" s="306" t="e">
        <f t="shared" si="31"/>
        <v>#REF!</v>
      </c>
      <c r="BA98" s="306" t="e">
        <f t="shared" si="31"/>
        <v>#REF!</v>
      </c>
      <c r="BB98" s="306" t="e">
        <f t="shared" si="31"/>
        <v>#REF!</v>
      </c>
      <c r="BC98" s="306" t="e">
        <f t="shared" si="31"/>
        <v>#REF!</v>
      </c>
      <c r="BD98" s="306" t="e">
        <f t="shared" si="31"/>
        <v>#REF!</v>
      </c>
      <c r="BE98" s="306" t="e">
        <f t="shared" si="31"/>
        <v>#REF!</v>
      </c>
      <c r="BF98" s="306" t="e">
        <f t="shared" si="31"/>
        <v>#REF!</v>
      </c>
      <c r="BG98" s="306" t="e">
        <f t="shared" si="31"/>
        <v>#REF!</v>
      </c>
      <c r="BH98" s="306" t="e">
        <f t="shared" si="31"/>
        <v>#REF!</v>
      </c>
      <c r="BI98" s="306" t="e">
        <f t="shared" si="31"/>
        <v>#REF!</v>
      </c>
      <c r="BJ98" s="306" t="e">
        <f t="shared" si="31"/>
        <v>#REF!</v>
      </c>
      <c r="BK98" s="306" t="e">
        <f t="shared" si="31"/>
        <v>#REF!</v>
      </c>
      <c r="BL98" s="306" t="e">
        <f t="shared" si="31"/>
        <v>#REF!</v>
      </c>
      <c r="BM98" s="306" t="e">
        <f t="shared" si="31"/>
        <v>#REF!</v>
      </c>
      <c r="BN98" s="306" t="e">
        <f t="shared" si="31"/>
        <v>#REF!</v>
      </c>
      <c r="BO98" s="306" t="e">
        <f t="shared" si="31"/>
        <v>#REF!</v>
      </c>
      <c r="BP98" s="306" t="e">
        <f t="shared" si="31"/>
        <v>#REF!</v>
      </c>
      <c r="BQ98" s="306" t="e">
        <f t="shared" si="31"/>
        <v>#REF!</v>
      </c>
      <c r="BR98" s="306" t="e">
        <f t="shared" si="31"/>
        <v>#REF!</v>
      </c>
      <c r="BS98" s="306" t="e">
        <f t="shared" si="31"/>
        <v>#REF!</v>
      </c>
      <c r="BT98" s="306" t="e">
        <f t="shared" si="31"/>
        <v>#REF!</v>
      </c>
      <c r="BU98" s="306" t="e">
        <f t="shared" si="31"/>
        <v>#REF!</v>
      </c>
      <c r="BV98" s="306" t="e">
        <f t="shared" si="31"/>
        <v>#REF!</v>
      </c>
      <c r="BW98" s="306" t="e">
        <f t="shared" si="31"/>
        <v>#REF!</v>
      </c>
      <c r="BX98" s="306" t="e">
        <f t="shared" si="31"/>
        <v>#REF!</v>
      </c>
      <c r="BY98" s="222"/>
      <c r="BZ98" s="222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</row>
    <row r="99" spans="1:138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2"/>
      <c r="AG99" s="222"/>
      <c r="AH99" s="222"/>
      <c r="AI99" s="222"/>
      <c r="AJ99" s="222"/>
      <c r="AK99" s="222"/>
      <c r="AL99" s="222"/>
      <c r="AM99" s="222"/>
      <c r="AN99" s="222"/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2"/>
      <c r="BB99" s="222"/>
      <c r="BC99" s="222"/>
      <c r="BD99" s="222"/>
      <c r="BE99" s="222"/>
      <c r="BF99" s="222"/>
      <c r="BG99" s="222"/>
      <c r="BH99" s="222"/>
      <c r="BI99" s="222"/>
      <c r="BJ99" s="222"/>
      <c r="BK99" s="222"/>
      <c r="BL99" s="222"/>
      <c r="BM99" s="222"/>
      <c r="BN99" s="222"/>
      <c r="BO99" s="222"/>
      <c r="BP99" s="222"/>
      <c r="BQ99" s="222"/>
      <c r="BR99" s="222"/>
      <c r="BS99" s="222"/>
      <c r="BT99" s="222"/>
      <c r="BU99" s="222"/>
      <c r="BV99" s="222"/>
      <c r="BW99" s="222"/>
      <c r="BX99" s="222"/>
      <c r="BY99" s="307"/>
      <c r="BZ99" s="222" t="e">
        <f>T98-8333333</f>
        <v>#REF!</v>
      </c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2"/>
      <c r="DI99" s="222"/>
      <c r="DJ99" s="222"/>
      <c r="DK99" s="222"/>
      <c r="DL99" s="222"/>
      <c r="DM99" s="222"/>
      <c r="DN99" s="222"/>
      <c r="DO99" s="222"/>
      <c r="DP99" s="222"/>
      <c r="DQ99" s="222"/>
      <c r="DR99" s="222"/>
      <c r="DS99" s="222"/>
      <c r="DT99" s="222"/>
      <c r="DU99" s="222"/>
      <c r="DV99" s="222"/>
      <c r="DW99" s="222"/>
      <c r="DX99" s="222"/>
      <c r="DY99" s="222"/>
      <c r="DZ99" s="222"/>
      <c r="EA99" s="222"/>
      <c r="EB99" s="222"/>
      <c r="EC99" s="222"/>
      <c r="ED99" s="222"/>
      <c r="EE99" s="222"/>
      <c r="EF99" s="222"/>
      <c r="EG99" s="222"/>
      <c r="EH99" s="222"/>
    </row>
    <row r="100" spans="1:138" hidden="1">
      <c r="A100" s="222"/>
      <c r="B100" s="222"/>
      <c r="C100" s="222"/>
      <c r="D100" s="308" t="s">
        <v>290</v>
      </c>
      <c r="E100" s="308"/>
      <c r="F100" s="308"/>
      <c r="G100" s="308"/>
      <c r="H100" s="308"/>
      <c r="I100" s="308"/>
      <c r="J100" s="308"/>
      <c r="K100" s="308"/>
      <c r="L100" s="308"/>
      <c r="M100" s="308"/>
      <c r="N100" s="308"/>
      <c r="O100" s="308"/>
      <c r="P100" s="308"/>
      <c r="Q100" s="308"/>
      <c r="R100" s="308"/>
      <c r="S100" s="308"/>
      <c r="T100" s="308"/>
      <c r="U100" s="308"/>
      <c r="V100" s="309"/>
      <c r="W100" s="309"/>
      <c r="X100" s="309"/>
      <c r="Y100" s="309"/>
      <c r="Z100" s="30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09"/>
      <c r="AK100" s="309"/>
      <c r="AL100" s="309"/>
      <c r="AM100" s="309"/>
      <c r="AN100" s="309"/>
      <c r="AO100" s="309"/>
      <c r="AP100" s="309"/>
      <c r="AQ100" s="309"/>
      <c r="AR100" s="309"/>
      <c r="AS100" s="309"/>
      <c r="AT100" s="309"/>
      <c r="AU100" s="309"/>
      <c r="AV100" s="309"/>
      <c r="AW100" s="309"/>
      <c r="AX100" s="309"/>
      <c r="AY100" s="309"/>
      <c r="AZ100" s="309"/>
      <c r="BA100" s="309"/>
      <c r="BB100" s="309"/>
      <c r="BC100" s="309"/>
      <c r="BD100" s="309"/>
      <c r="BE100" s="309"/>
      <c r="BF100" s="309"/>
      <c r="BG100" s="309"/>
      <c r="BH100" s="309"/>
      <c r="BI100" s="309"/>
      <c r="BJ100" s="309"/>
      <c r="BK100" s="309"/>
      <c r="BL100" s="309"/>
      <c r="BM100" s="309"/>
      <c r="BN100" s="309"/>
      <c r="BO100" s="309"/>
      <c r="BP100" s="309"/>
      <c r="BQ100" s="309"/>
      <c r="BR100" s="309"/>
      <c r="BS100" s="309"/>
      <c r="BT100" s="309"/>
      <c r="BU100" s="309"/>
      <c r="BV100" s="309"/>
      <c r="BW100" s="309"/>
      <c r="BX100" s="309"/>
      <c r="BY100" s="307"/>
      <c r="BZ100" s="222"/>
      <c r="CA100" s="222"/>
      <c r="CB100" s="222"/>
      <c r="CC100" s="222"/>
      <c r="CD100" s="222"/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2"/>
      <c r="CQ100" s="222"/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E100" s="222"/>
      <c r="EF100" s="222"/>
      <c r="EG100" s="222"/>
      <c r="EH100" s="222"/>
    </row>
    <row r="101" spans="1:138" hidden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2"/>
      <c r="BK101" s="222"/>
      <c r="BL101" s="222"/>
      <c r="BM101" s="222"/>
      <c r="BN101" s="222"/>
      <c r="BO101" s="222"/>
      <c r="BP101" s="222"/>
      <c r="BQ101" s="222"/>
      <c r="BR101" s="222"/>
      <c r="BS101" s="222"/>
      <c r="BT101" s="222"/>
      <c r="BU101" s="222"/>
      <c r="BV101" s="222"/>
      <c r="BW101" s="222"/>
      <c r="BX101" s="222"/>
      <c r="BY101" s="307"/>
      <c r="BZ101" s="222"/>
      <c r="CA101" s="222"/>
      <c r="CB101" s="222"/>
      <c r="CC101" s="222"/>
      <c r="CD101" s="222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2"/>
      <c r="CV101" s="222"/>
      <c r="CW101" s="222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2"/>
      <c r="DI101" s="222"/>
      <c r="DJ101" s="222"/>
      <c r="DK101" s="222"/>
      <c r="DL101" s="222"/>
      <c r="DM101" s="222"/>
      <c r="DN101" s="222"/>
      <c r="DO101" s="222"/>
      <c r="DP101" s="222"/>
      <c r="DQ101" s="222"/>
      <c r="DR101" s="222"/>
      <c r="DS101" s="222"/>
      <c r="DT101" s="222"/>
      <c r="DU101" s="222"/>
      <c r="DV101" s="222"/>
      <c r="DW101" s="222"/>
      <c r="DX101" s="222"/>
      <c r="DY101" s="222"/>
      <c r="DZ101" s="222"/>
      <c r="EA101" s="222"/>
      <c r="EB101" s="222"/>
      <c r="EC101" s="222"/>
      <c r="ED101" s="222"/>
      <c r="EE101" s="222"/>
      <c r="EF101" s="222"/>
      <c r="EG101" s="222"/>
      <c r="EH101" s="222"/>
    </row>
    <row r="102" spans="1:138" hidden="1">
      <c r="A102" s="222"/>
      <c r="B102" s="222"/>
      <c r="C102" s="310" t="s">
        <v>291</v>
      </c>
      <c r="D102" s="311"/>
      <c r="E102" s="312">
        <f>E110+E128+E160+E176</f>
        <v>0</v>
      </c>
      <c r="F102" s="312">
        <f t="shared" ref="F102:BW102" si="32">F110+F176</f>
        <v>0</v>
      </c>
      <c r="G102" s="312">
        <f t="shared" si="32"/>
        <v>0</v>
      </c>
      <c r="H102" s="312">
        <f t="shared" si="32"/>
        <v>-21706207.5</v>
      </c>
      <c r="I102" s="312">
        <f t="shared" si="32"/>
        <v>0</v>
      </c>
      <c r="J102" s="312">
        <f t="shared" si="32"/>
        <v>-7870667</v>
      </c>
      <c r="K102" s="312">
        <f t="shared" si="32"/>
        <v>0</v>
      </c>
      <c r="L102" s="312">
        <f t="shared" si="32"/>
        <v>0</v>
      </c>
      <c r="M102" s="312">
        <f t="shared" si="32"/>
        <v>0</v>
      </c>
      <c r="N102" s="312">
        <f t="shared" si="32"/>
        <v>0</v>
      </c>
      <c r="O102" s="312">
        <f t="shared" si="32"/>
        <v>0</v>
      </c>
      <c r="P102" s="312">
        <f t="shared" si="32"/>
        <v>0</v>
      </c>
      <c r="Q102" s="312">
        <f t="shared" si="32"/>
        <v>0</v>
      </c>
      <c r="R102" s="312">
        <f t="shared" si="32"/>
        <v>0</v>
      </c>
      <c r="S102" s="312">
        <f t="shared" si="32"/>
        <v>0</v>
      </c>
      <c r="T102" s="312">
        <f t="shared" si="32"/>
        <v>29576874.5</v>
      </c>
      <c r="U102" s="312">
        <f t="shared" si="32"/>
        <v>0</v>
      </c>
      <c r="V102" s="312">
        <f t="shared" si="32"/>
        <v>0</v>
      </c>
      <c r="W102" s="312">
        <f t="shared" si="32"/>
        <v>0</v>
      </c>
      <c r="X102" s="312">
        <f t="shared" si="32"/>
        <v>0</v>
      </c>
      <c r="Y102" s="312">
        <f t="shared" si="32"/>
        <v>0</v>
      </c>
      <c r="Z102" s="312">
        <f t="shared" si="32"/>
        <v>0</v>
      </c>
      <c r="AA102" s="312">
        <f t="shared" si="32"/>
        <v>0</v>
      </c>
      <c r="AB102" s="312">
        <f t="shared" si="32"/>
        <v>0</v>
      </c>
      <c r="AC102" s="312">
        <f t="shared" si="32"/>
        <v>0</v>
      </c>
      <c r="AD102" s="312">
        <f t="shared" si="32"/>
        <v>0</v>
      </c>
      <c r="AE102" s="312">
        <f t="shared" si="32"/>
        <v>0</v>
      </c>
      <c r="AF102" s="312">
        <f t="shared" si="32"/>
        <v>0</v>
      </c>
      <c r="AG102" s="312">
        <f t="shared" si="32"/>
        <v>0</v>
      </c>
      <c r="AH102" s="312">
        <f t="shared" si="32"/>
        <v>0</v>
      </c>
      <c r="AI102" s="312">
        <f t="shared" si="32"/>
        <v>0</v>
      </c>
      <c r="AJ102" s="312">
        <f t="shared" si="32"/>
        <v>0</v>
      </c>
      <c r="AK102" s="312">
        <f t="shared" si="32"/>
        <v>0</v>
      </c>
      <c r="AL102" s="312">
        <f t="shared" si="32"/>
        <v>0</v>
      </c>
      <c r="AM102" s="312">
        <f t="shared" si="32"/>
        <v>0</v>
      </c>
      <c r="AN102" s="312">
        <f t="shared" si="32"/>
        <v>0</v>
      </c>
      <c r="AO102" s="312">
        <f t="shared" si="32"/>
        <v>0</v>
      </c>
      <c r="AP102" s="312">
        <f t="shared" si="32"/>
        <v>0</v>
      </c>
      <c r="AQ102" s="312">
        <f t="shared" si="32"/>
        <v>0</v>
      </c>
      <c r="AR102" s="312">
        <f t="shared" si="32"/>
        <v>0</v>
      </c>
      <c r="AS102" s="312">
        <f t="shared" si="32"/>
        <v>0</v>
      </c>
      <c r="AT102" s="312">
        <f t="shared" si="32"/>
        <v>0</v>
      </c>
      <c r="AU102" s="312">
        <f t="shared" si="32"/>
        <v>0</v>
      </c>
      <c r="AV102" s="312">
        <f t="shared" si="32"/>
        <v>0</v>
      </c>
      <c r="AW102" s="312">
        <f t="shared" si="32"/>
        <v>0</v>
      </c>
      <c r="AX102" s="312">
        <f t="shared" si="32"/>
        <v>0</v>
      </c>
      <c r="AY102" s="312">
        <f t="shared" si="32"/>
        <v>0</v>
      </c>
      <c r="AZ102" s="312">
        <f t="shared" si="32"/>
        <v>0</v>
      </c>
      <c r="BA102" s="312">
        <f t="shared" si="32"/>
        <v>0</v>
      </c>
      <c r="BB102" s="312">
        <f t="shared" si="32"/>
        <v>0</v>
      </c>
      <c r="BC102" s="312">
        <f t="shared" si="32"/>
        <v>0</v>
      </c>
      <c r="BD102" s="312">
        <f t="shared" si="32"/>
        <v>0</v>
      </c>
      <c r="BE102" s="312">
        <f t="shared" si="32"/>
        <v>0</v>
      </c>
      <c r="BF102" s="312">
        <f t="shared" si="32"/>
        <v>0</v>
      </c>
      <c r="BG102" s="312">
        <f t="shared" si="32"/>
        <v>0</v>
      </c>
      <c r="BH102" s="312">
        <f t="shared" si="32"/>
        <v>0</v>
      </c>
      <c r="BI102" s="312">
        <f t="shared" si="32"/>
        <v>0</v>
      </c>
      <c r="BJ102" s="312">
        <f t="shared" si="32"/>
        <v>0</v>
      </c>
      <c r="BK102" s="312">
        <f t="shared" si="32"/>
        <v>0</v>
      </c>
      <c r="BL102" s="312">
        <f t="shared" si="32"/>
        <v>0</v>
      </c>
      <c r="BM102" s="312">
        <f t="shared" si="32"/>
        <v>0</v>
      </c>
      <c r="BN102" s="312">
        <f t="shared" si="32"/>
        <v>0</v>
      </c>
      <c r="BO102" s="312">
        <f t="shared" si="32"/>
        <v>0</v>
      </c>
      <c r="BP102" s="312">
        <f t="shared" si="32"/>
        <v>0</v>
      </c>
      <c r="BQ102" s="312">
        <f t="shared" si="32"/>
        <v>0</v>
      </c>
      <c r="BR102" s="312">
        <f t="shared" si="32"/>
        <v>0</v>
      </c>
      <c r="BS102" s="312">
        <f t="shared" si="32"/>
        <v>0</v>
      </c>
      <c r="BT102" s="312">
        <f t="shared" si="32"/>
        <v>0</v>
      </c>
      <c r="BU102" s="312">
        <f t="shared" si="32"/>
        <v>0</v>
      </c>
      <c r="BV102" s="312">
        <f t="shared" si="32"/>
        <v>0</v>
      </c>
      <c r="BW102" s="312">
        <f t="shared" si="32"/>
        <v>0</v>
      </c>
      <c r="BX102" s="312" t="e">
        <f>BX110+BX176+BX98</f>
        <v>#REF!</v>
      </c>
      <c r="BY102" s="307"/>
      <c r="BZ102" s="222"/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</row>
    <row r="103" spans="1:138" hidden="1">
      <c r="A103" s="222"/>
      <c r="B103" s="222"/>
      <c r="C103" s="313" t="s">
        <v>292</v>
      </c>
      <c r="D103" s="574" t="e">
        <f>IRR(E102:BX102)*12</f>
        <v>#VALUE!</v>
      </c>
      <c r="E103" s="599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222"/>
      <c r="AF103" s="222"/>
      <c r="AG103" s="222"/>
      <c r="AH103" s="222"/>
      <c r="AI103" s="222"/>
      <c r="AJ103" s="222"/>
      <c r="AK103" s="222"/>
      <c r="AL103" s="222"/>
      <c r="AM103" s="222"/>
      <c r="AN103" s="222"/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2"/>
      <c r="BB103" s="222"/>
      <c r="BC103" s="222"/>
      <c r="BD103" s="222"/>
      <c r="BE103" s="222"/>
      <c r="BF103" s="222"/>
      <c r="BG103" s="222"/>
      <c r="BH103" s="222"/>
      <c r="BI103" s="222"/>
      <c r="BJ103" s="222"/>
      <c r="BK103" s="222"/>
      <c r="BL103" s="222"/>
      <c r="BM103" s="222"/>
      <c r="BN103" s="222"/>
      <c r="BO103" s="222"/>
      <c r="BP103" s="222"/>
      <c r="BQ103" s="222"/>
      <c r="BR103" s="222"/>
      <c r="BS103" s="222"/>
      <c r="BT103" s="222"/>
      <c r="BU103" s="222"/>
      <c r="BV103" s="222"/>
      <c r="BW103" s="222"/>
      <c r="BX103" s="222"/>
      <c r="BY103" s="307"/>
      <c r="BZ103" s="222"/>
      <c r="CA103" s="222"/>
      <c r="CB103" s="222"/>
      <c r="CC103" s="222"/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2"/>
      <c r="CV103" s="222"/>
      <c r="CW103" s="222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2"/>
      <c r="DI103" s="222"/>
      <c r="DJ103" s="222"/>
      <c r="DK103" s="222"/>
      <c r="DL103" s="222"/>
      <c r="DM103" s="222"/>
      <c r="DN103" s="222"/>
      <c r="DO103" s="222"/>
      <c r="DP103" s="222"/>
      <c r="DQ103" s="222"/>
      <c r="DR103" s="222"/>
      <c r="DS103" s="222"/>
      <c r="DT103" s="222"/>
      <c r="DU103" s="222"/>
      <c r="DV103" s="222"/>
      <c r="DW103" s="222"/>
      <c r="DX103" s="222"/>
      <c r="DY103" s="222"/>
      <c r="DZ103" s="222"/>
      <c r="EA103" s="222"/>
      <c r="EB103" s="222"/>
      <c r="EC103" s="222"/>
      <c r="ED103" s="222"/>
      <c r="EE103" s="222"/>
      <c r="EF103" s="222"/>
      <c r="EG103" s="222"/>
      <c r="EH103" s="222"/>
    </row>
    <row r="104" spans="1:138" hidden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307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</row>
    <row r="105" spans="1:138" hidden="1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2"/>
      <c r="BN105" s="222"/>
      <c r="BO105" s="222"/>
      <c r="BP105" s="222"/>
      <c r="BQ105" s="222"/>
      <c r="BR105" s="222"/>
      <c r="BS105" s="222"/>
      <c r="BT105" s="222"/>
      <c r="BU105" s="222"/>
      <c r="BV105" s="222"/>
      <c r="BW105" s="222"/>
      <c r="BX105" s="222"/>
      <c r="BY105" s="307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</row>
    <row r="106" spans="1:138" ht="17.100000000000001" hidden="1">
      <c r="A106" s="222"/>
      <c r="B106" s="222"/>
      <c r="C106" s="310" t="s">
        <v>293</v>
      </c>
      <c r="D106" s="604"/>
      <c r="E106" s="598"/>
      <c r="F106" s="598"/>
      <c r="G106" s="598"/>
      <c r="H106" s="598"/>
      <c r="I106" s="598"/>
      <c r="J106" s="598"/>
      <c r="K106" s="598"/>
      <c r="L106" s="598"/>
      <c r="M106" s="598"/>
      <c r="N106" s="598"/>
      <c r="O106" s="598"/>
      <c r="P106" s="598"/>
      <c r="Q106" s="598"/>
      <c r="R106" s="598"/>
      <c r="S106" s="598"/>
      <c r="T106" s="598"/>
      <c r="U106" s="598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598"/>
      <c r="AI106" s="598"/>
      <c r="AJ106" s="598"/>
      <c r="AK106" s="598"/>
      <c r="AL106" s="598"/>
      <c r="AM106" s="598"/>
      <c r="AN106" s="598"/>
      <c r="AO106" s="598"/>
      <c r="AP106" s="598"/>
      <c r="AQ106" s="598"/>
      <c r="AR106" s="598"/>
      <c r="AS106" s="598"/>
      <c r="AT106" s="598"/>
      <c r="AU106" s="598"/>
      <c r="AV106" s="598"/>
      <c r="AW106" s="598"/>
      <c r="AX106" s="598"/>
      <c r="AY106" s="598"/>
      <c r="AZ106" s="598"/>
      <c r="BA106" s="598"/>
      <c r="BB106" s="598"/>
      <c r="BC106" s="598"/>
      <c r="BD106" s="598"/>
      <c r="BE106" s="598"/>
      <c r="BF106" s="598"/>
      <c r="BG106" s="598"/>
      <c r="BH106" s="598"/>
      <c r="BI106" s="598"/>
      <c r="BJ106" s="598"/>
      <c r="BK106" s="598"/>
      <c r="BL106" s="598"/>
      <c r="BM106" s="598"/>
      <c r="BN106" s="598"/>
      <c r="BO106" s="598"/>
      <c r="BP106" s="598"/>
      <c r="BQ106" s="598"/>
      <c r="BR106" s="598"/>
      <c r="BS106" s="598"/>
      <c r="BT106" s="598"/>
      <c r="BU106" s="598"/>
      <c r="BV106" s="598"/>
      <c r="BW106" s="599"/>
      <c r="BX106" s="315" t="e">
        <f>BX98*C107</f>
        <v>#REF!</v>
      </c>
      <c r="BY106" s="307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  <c r="DF106" s="222"/>
      <c r="DG106" s="222"/>
      <c r="DH106" s="222"/>
      <c r="DI106" s="222"/>
      <c r="DJ106" s="222"/>
      <c r="DK106" s="222"/>
      <c r="DL106" s="222"/>
      <c r="DM106" s="222"/>
      <c r="DN106" s="222"/>
      <c r="DO106" s="222"/>
      <c r="DP106" s="222"/>
      <c r="DQ106" s="222"/>
      <c r="DR106" s="222"/>
      <c r="DS106" s="222"/>
      <c r="DT106" s="222"/>
      <c r="DU106" s="222"/>
      <c r="DV106" s="222"/>
      <c r="DW106" s="222"/>
      <c r="DX106" s="222"/>
      <c r="DY106" s="222"/>
      <c r="DZ106" s="222"/>
      <c r="EA106" s="222"/>
      <c r="EB106" s="222"/>
      <c r="EC106" s="222"/>
      <c r="ED106" s="222"/>
      <c r="EE106" s="222"/>
      <c r="EF106" s="222"/>
      <c r="EG106" s="222"/>
      <c r="EH106" s="222"/>
    </row>
    <row r="107" spans="1:138" ht="18.95" hidden="1">
      <c r="A107" s="222"/>
      <c r="B107" s="222"/>
      <c r="C107" s="316">
        <v>0.2</v>
      </c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307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2"/>
      <c r="DD107" s="222"/>
      <c r="DE107" s="222"/>
      <c r="DF107" s="222"/>
      <c r="DG107" s="222"/>
      <c r="DH107" s="222"/>
      <c r="DI107" s="222"/>
      <c r="DJ107" s="222"/>
      <c r="DK107" s="222"/>
      <c r="DL107" s="222"/>
      <c r="DM107" s="222"/>
      <c r="DN107" s="222"/>
      <c r="DO107" s="222"/>
      <c r="DP107" s="222"/>
      <c r="DQ107" s="222"/>
      <c r="DR107" s="222"/>
      <c r="DS107" s="222"/>
      <c r="DT107" s="222"/>
      <c r="DU107" s="222"/>
      <c r="DV107" s="222"/>
      <c r="DW107" s="222"/>
      <c r="DX107" s="222"/>
      <c r="DY107" s="222"/>
      <c r="DZ107" s="222"/>
      <c r="EA107" s="222"/>
      <c r="EB107" s="222"/>
      <c r="EC107" s="222"/>
      <c r="ED107" s="222"/>
      <c r="EE107" s="222"/>
      <c r="EF107" s="222"/>
      <c r="EG107" s="222"/>
      <c r="EH107" s="222"/>
    </row>
    <row r="108" spans="1:138" hidden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2"/>
      <c r="BN108" s="222"/>
      <c r="BO108" s="222"/>
      <c r="BP108" s="222"/>
      <c r="BQ108" s="222"/>
      <c r="BR108" s="222"/>
      <c r="BS108" s="222"/>
      <c r="BT108" s="222"/>
      <c r="BU108" s="222"/>
      <c r="BV108" s="222"/>
      <c r="BW108" s="222"/>
      <c r="BX108" s="222"/>
      <c r="BY108" s="307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2"/>
      <c r="DD108" s="222"/>
      <c r="DE108" s="222"/>
      <c r="DF108" s="222"/>
      <c r="DG108" s="222"/>
      <c r="DH108" s="222"/>
      <c r="DI108" s="222"/>
      <c r="DJ108" s="222"/>
      <c r="DK108" s="222"/>
      <c r="DL108" s="222"/>
      <c r="DM108" s="222"/>
      <c r="DN108" s="222"/>
      <c r="DO108" s="222"/>
      <c r="DP108" s="222"/>
      <c r="DQ108" s="222"/>
      <c r="DR108" s="222"/>
      <c r="DS108" s="222"/>
      <c r="DT108" s="222"/>
      <c r="DU108" s="222"/>
      <c r="DV108" s="222"/>
      <c r="DW108" s="222"/>
      <c r="DX108" s="222"/>
      <c r="DY108" s="222"/>
      <c r="DZ108" s="222"/>
      <c r="EA108" s="222"/>
      <c r="EB108" s="222"/>
      <c r="EC108" s="222"/>
      <c r="ED108" s="222"/>
      <c r="EE108" s="222"/>
      <c r="EF108" s="222"/>
      <c r="EG108" s="222"/>
      <c r="EH108" s="222"/>
    </row>
    <row r="109" spans="1:138" hidden="1">
      <c r="A109" s="222"/>
      <c r="B109" s="222"/>
      <c r="C109" s="317"/>
      <c r="D109" s="317"/>
      <c r="E109" s="317"/>
      <c r="F109" s="317"/>
      <c r="G109" s="317"/>
      <c r="H109" s="317"/>
      <c r="I109" s="317"/>
      <c r="J109" s="317"/>
      <c r="K109" s="317"/>
      <c r="L109" s="317"/>
      <c r="M109" s="317"/>
      <c r="N109" s="317"/>
      <c r="O109" s="317"/>
      <c r="P109" s="317"/>
      <c r="Q109" s="317"/>
      <c r="R109" s="317"/>
      <c r="S109" s="317"/>
      <c r="T109" s="317"/>
      <c r="U109" s="317"/>
      <c r="V109" s="317"/>
      <c r="W109" s="317"/>
      <c r="X109" s="317"/>
      <c r="Y109" s="317"/>
      <c r="Z109" s="317"/>
      <c r="AA109" s="317"/>
      <c r="AB109" s="317"/>
      <c r="AC109" s="317"/>
      <c r="AD109" s="317"/>
      <c r="AE109" s="317"/>
      <c r="AF109" s="317"/>
      <c r="AG109" s="317"/>
      <c r="AH109" s="317"/>
      <c r="AI109" s="317"/>
      <c r="AJ109" s="317"/>
      <c r="AK109" s="317"/>
      <c r="AL109" s="317"/>
      <c r="AM109" s="317"/>
      <c r="AN109" s="317"/>
      <c r="AO109" s="317"/>
      <c r="AP109" s="317"/>
      <c r="AQ109" s="317"/>
      <c r="AR109" s="317"/>
      <c r="AS109" s="317"/>
      <c r="AT109" s="317"/>
      <c r="AU109" s="317"/>
      <c r="AV109" s="317"/>
      <c r="AW109" s="317"/>
      <c r="AX109" s="317"/>
      <c r="AY109" s="317"/>
      <c r="AZ109" s="317"/>
      <c r="BA109" s="317"/>
      <c r="BB109" s="317"/>
      <c r="BC109" s="317"/>
      <c r="BD109" s="317"/>
      <c r="BE109" s="317"/>
      <c r="BF109" s="317"/>
      <c r="BG109" s="317"/>
      <c r="BH109" s="317"/>
      <c r="BI109" s="317"/>
      <c r="BJ109" s="317"/>
      <c r="BK109" s="317"/>
      <c r="BL109" s="317"/>
      <c r="BM109" s="222"/>
      <c r="BN109" s="222"/>
      <c r="BO109" s="222"/>
      <c r="BP109" s="222"/>
      <c r="BQ109" s="222"/>
      <c r="BR109" s="222"/>
      <c r="BS109" s="222"/>
      <c r="BT109" s="222"/>
      <c r="BU109" s="222"/>
      <c r="BV109" s="222"/>
      <c r="BW109" s="222"/>
      <c r="BX109" s="222"/>
      <c r="BY109" s="222"/>
      <c r="BZ109" s="222"/>
      <c r="CA109" s="222"/>
      <c r="CB109" s="222"/>
      <c r="CC109" s="222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222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222"/>
      <c r="DA109" s="222"/>
      <c r="DB109" s="222"/>
      <c r="DC109" s="222"/>
      <c r="DD109" s="222"/>
      <c r="DE109" s="222"/>
      <c r="DF109" s="222"/>
      <c r="DG109" s="222"/>
      <c r="DH109" s="222"/>
      <c r="DI109" s="222"/>
      <c r="DJ109" s="222"/>
      <c r="DK109" s="222"/>
      <c r="DL109" s="222"/>
      <c r="DM109" s="222"/>
      <c r="DN109" s="222"/>
      <c r="DO109" s="222"/>
      <c r="DP109" s="222"/>
      <c r="DQ109" s="222"/>
      <c r="DR109" s="222"/>
      <c r="DS109" s="222"/>
      <c r="DT109" s="222"/>
      <c r="DU109" s="222"/>
      <c r="DV109" s="222"/>
      <c r="DW109" s="222"/>
      <c r="DX109" s="222"/>
      <c r="DY109" s="222"/>
      <c r="DZ109" s="222"/>
      <c r="EA109" s="222"/>
      <c r="EB109" s="222"/>
      <c r="EC109" s="222"/>
      <c r="ED109" s="222"/>
      <c r="EE109" s="222"/>
      <c r="EF109" s="222"/>
      <c r="EG109" s="222"/>
      <c r="EH109" s="222"/>
    </row>
    <row r="110" spans="1:138">
      <c r="A110" s="222"/>
      <c r="B110" s="318"/>
      <c r="C110" s="310" t="s">
        <v>294</v>
      </c>
      <c r="D110" s="311"/>
      <c r="E110" s="312">
        <f t="shared" ref="E110:BM110" si="33">-(E5+E6+E89+E90)</f>
        <v>0</v>
      </c>
      <c r="F110" s="312">
        <f t="shared" si="33"/>
        <v>0</v>
      </c>
      <c r="G110" s="312">
        <f t="shared" si="33"/>
        <v>0</v>
      </c>
      <c r="H110" s="312">
        <f t="shared" si="33"/>
        <v>-16365002</v>
      </c>
      <c r="I110" s="312">
        <f t="shared" si="33"/>
        <v>0</v>
      </c>
      <c r="J110" s="312">
        <f t="shared" si="33"/>
        <v>-7870667</v>
      </c>
      <c r="K110" s="312">
        <f t="shared" si="33"/>
        <v>0</v>
      </c>
      <c r="L110" s="312">
        <f t="shared" si="33"/>
        <v>0</v>
      </c>
      <c r="M110" s="312">
        <f t="shared" si="33"/>
        <v>0</v>
      </c>
      <c r="N110" s="312">
        <f t="shared" si="33"/>
        <v>0</v>
      </c>
      <c r="O110" s="312">
        <f t="shared" si="33"/>
        <v>0</v>
      </c>
      <c r="P110" s="312">
        <f t="shared" si="33"/>
        <v>0</v>
      </c>
      <c r="Q110" s="312">
        <f t="shared" si="33"/>
        <v>0</v>
      </c>
      <c r="R110" s="312">
        <f t="shared" si="33"/>
        <v>0</v>
      </c>
      <c r="S110" s="312">
        <f t="shared" si="33"/>
        <v>0</v>
      </c>
      <c r="T110" s="312">
        <f t="shared" si="33"/>
        <v>24235669</v>
      </c>
      <c r="U110" s="312">
        <f t="shared" si="33"/>
        <v>0</v>
      </c>
      <c r="V110" s="312">
        <f t="shared" si="33"/>
        <v>0</v>
      </c>
      <c r="W110" s="312">
        <f t="shared" si="33"/>
        <v>0</v>
      </c>
      <c r="X110" s="312">
        <f t="shared" si="33"/>
        <v>0</v>
      </c>
      <c r="Y110" s="312">
        <f t="shared" si="33"/>
        <v>0</v>
      </c>
      <c r="Z110" s="312">
        <f t="shared" si="33"/>
        <v>0</v>
      </c>
      <c r="AA110" s="312">
        <f t="shared" si="33"/>
        <v>0</v>
      </c>
      <c r="AB110" s="312">
        <f t="shared" si="33"/>
        <v>0</v>
      </c>
      <c r="AC110" s="312">
        <f t="shared" si="33"/>
        <v>0</v>
      </c>
      <c r="AD110" s="312">
        <f t="shared" si="33"/>
        <v>0</v>
      </c>
      <c r="AE110" s="312">
        <f t="shared" si="33"/>
        <v>0</v>
      </c>
      <c r="AF110" s="312">
        <f t="shared" si="33"/>
        <v>0</v>
      </c>
      <c r="AG110" s="312">
        <f t="shared" si="33"/>
        <v>0</v>
      </c>
      <c r="AH110" s="312">
        <f t="shared" si="33"/>
        <v>0</v>
      </c>
      <c r="AI110" s="312">
        <f t="shared" si="33"/>
        <v>0</v>
      </c>
      <c r="AJ110" s="312">
        <f t="shared" si="33"/>
        <v>0</v>
      </c>
      <c r="AK110" s="312">
        <f t="shared" si="33"/>
        <v>0</v>
      </c>
      <c r="AL110" s="312">
        <f t="shared" si="33"/>
        <v>0</v>
      </c>
      <c r="AM110" s="312">
        <f t="shared" si="33"/>
        <v>0</v>
      </c>
      <c r="AN110" s="312">
        <f t="shared" si="33"/>
        <v>0</v>
      </c>
      <c r="AO110" s="312">
        <f t="shared" si="33"/>
        <v>0</v>
      </c>
      <c r="AP110" s="312">
        <f t="shared" si="33"/>
        <v>0</v>
      </c>
      <c r="AQ110" s="312">
        <f t="shared" si="33"/>
        <v>0</v>
      </c>
      <c r="AR110" s="312">
        <f t="shared" si="33"/>
        <v>0</v>
      </c>
      <c r="AS110" s="312">
        <f t="shared" si="33"/>
        <v>0</v>
      </c>
      <c r="AT110" s="312">
        <f t="shared" si="33"/>
        <v>0</v>
      </c>
      <c r="AU110" s="312">
        <f t="shared" si="33"/>
        <v>0</v>
      </c>
      <c r="AV110" s="312">
        <f t="shared" si="33"/>
        <v>0</v>
      </c>
      <c r="AW110" s="312">
        <f t="shared" si="33"/>
        <v>0</v>
      </c>
      <c r="AX110" s="312">
        <f t="shared" si="33"/>
        <v>0</v>
      </c>
      <c r="AY110" s="312">
        <f t="shared" si="33"/>
        <v>0</v>
      </c>
      <c r="AZ110" s="312">
        <f t="shared" si="33"/>
        <v>0</v>
      </c>
      <c r="BA110" s="312">
        <f t="shared" si="33"/>
        <v>0</v>
      </c>
      <c r="BB110" s="312">
        <f t="shared" si="33"/>
        <v>0</v>
      </c>
      <c r="BC110" s="312">
        <f t="shared" si="33"/>
        <v>0</v>
      </c>
      <c r="BD110" s="312">
        <f t="shared" si="33"/>
        <v>0</v>
      </c>
      <c r="BE110" s="312">
        <f t="shared" si="33"/>
        <v>0</v>
      </c>
      <c r="BF110" s="312">
        <f t="shared" si="33"/>
        <v>0</v>
      </c>
      <c r="BG110" s="312">
        <f t="shared" si="33"/>
        <v>0</v>
      </c>
      <c r="BH110" s="312">
        <f t="shared" si="33"/>
        <v>0</v>
      </c>
      <c r="BI110" s="312">
        <f t="shared" si="33"/>
        <v>0</v>
      </c>
      <c r="BJ110" s="312">
        <f t="shared" si="33"/>
        <v>0</v>
      </c>
      <c r="BK110" s="312">
        <f t="shared" si="33"/>
        <v>0</v>
      </c>
      <c r="BL110" s="312">
        <f t="shared" si="33"/>
        <v>0</v>
      </c>
      <c r="BM110" s="312">
        <f t="shared" si="33"/>
        <v>0</v>
      </c>
      <c r="BN110" s="312">
        <f t="shared" ref="BN110:BX110" si="34">-(BN5+BN89)</f>
        <v>0</v>
      </c>
      <c r="BO110" s="312">
        <f t="shared" si="34"/>
        <v>0</v>
      </c>
      <c r="BP110" s="312">
        <f t="shared" si="34"/>
        <v>0</v>
      </c>
      <c r="BQ110" s="312">
        <f t="shared" si="34"/>
        <v>0</v>
      </c>
      <c r="BR110" s="312">
        <f t="shared" si="34"/>
        <v>0</v>
      </c>
      <c r="BS110" s="312">
        <f t="shared" si="34"/>
        <v>0</v>
      </c>
      <c r="BT110" s="312">
        <f t="shared" si="34"/>
        <v>0</v>
      </c>
      <c r="BU110" s="312">
        <f t="shared" si="34"/>
        <v>0</v>
      </c>
      <c r="BV110" s="312">
        <f t="shared" si="34"/>
        <v>0</v>
      </c>
      <c r="BW110" s="312">
        <f t="shared" si="34"/>
        <v>0</v>
      </c>
      <c r="BX110" s="312">
        <f t="shared" si="34"/>
        <v>0</v>
      </c>
      <c r="BY110" s="222"/>
      <c r="BZ110" s="222"/>
      <c r="CA110" s="222"/>
      <c r="CB110" s="222"/>
      <c r="CC110" s="222"/>
      <c r="CD110" s="222"/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2"/>
      <c r="CQ110" s="222"/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2"/>
      <c r="DD110" s="222"/>
      <c r="DE110" s="222"/>
      <c r="DF110" s="222"/>
      <c r="DG110" s="222"/>
      <c r="DH110" s="222"/>
      <c r="DI110" s="222"/>
      <c r="DJ110" s="222"/>
      <c r="DK110" s="222"/>
      <c r="DL110" s="222"/>
      <c r="DM110" s="222"/>
      <c r="DN110" s="222"/>
      <c r="DO110" s="222"/>
      <c r="DP110" s="222"/>
      <c r="DQ110" s="222"/>
      <c r="DR110" s="222"/>
      <c r="DS110" s="222"/>
      <c r="DT110" s="222"/>
      <c r="DU110" s="222"/>
      <c r="DV110" s="222"/>
      <c r="DW110" s="222"/>
      <c r="DX110" s="222"/>
      <c r="DY110" s="222"/>
      <c r="DZ110" s="222"/>
      <c r="EA110" s="222"/>
      <c r="EB110" s="222"/>
      <c r="EC110" s="222"/>
      <c r="ED110" s="222"/>
      <c r="EE110" s="222"/>
      <c r="EF110" s="222"/>
      <c r="EG110" s="222"/>
      <c r="EH110" s="222"/>
    </row>
    <row r="111" spans="1:138">
      <c r="A111" s="222"/>
      <c r="B111" s="318"/>
      <c r="C111" s="310" t="s">
        <v>295</v>
      </c>
      <c r="D111" s="319"/>
      <c r="E111" s="311"/>
      <c r="F111" s="311"/>
      <c r="G111" s="311"/>
      <c r="H111" s="311">
        <f>-8333333</f>
        <v>-8333333</v>
      </c>
      <c r="I111" s="311"/>
      <c r="J111" s="311"/>
      <c r="K111" s="311"/>
      <c r="L111" s="311"/>
      <c r="M111" s="311"/>
      <c r="N111" s="311"/>
      <c r="O111" s="311"/>
      <c r="P111" s="311"/>
      <c r="Q111" s="311"/>
      <c r="R111" s="311"/>
      <c r="S111" s="311"/>
      <c r="T111" s="311"/>
      <c r="U111" s="311"/>
      <c r="V111" s="311"/>
      <c r="W111" s="311"/>
      <c r="X111" s="311"/>
      <c r="Y111" s="311"/>
      <c r="Z111" s="311"/>
      <c r="AA111" s="311"/>
      <c r="AB111" s="311"/>
      <c r="AC111" s="311"/>
      <c r="AD111" s="311"/>
      <c r="AE111" s="311"/>
      <c r="AF111" s="311"/>
      <c r="AG111" s="311"/>
      <c r="AH111" s="311"/>
      <c r="AI111" s="311"/>
      <c r="AJ111" s="311"/>
      <c r="AK111" s="311"/>
      <c r="AL111" s="311"/>
      <c r="AM111" s="311"/>
      <c r="AN111" s="311"/>
      <c r="AO111" s="311"/>
      <c r="AP111" s="311"/>
      <c r="AQ111" s="311"/>
      <c r="AR111" s="311"/>
      <c r="AS111" s="311"/>
      <c r="AT111" s="311"/>
      <c r="AU111" s="311"/>
      <c r="AV111" s="311"/>
      <c r="AW111" s="311"/>
      <c r="AX111" s="311"/>
      <c r="AY111" s="311"/>
      <c r="AZ111" s="311"/>
      <c r="BA111" s="311"/>
      <c r="BB111" s="311"/>
      <c r="BC111" s="311"/>
      <c r="BD111" s="311"/>
      <c r="BE111" s="311"/>
      <c r="BF111" s="311"/>
      <c r="BG111" s="311"/>
      <c r="BH111" s="311"/>
      <c r="BI111" s="311"/>
      <c r="BJ111" s="311"/>
      <c r="BK111" s="311"/>
      <c r="BL111" s="311"/>
      <c r="BM111" s="311"/>
      <c r="BN111" s="311"/>
      <c r="BO111" s="311"/>
      <c r="BP111" s="311"/>
      <c r="BQ111" s="311"/>
      <c r="BR111" s="311"/>
      <c r="BS111" s="311"/>
      <c r="BT111" s="311"/>
      <c r="BU111" s="311"/>
      <c r="BV111" s="311"/>
      <c r="BW111" s="311"/>
      <c r="BX111" s="311"/>
      <c r="BY111" s="222"/>
      <c r="BZ111" s="222"/>
      <c r="CA111" s="222"/>
      <c r="CB111" s="222"/>
      <c r="CC111" s="222"/>
      <c r="CD111" s="222"/>
      <c r="CE111" s="222"/>
      <c r="CF111" s="222"/>
      <c r="CG111" s="222"/>
      <c r="CH111" s="222"/>
      <c r="CI111" s="222"/>
      <c r="CJ111" s="222"/>
      <c r="CK111" s="222"/>
      <c r="CL111" s="222"/>
      <c r="CM111" s="222"/>
      <c r="CN111" s="222"/>
      <c r="CO111" s="222"/>
      <c r="CP111" s="222"/>
      <c r="CQ111" s="222"/>
      <c r="CR111" s="222"/>
      <c r="CS111" s="222"/>
      <c r="CT111" s="222"/>
      <c r="CU111" s="222"/>
      <c r="CV111" s="222"/>
      <c r="CW111" s="222"/>
      <c r="CX111" s="222"/>
      <c r="CY111" s="222"/>
      <c r="CZ111" s="222"/>
      <c r="DA111" s="222"/>
      <c r="DB111" s="222"/>
      <c r="DC111" s="222"/>
      <c r="DD111" s="222"/>
      <c r="DE111" s="222"/>
      <c r="DF111" s="222"/>
      <c r="DG111" s="222"/>
      <c r="DH111" s="222"/>
      <c r="DI111" s="222"/>
      <c r="DJ111" s="222"/>
      <c r="DK111" s="222"/>
      <c r="DL111" s="222"/>
      <c r="DM111" s="222"/>
      <c r="DN111" s="222"/>
      <c r="DO111" s="222"/>
      <c r="DP111" s="222"/>
      <c r="DQ111" s="222"/>
      <c r="DR111" s="222"/>
      <c r="DS111" s="222"/>
      <c r="DT111" s="222"/>
      <c r="DU111" s="222"/>
      <c r="DV111" s="222"/>
      <c r="DW111" s="222"/>
      <c r="DX111" s="222"/>
      <c r="DY111" s="222"/>
      <c r="DZ111" s="222"/>
      <c r="EA111" s="222"/>
      <c r="EB111" s="222"/>
      <c r="EC111" s="222"/>
      <c r="ED111" s="222"/>
      <c r="EE111" s="222"/>
      <c r="EF111" s="222"/>
      <c r="EG111" s="222"/>
      <c r="EH111" s="222"/>
    </row>
    <row r="112" spans="1:138">
      <c r="A112" s="222"/>
      <c r="B112" s="318"/>
      <c r="C112" s="310" t="s">
        <v>296</v>
      </c>
      <c r="D112" s="319"/>
      <c r="E112" s="311">
        <f t="shared" ref="E112:S112" si="35">-E54</f>
        <v>0</v>
      </c>
      <c r="F112" s="311">
        <f t="shared" si="35"/>
        <v>0</v>
      </c>
      <c r="G112" s="311">
        <f t="shared" si="35"/>
        <v>0</v>
      </c>
      <c r="H112" s="311">
        <f t="shared" si="35"/>
        <v>0</v>
      </c>
      <c r="I112" s="311">
        <f t="shared" si="35"/>
        <v>0</v>
      </c>
      <c r="J112" s="311">
        <f t="shared" si="35"/>
        <v>0</v>
      </c>
      <c r="K112" s="311">
        <f t="shared" si="35"/>
        <v>0</v>
      </c>
      <c r="L112" s="311">
        <f t="shared" si="35"/>
        <v>0</v>
      </c>
      <c r="M112" s="311">
        <f t="shared" si="35"/>
        <v>0</v>
      </c>
      <c r="N112" s="311">
        <f t="shared" si="35"/>
        <v>0</v>
      </c>
      <c r="O112" s="311">
        <f t="shared" si="35"/>
        <v>0</v>
      </c>
      <c r="P112" s="311">
        <f t="shared" si="35"/>
        <v>0</v>
      </c>
      <c r="Q112" s="311">
        <f t="shared" si="35"/>
        <v>0</v>
      </c>
      <c r="R112" s="311">
        <f t="shared" si="35"/>
        <v>0</v>
      </c>
      <c r="S112" s="311">
        <f t="shared" si="35"/>
        <v>0</v>
      </c>
      <c r="T112" s="311" t="e">
        <f>-T54-T55</f>
        <v>#REF!</v>
      </c>
      <c r="U112" s="311">
        <f t="shared" ref="U112:BX112" si="36">-U54</f>
        <v>0</v>
      </c>
      <c r="V112" s="311">
        <f t="shared" si="36"/>
        <v>0</v>
      </c>
      <c r="W112" s="311">
        <f t="shared" si="36"/>
        <v>0</v>
      </c>
      <c r="X112" s="311">
        <f t="shared" si="36"/>
        <v>0</v>
      </c>
      <c r="Y112" s="311">
        <f t="shared" si="36"/>
        <v>0</v>
      </c>
      <c r="Z112" s="311">
        <f t="shared" si="36"/>
        <v>0</v>
      </c>
      <c r="AA112" s="311">
        <f t="shared" si="36"/>
        <v>0</v>
      </c>
      <c r="AB112" s="311">
        <f t="shared" si="36"/>
        <v>0</v>
      </c>
      <c r="AC112" s="311">
        <f t="shared" si="36"/>
        <v>0</v>
      </c>
      <c r="AD112" s="311">
        <f t="shared" si="36"/>
        <v>0</v>
      </c>
      <c r="AE112" s="311">
        <f t="shared" si="36"/>
        <v>0</v>
      </c>
      <c r="AF112" s="311">
        <f t="shared" si="36"/>
        <v>0</v>
      </c>
      <c r="AG112" s="311">
        <f t="shared" si="36"/>
        <v>0</v>
      </c>
      <c r="AH112" s="311">
        <f t="shared" si="36"/>
        <v>0</v>
      </c>
      <c r="AI112" s="311">
        <f t="shared" si="36"/>
        <v>0</v>
      </c>
      <c r="AJ112" s="311">
        <f t="shared" si="36"/>
        <v>0</v>
      </c>
      <c r="AK112" s="311">
        <f t="shared" si="36"/>
        <v>0</v>
      </c>
      <c r="AL112" s="311">
        <f t="shared" si="36"/>
        <v>0</v>
      </c>
      <c r="AM112" s="311">
        <f t="shared" si="36"/>
        <v>0</v>
      </c>
      <c r="AN112" s="311">
        <f t="shared" si="36"/>
        <v>0</v>
      </c>
      <c r="AO112" s="311">
        <f t="shared" si="36"/>
        <v>0</v>
      </c>
      <c r="AP112" s="311">
        <f t="shared" si="36"/>
        <v>0</v>
      </c>
      <c r="AQ112" s="311">
        <f t="shared" si="36"/>
        <v>0</v>
      </c>
      <c r="AR112" s="311">
        <f t="shared" si="36"/>
        <v>0</v>
      </c>
      <c r="AS112" s="311">
        <f t="shared" si="36"/>
        <v>0</v>
      </c>
      <c r="AT112" s="311">
        <f t="shared" si="36"/>
        <v>0</v>
      </c>
      <c r="AU112" s="311">
        <f t="shared" si="36"/>
        <v>0</v>
      </c>
      <c r="AV112" s="311">
        <f t="shared" si="36"/>
        <v>0</v>
      </c>
      <c r="AW112" s="311">
        <f t="shared" si="36"/>
        <v>0</v>
      </c>
      <c r="AX112" s="311">
        <f t="shared" si="36"/>
        <v>0</v>
      </c>
      <c r="AY112" s="311">
        <f t="shared" si="36"/>
        <v>0</v>
      </c>
      <c r="AZ112" s="311">
        <f t="shared" si="36"/>
        <v>0</v>
      </c>
      <c r="BA112" s="311">
        <f t="shared" si="36"/>
        <v>0</v>
      </c>
      <c r="BB112" s="311">
        <f t="shared" si="36"/>
        <v>0</v>
      </c>
      <c r="BC112" s="311">
        <f t="shared" si="36"/>
        <v>0</v>
      </c>
      <c r="BD112" s="311">
        <f t="shared" si="36"/>
        <v>0</v>
      </c>
      <c r="BE112" s="311">
        <f t="shared" si="36"/>
        <v>0</v>
      </c>
      <c r="BF112" s="311">
        <f t="shared" si="36"/>
        <v>0</v>
      </c>
      <c r="BG112" s="311">
        <f t="shared" si="36"/>
        <v>0</v>
      </c>
      <c r="BH112" s="311">
        <f t="shared" si="36"/>
        <v>0</v>
      </c>
      <c r="BI112" s="311">
        <f t="shared" si="36"/>
        <v>0</v>
      </c>
      <c r="BJ112" s="311">
        <f t="shared" si="36"/>
        <v>0</v>
      </c>
      <c r="BK112" s="311">
        <f t="shared" si="36"/>
        <v>0</v>
      </c>
      <c r="BL112" s="311">
        <f t="shared" si="36"/>
        <v>0</v>
      </c>
      <c r="BM112" s="311">
        <f t="shared" si="36"/>
        <v>0</v>
      </c>
      <c r="BN112" s="311">
        <f t="shared" si="36"/>
        <v>0</v>
      </c>
      <c r="BO112" s="311">
        <f t="shared" si="36"/>
        <v>0</v>
      </c>
      <c r="BP112" s="311">
        <f t="shared" si="36"/>
        <v>0</v>
      </c>
      <c r="BQ112" s="311">
        <f t="shared" si="36"/>
        <v>0</v>
      </c>
      <c r="BR112" s="311">
        <f t="shared" si="36"/>
        <v>0</v>
      </c>
      <c r="BS112" s="311">
        <f t="shared" si="36"/>
        <v>0</v>
      </c>
      <c r="BT112" s="311">
        <f t="shared" si="36"/>
        <v>0</v>
      </c>
      <c r="BU112" s="311">
        <f t="shared" si="36"/>
        <v>0</v>
      </c>
      <c r="BV112" s="311">
        <f t="shared" si="36"/>
        <v>0</v>
      </c>
      <c r="BW112" s="311">
        <f t="shared" si="36"/>
        <v>0</v>
      </c>
      <c r="BX112" s="311">
        <f t="shared" si="36"/>
        <v>0</v>
      </c>
      <c r="BY112" s="222"/>
      <c r="BZ112" s="238"/>
      <c r="CA112" s="222"/>
      <c r="CB112" s="222"/>
      <c r="CC112" s="222"/>
      <c r="CD112" s="222"/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2"/>
      <c r="CQ112" s="222"/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2"/>
      <c r="DD112" s="222"/>
      <c r="DE112" s="222"/>
      <c r="DF112" s="222"/>
      <c r="DG112" s="222"/>
      <c r="DH112" s="222"/>
      <c r="DI112" s="222"/>
      <c r="DJ112" s="222"/>
      <c r="DK112" s="222"/>
      <c r="DL112" s="222"/>
      <c r="DM112" s="222"/>
      <c r="DN112" s="222"/>
      <c r="DO112" s="222"/>
      <c r="DP112" s="222"/>
      <c r="DQ112" s="222"/>
      <c r="DR112" s="222"/>
      <c r="DS112" s="222"/>
      <c r="DT112" s="222"/>
      <c r="DU112" s="222"/>
      <c r="DV112" s="222"/>
      <c r="DW112" s="222"/>
      <c r="DX112" s="222"/>
      <c r="DY112" s="222"/>
      <c r="DZ112" s="222"/>
      <c r="EA112" s="222"/>
      <c r="EB112" s="222"/>
      <c r="EC112" s="222"/>
      <c r="ED112" s="222"/>
      <c r="EE112" s="222"/>
      <c r="EF112" s="222"/>
      <c r="EG112" s="222"/>
      <c r="EH112" s="222"/>
    </row>
    <row r="113" spans="1:138">
      <c r="A113" s="222"/>
      <c r="B113" s="318"/>
      <c r="C113" s="310" t="s">
        <v>297</v>
      </c>
      <c r="D113" s="319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 t="e">
        <f>IF(D103&gt;0.25,(BX98-BX106)*D115,BX98*D115)</f>
        <v>#VALUE!</v>
      </c>
      <c r="BY113" s="222"/>
      <c r="BZ113" s="222"/>
      <c r="CA113" s="222"/>
      <c r="CB113" s="222"/>
      <c r="CC113" s="222"/>
      <c r="CD113" s="222"/>
      <c r="CE113" s="222"/>
      <c r="CF113" s="222"/>
      <c r="CG113" s="222"/>
      <c r="CH113" s="222"/>
      <c r="CI113" s="222"/>
      <c r="CJ113" s="222"/>
      <c r="CK113" s="222"/>
      <c r="CL113" s="222"/>
      <c r="CM113" s="222"/>
      <c r="CN113" s="222"/>
      <c r="CO113" s="222"/>
      <c r="CP113" s="222"/>
      <c r="CQ113" s="222"/>
      <c r="CR113" s="222"/>
      <c r="CS113" s="222"/>
      <c r="CT113" s="222"/>
      <c r="CU113" s="222"/>
      <c r="CV113" s="222"/>
      <c r="CW113" s="222"/>
      <c r="CX113" s="222"/>
      <c r="CY113" s="222"/>
      <c r="CZ113" s="222"/>
      <c r="DA113" s="222"/>
      <c r="DB113" s="222"/>
      <c r="DC113" s="222"/>
      <c r="DD113" s="222"/>
      <c r="DE113" s="222"/>
      <c r="DF113" s="222"/>
      <c r="DG113" s="222"/>
      <c r="DH113" s="222"/>
      <c r="DI113" s="222"/>
      <c r="DJ113" s="222"/>
      <c r="DK113" s="222"/>
      <c r="DL113" s="222"/>
      <c r="DM113" s="222"/>
      <c r="DN113" s="222"/>
      <c r="DO113" s="222"/>
      <c r="DP113" s="222"/>
      <c r="DQ113" s="222"/>
      <c r="DR113" s="222"/>
      <c r="DS113" s="222"/>
      <c r="DT113" s="222"/>
      <c r="DU113" s="222"/>
      <c r="DV113" s="222"/>
      <c r="DW113" s="222"/>
      <c r="DX113" s="222"/>
      <c r="DY113" s="222"/>
      <c r="DZ113" s="222"/>
      <c r="EA113" s="222"/>
      <c r="EB113" s="222"/>
      <c r="EC113" s="222"/>
      <c r="ED113" s="222"/>
      <c r="EE113" s="222"/>
      <c r="EF113" s="222"/>
      <c r="EG113" s="222"/>
      <c r="EH113" s="222"/>
    </row>
    <row r="114" spans="1:138">
      <c r="A114" s="222"/>
      <c r="B114" s="318"/>
      <c r="C114" s="310" t="s">
        <v>293</v>
      </c>
      <c r="D114" s="319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 t="e">
        <f>IF(D103&gt;0.25,BX106,0)</f>
        <v>#VALUE!</v>
      </c>
      <c r="BY114" s="222"/>
      <c r="BZ114" s="222"/>
      <c r="CA114" s="222"/>
      <c r="CB114" s="222"/>
      <c r="CC114" s="222"/>
      <c r="CD114" s="222"/>
      <c r="CE114" s="222"/>
      <c r="CF114" s="222"/>
      <c r="CG114" s="222"/>
      <c r="CH114" s="222"/>
      <c r="CI114" s="222"/>
      <c r="CJ114" s="222"/>
      <c r="CK114" s="222"/>
      <c r="CL114" s="222"/>
      <c r="CM114" s="222"/>
      <c r="CN114" s="222"/>
      <c r="CO114" s="222"/>
      <c r="CP114" s="222"/>
      <c r="CQ114" s="222"/>
      <c r="CR114" s="222"/>
      <c r="CS114" s="222"/>
      <c r="CT114" s="222"/>
      <c r="CU114" s="222"/>
      <c r="CV114" s="222"/>
      <c r="CW114" s="222"/>
      <c r="CX114" s="222"/>
      <c r="CY114" s="222"/>
      <c r="CZ114" s="222"/>
      <c r="DA114" s="222"/>
      <c r="DB114" s="222"/>
      <c r="DC114" s="222"/>
      <c r="DD114" s="222"/>
      <c r="DE114" s="222"/>
      <c r="DF114" s="222"/>
      <c r="DG114" s="222"/>
      <c r="DH114" s="222"/>
      <c r="DI114" s="222"/>
      <c r="DJ114" s="222"/>
      <c r="DK114" s="222"/>
      <c r="DL114" s="222"/>
      <c r="DM114" s="222"/>
      <c r="DN114" s="222"/>
      <c r="DO114" s="222"/>
      <c r="DP114" s="222"/>
      <c r="DQ114" s="222"/>
      <c r="DR114" s="222"/>
      <c r="DS114" s="222"/>
      <c r="DT114" s="222"/>
      <c r="DU114" s="222"/>
      <c r="DV114" s="222"/>
      <c r="DW114" s="222"/>
      <c r="DX114" s="222"/>
      <c r="DY114" s="222"/>
      <c r="DZ114" s="222"/>
      <c r="EA114" s="222"/>
      <c r="EB114" s="222"/>
      <c r="EC114" s="222"/>
      <c r="ED114" s="222"/>
      <c r="EE114" s="222"/>
      <c r="EF114" s="222"/>
      <c r="EG114" s="222"/>
      <c r="EH114" s="222"/>
    </row>
    <row r="115" spans="1:138">
      <c r="A115" s="222"/>
      <c r="B115" s="318"/>
      <c r="C115" s="313" t="s">
        <v>298</v>
      </c>
      <c r="D115" s="319">
        <v>1</v>
      </c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 t="e">
        <f>T98</f>
        <v>#REF!</v>
      </c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320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22"/>
      <c r="BZ115" s="222"/>
      <c r="CA115" s="222"/>
      <c r="CB115" s="222"/>
      <c r="CC115" s="222"/>
      <c r="CD115" s="222"/>
      <c r="CE115" s="222"/>
      <c r="CF115" s="222"/>
      <c r="CG115" s="222"/>
      <c r="CH115" s="222"/>
      <c r="CI115" s="222"/>
      <c r="CJ115" s="222"/>
      <c r="CK115" s="222"/>
      <c r="CL115" s="222"/>
      <c r="CM115" s="222"/>
      <c r="CN115" s="222"/>
      <c r="CO115" s="222"/>
      <c r="CP115" s="222"/>
      <c r="CQ115" s="222"/>
      <c r="CR115" s="222"/>
      <c r="CS115" s="222"/>
      <c r="CT115" s="222"/>
      <c r="CU115" s="222"/>
      <c r="CV115" s="222"/>
      <c r="CW115" s="222"/>
      <c r="CX115" s="222"/>
      <c r="CY115" s="222"/>
      <c r="CZ115" s="222"/>
      <c r="DA115" s="222"/>
      <c r="DB115" s="222"/>
      <c r="DC115" s="222"/>
      <c r="DD115" s="222"/>
      <c r="DE115" s="222"/>
      <c r="DF115" s="222"/>
      <c r="DG115" s="222"/>
      <c r="DH115" s="222"/>
      <c r="DI115" s="222"/>
      <c r="DJ115" s="222"/>
      <c r="DK115" s="222"/>
      <c r="DL115" s="222"/>
      <c r="DM115" s="222"/>
      <c r="DN115" s="222"/>
      <c r="DO115" s="222"/>
      <c r="DP115" s="222"/>
      <c r="DQ115" s="222"/>
      <c r="DR115" s="222"/>
      <c r="DS115" s="222"/>
      <c r="DT115" s="222"/>
      <c r="DU115" s="222"/>
      <c r="DV115" s="222"/>
      <c r="DW115" s="222"/>
      <c r="DX115" s="222"/>
      <c r="DY115" s="222"/>
      <c r="DZ115" s="222"/>
      <c r="EA115" s="222"/>
      <c r="EB115" s="222"/>
      <c r="EC115" s="222"/>
      <c r="ED115" s="222"/>
      <c r="EE115" s="222"/>
      <c r="EF115" s="222"/>
      <c r="EG115" s="222"/>
      <c r="EH115" s="222"/>
    </row>
    <row r="116" spans="1:138">
      <c r="A116" s="222"/>
      <c r="B116" s="318"/>
      <c r="C116" s="310" t="s">
        <v>299</v>
      </c>
      <c r="D116" s="314"/>
      <c r="E116" s="321">
        <f t="shared" ref="E116:BW116" si="37">E110+E111+E112+E113+E115</f>
        <v>0</v>
      </c>
      <c r="F116" s="321">
        <f t="shared" si="37"/>
        <v>0</v>
      </c>
      <c r="G116" s="321">
        <f t="shared" si="37"/>
        <v>0</v>
      </c>
      <c r="H116" s="321">
        <f t="shared" si="37"/>
        <v>-24698335</v>
      </c>
      <c r="I116" s="321">
        <f t="shared" si="37"/>
        <v>0</v>
      </c>
      <c r="J116" s="321">
        <f t="shared" si="37"/>
        <v>-7870667</v>
      </c>
      <c r="K116" s="321">
        <f t="shared" si="37"/>
        <v>0</v>
      </c>
      <c r="L116" s="321">
        <f t="shared" si="37"/>
        <v>0</v>
      </c>
      <c r="M116" s="321">
        <f t="shared" si="37"/>
        <v>0</v>
      </c>
      <c r="N116" s="321">
        <f t="shared" si="37"/>
        <v>0</v>
      </c>
      <c r="O116" s="321">
        <f t="shared" si="37"/>
        <v>0</v>
      </c>
      <c r="P116" s="321">
        <f t="shared" si="37"/>
        <v>0</v>
      </c>
      <c r="Q116" s="321">
        <f t="shared" si="37"/>
        <v>0</v>
      </c>
      <c r="R116" s="321">
        <f t="shared" si="37"/>
        <v>0</v>
      </c>
      <c r="S116" s="321">
        <f t="shared" si="37"/>
        <v>0</v>
      </c>
      <c r="T116" s="321" t="e">
        <f t="shared" si="37"/>
        <v>#REF!</v>
      </c>
      <c r="U116" s="321">
        <f t="shared" si="37"/>
        <v>0</v>
      </c>
      <c r="V116" s="321">
        <f t="shared" si="37"/>
        <v>0</v>
      </c>
      <c r="W116" s="321">
        <f t="shared" si="37"/>
        <v>0</v>
      </c>
      <c r="X116" s="321">
        <f t="shared" si="37"/>
        <v>0</v>
      </c>
      <c r="Y116" s="321">
        <f t="shared" si="37"/>
        <v>0</v>
      </c>
      <c r="Z116" s="321">
        <f t="shared" si="37"/>
        <v>0</v>
      </c>
      <c r="AA116" s="321">
        <f t="shared" si="37"/>
        <v>0</v>
      </c>
      <c r="AB116" s="321">
        <f t="shared" si="37"/>
        <v>0</v>
      </c>
      <c r="AC116" s="321">
        <f t="shared" si="37"/>
        <v>0</v>
      </c>
      <c r="AD116" s="321">
        <f t="shared" si="37"/>
        <v>0</v>
      </c>
      <c r="AE116" s="321">
        <f t="shared" si="37"/>
        <v>0</v>
      </c>
      <c r="AF116" s="321">
        <f t="shared" si="37"/>
        <v>0</v>
      </c>
      <c r="AG116" s="321">
        <f t="shared" si="37"/>
        <v>0</v>
      </c>
      <c r="AH116" s="321">
        <f t="shared" si="37"/>
        <v>0</v>
      </c>
      <c r="AI116" s="321">
        <f t="shared" si="37"/>
        <v>0</v>
      </c>
      <c r="AJ116" s="321">
        <f t="shared" si="37"/>
        <v>0</v>
      </c>
      <c r="AK116" s="321">
        <f t="shared" si="37"/>
        <v>0</v>
      </c>
      <c r="AL116" s="321">
        <f t="shared" si="37"/>
        <v>0</v>
      </c>
      <c r="AM116" s="321">
        <f t="shared" si="37"/>
        <v>0</v>
      </c>
      <c r="AN116" s="321">
        <f t="shared" si="37"/>
        <v>0</v>
      </c>
      <c r="AO116" s="321">
        <f t="shared" si="37"/>
        <v>0</v>
      </c>
      <c r="AP116" s="321">
        <f t="shared" si="37"/>
        <v>0</v>
      </c>
      <c r="AQ116" s="321">
        <f t="shared" si="37"/>
        <v>0</v>
      </c>
      <c r="AR116" s="321">
        <f t="shared" si="37"/>
        <v>0</v>
      </c>
      <c r="AS116" s="321">
        <f t="shared" si="37"/>
        <v>0</v>
      </c>
      <c r="AT116" s="321">
        <f t="shared" si="37"/>
        <v>0</v>
      </c>
      <c r="AU116" s="321">
        <f t="shared" si="37"/>
        <v>0</v>
      </c>
      <c r="AV116" s="321">
        <f t="shared" si="37"/>
        <v>0</v>
      </c>
      <c r="AW116" s="321">
        <f t="shared" si="37"/>
        <v>0</v>
      </c>
      <c r="AX116" s="321">
        <f t="shared" si="37"/>
        <v>0</v>
      </c>
      <c r="AY116" s="321">
        <f t="shared" si="37"/>
        <v>0</v>
      </c>
      <c r="AZ116" s="321">
        <f t="shared" si="37"/>
        <v>0</v>
      </c>
      <c r="BA116" s="321">
        <f t="shared" si="37"/>
        <v>0</v>
      </c>
      <c r="BB116" s="321">
        <f t="shared" si="37"/>
        <v>0</v>
      </c>
      <c r="BC116" s="321">
        <f t="shared" si="37"/>
        <v>0</v>
      </c>
      <c r="BD116" s="321">
        <f t="shared" si="37"/>
        <v>0</v>
      </c>
      <c r="BE116" s="321">
        <f t="shared" si="37"/>
        <v>0</v>
      </c>
      <c r="BF116" s="321">
        <f t="shared" si="37"/>
        <v>0</v>
      </c>
      <c r="BG116" s="321">
        <f t="shared" si="37"/>
        <v>0</v>
      </c>
      <c r="BH116" s="321">
        <f t="shared" si="37"/>
        <v>0</v>
      </c>
      <c r="BI116" s="321">
        <f t="shared" si="37"/>
        <v>0</v>
      </c>
      <c r="BJ116" s="321">
        <f t="shared" si="37"/>
        <v>0</v>
      </c>
      <c r="BK116" s="321">
        <f t="shared" si="37"/>
        <v>0</v>
      </c>
      <c r="BL116" s="321">
        <f t="shared" si="37"/>
        <v>0</v>
      </c>
      <c r="BM116" s="321">
        <f t="shared" si="37"/>
        <v>0</v>
      </c>
      <c r="BN116" s="321">
        <f t="shared" si="37"/>
        <v>0</v>
      </c>
      <c r="BO116" s="321">
        <f t="shared" si="37"/>
        <v>0</v>
      </c>
      <c r="BP116" s="321">
        <f t="shared" si="37"/>
        <v>0</v>
      </c>
      <c r="BQ116" s="321">
        <f t="shared" si="37"/>
        <v>0</v>
      </c>
      <c r="BR116" s="321">
        <f t="shared" si="37"/>
        <v>0</v>
      </c>
      <c r="BS116" s="321">
        <f t="shared" si="37"/>
        <v>0</v>
      </c>
      <c r="BT116" s="321">
        <f t="shared" si="37"/>
        <v>0</v>
      </c>
      <c r="BU116" s="321">
        <f t="shared" si="37"/>
        <v>0</v>
      </c>
      <c r="BV116" s="321">
        <f t="shared" si="37"/>
        <v>0</v>
      </c>
      <c r="BW116" s="321">
        <f t="shared" si="37"/>
        <v>0</v>
      </c>
      <c r="BX116" s="321" t="e">
        <f>BX110+BX111+BX112+BX113+BX114+BX115</f>
        <v>#VALUE!</v>
      </c>
      <c r="BY116" s="222"/>
      <c r="BZ116" s="222"/>
      <c r="CA116" s="222"/>
      <c r="CB116" s="222"/>
      <c r="CC116" s="222"/>
      <c r="CD116" s="222"/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2"/>
      <c r="CQ116" s="222"/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2"/>
      <c r="DD116" s="222"/>
      <c r="DE116" s="222"/>
      <c r="DF116" s="222"/>
      <c r="DG116" s="222"/>
      <c r="DH116" s="222"/>
      <c r="DI116" s="222"/>
      <c r="DJ116" s="222"/>
      <c r="DK116" s="222"/>
      <c r="DL116" s="222"/>
      <c r="DM116" s="222"/>
      <c r="DN116" s="222"/>
      <c r="DO116" s="222"/>
      <c r="DP116" s="222"/>
      <c r="DQ116" s="222"/>
      <c r="DR116" s="222"/>
      <c r="DS116" s="222"/>
      <c r="DT116" s="222"/>
      <c r="DU116" s="222"/>
      <c r="DV116" s="222"/>
      <c r="DW116" s="222"/>
      <c r="DX116" s="222"/>
      <c r="DY116" s="222"/>
      <c r="DZ116" s="222"/>
      <c r="EA116" s="222"/>
      <c r="EB116" s="222"/>
      <c r="EC116" s="222"/>
      <c r="ED116" s="222"/>
      <c r="EE116" s="222"/>
      <c r="EF116" s="222"/>
      <c r="EG116" s="222"/>
      <c r="EH116" s="222"/>
    </row>
    <row r="117" spans="1:138">
      <c r="A117" s="222"/>
      <c r="B117" s="318"/>
      <c r="C117" s="313" t="s">
        <v>292</v>
      </c>
      <c r="D117" s="322" t="e">
        <f>IRR(E116:BX116)*12</f>
        <v>#VALUE!</v>
      </c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22"/>
      <c r="BC117" s="222"/>
      <c r="BD117" s="222"/>
      <c r="BE117" s="222"/>
      <c r="BF117" s="222"/>
      <c r="BG117" s="222"/>
      <c r="BH117" s="222"/>
      <c r="BI117" s="222"/>
      <c r="BJ117" s="222"/>
      <c r="BK117" s="222"/>
      <c r="BL117" s="222"/>
      <c r="BM117" s="222"/>
      <c r="BN117" s="222"/>
      <c r="BO117" s="222"/>
      <c r="BP117" s="222"/>
      <c r="BQ117" s="222"/>
      <c r="BR117" s="222"/>
      <c r="BS117" s="222"/>
      <c r="BT117" s="222"/>
      <c r="BU117" s="222"/>
      <c r="BV117" s="222"/>
      <c r="BW117" s="222"/>
      <c r="BX117" s="222"/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</row>
    <row r="118" spans="1:138">
      <c r="A118" s="222"/>
      <c r="B118" s="318"/>
      <c r="C118" s="323" t="s">
        <v>300</v>
      </c>
      <c r="D118" s="324">
        <f>SUM(BY5:BY6)</f>
        <v>24235669</v>
      </c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2"/>
      <c r="BN118" s="222"/>
      <c r="BO118" s="222"/>
      <c r="BP118" s="222"/>
      <c r="BQ118" s="222"/>
      <c r="BR118" s="222"/>
      <c r="BS118" s="222"/>
      <c r="BT118" s="222"/>
      <c r="BU118" s="222"/>
      <c r="BV118" s="222"/>
      <c r="BW118" s="222"/>
      <c r="BX118" s="222"/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2"/>
      <c r="CQ118" s="222"/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2"/>
      <c r="DD118" s="222"/>
      <c r="DE118" s="222"/>
      <c r="DF118" s="222"/>
      <c r="DG118" s="222"/>
      <c r="DH118" s="222"/>
      <c r="DI118" s="222"/>
      <c r="DJ118" s="222"/>
      <c r="DK118" s="222"/>
      <c r="DL118" s="222"/>
      <c r="DM118" s="222"/>
      <c r="DN118" s="222"/>
      <c r="DO118" s="222"/>
      <c r="DP118" s="222"/>
      <c r="DQ118" s="222"/>
      <c r="DR118" s="222"/>
      <c r="DS118" s="222"/>
      <c r="DT118" s="222"/>
      <c r="DU118" s="222"/>
      <c r="DV118" s="222"/>
      <c r="DW118" s="222"/>
      <c r="DX118" s="222"/>
      <c r="DY118" s="222"/>
      <c r="DZ118" s="222"/>
      <c r="EA118" s="222"/>
      <c r="EB118" s="222"/>
      <c r="EC118" s="222"/>
      <c r="ED118" s="222"/>
      <c r="EE118" s="222"/>
      <c r="EF118" s="222"/>
      <c r="EG118" s="222"/>
      <c r="EH118" s="222"/>
    </row>
    <row r="119" spans="1:138">
      <c r="A119" s="222"/>
      <c r="B119" s="318"/>
      <c r="C119" s="323" t="s">
        <v>301</v>
      </c>
      <c r="D119" s="324">
        <f>-SUM(E111:BM111)</f>
        <v>8333333</v>
      </c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38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  <c r="CY119" s="222"/>
      <c r="CZ119" s="222"/>
      <c r="DA119" s="222"/>
      <c r="DB119" s="222"/>
      <c r="DC119" s="222"/>
      <c r="DD119" s="222"/>
      <c r="DE119" s="222"/>
      <c r="DF119" s="222"/>
      <c r="DG119" s="222"/>
      <c r="DH119" s="222"/>
      <c r="DI119" s="222"/>
      <c r="DJ119" s="222"/>
      <c r="DK119" s="222"/>
      <c r="DL119" s="222"/>
      <c r="DM119" s="222"/>
      <c r="DN119" s="222"/>
      <c r="DO119" s="222"/>
      <c r="DP119" s="222"/>
      <c r="DQ119" s="222"/>
      <c r="DR119" s="222"/>
      <c r="DS119" s="222"/>
      <c r="DT119" s="222"/>
      <c r="DU119" s="222"/>
      <c r="DV119" s="222"/>
      <c r="DW119" s="325"/>
      <c r="DX119" s="325"/>
      <c r="DY119" s="325"/>
      <c r="DZ119" s="325"/>
      <c r="EA119" s="325"/>
      <c r="EB119" s="325"/>
      <c r="EC119" s="325"/>
      <c r="ED119" s="325"/>
      <c r="EE119" s="325"/>
      <c r="EF119" s="325"/>
      <c r="EG119" s="325"/>
      <c r="EH119" s="325"/>
    </row>
    <row r="120" spans="1:138">
      <c r="A120" s="222"/>
      <c r="B120" s="318"/>
      <c r="C120" s="313" t="s">
        <v>302</v>
      </c>
      <c r="D120" s="326">
        <f>D118+D119</f>
        <v>32569002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605" t="s">
        <v>331</v>
      </c>
      <c r="T120" s="588"/>
      <c r="U120" s="222"/>
      <c r="V120" s="222">
        <f>T110+5000000+3333333</f>
        <v>32569002</v>
      </c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2"/>
      <c r="BN120" s="222"/>
      <c r="BO120" s="222"/>
      <c r="BP120" s="222"/>
      <c r="BQ120" s="222"/>
      <c r="BR120" s="222"/>
      <c r="BS120" s="222"/>
      <c r="BT120" s="222"/>
      <c r="BU120" s="222"/>
      <c r="BV120" s="222"/>
      <c r="BW120" s="222"/>
      <c r="BX120" s="222"/>
      <c r="BY120" s="222"/>
      <c r="BZ120" s="222"/>
      <c r="CA120" s="222"/>
      <c r="CB120" s="222"/>
      <c r="CC120" s="222"/>
      <c r="CD120" s="222"/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2"/>
      <c r="CQ120" s="222"/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2"/>
      <c r="DD120" s="222"/>
      <c r="DE120" s="222"/>
      <c r="DF120" s="222"/>
      <c r="DG120" s="222"/>
      <c r="DH120" s="222"/>
      <c r="DI120" s="222"/>
      <c r="DJ120" s="222"/>
      <c r="DK120" s="222"/>
      <c r="DL120" s="222"/>
      <c r="DM120" s="222"/>
      <c r="DN120" s="222"/>
      <c r="DO120" s="222"/>
      <c r="DP120" s="222"/>
      <c r="DQ120" s="222"/>
      <c r="DR120" s="222"/>
      <c r="DS120" s="222"/>
      <c r="DT120" s="222"/>
      <c r="DU120" s="222"/>
      <c r="DV120" s="222"/>
      <c r="DW120" s="325"/>
      <c r="DX120" s="325"/>
      <c r="DY120" s="325"/>
      <c r="DZ120" s="325"/>
      <c r="EA120" s="325"/>
      <c r="EB120" s="325"/>
      <c r="EC120" s="325"/>
      <c r="ED120" s="325"/>
      <c r="EE120" s="325"/>
      <c r="EF120" s="325"/>
      <c r="EG120" s="325"/>
      <c r="EH120" s="325"/>
    </row>
    <row r="121" spans="1:138">
      <c r="A121" s="222"/>
      <c r="B121" s="318"/>
      <c r="C121" s="313" t="s">
        <v>303</v>
      </c>
      <c r="D121" s="326" t="e">
        <f>T116-D118</f>
        <v>#REF!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605" t="s">
        <v>332</v>
      </c>
      <c r="T121" s="588"/>
      <c r="U121" s="222"/>
      <c r="V121" s="222">
        <f>V120+11000000</f>
        <v>43569002</v>
      </c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2"/>
      <c r="BN121" s="222"/>
      <c r="BO121" s="222"/>
      <c r="BP121" s="222"/>
      <c r="BQ121" s="222"/>
      <c r="BR121" s="222"/>
      <c r="BS121" s="222"/>
      <c r="BT121" s="222"/>
      <c r="BU121" s="222"/>
      <c r="BV121" s="222"/>
      <c r="BW121" s="222"/>
      <c r="BX121" s="222"/>
      <c r="BY121" s="222"/>
      <c r="BZ121" s="238"/>
      <c r="CA121" s="222"/>
      <c r="CB121" s="222"/>
      <c r="CC121" s="222"/>
      <c r="CD121" s="222"/>
      <c r="CE121" s="222"/>
      <c r="CF121" s="222"/>
      <c r="CG121" s="222"/>
      <c r="CH121" s="222"/>
      <c r="CI121" s="222"/>
      <c r="CJ121" s="222"/>
      <c r="CK121" s="222"/>
      <c r="CL121" s="222"/>
      <c r="CM121" s="222"/>
      <c r="CN121" s="222"/>
      <c r="CO121" s="222"/>
      <c r="CP121" s="222"/>
      <c r="CQ121" s="222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222"/>
      <c r="DC121" s="222"/>
      <c r="DD121" s="222"/>
      <c r="DE121" s="222"/>
      <c r="DF121" s="222"/>
      <c r="DG121" s="222"/>
      <c r="DH121" s="222"/>
      <c r="DI121" s="222"/>
      <c r="DJ121" s="222"/>
      <c r="DK121" s="222"/>
      <c r="DL121" s="222"/>
      <c r="DM121" s="222"/>
      <c r="DN121" s="222"/>
      <c r="DO121" s="222"/>
      <c r="DP121" s="222"/>
      <c r="DQ121" s="222"/>
      <c r="DR121" s="222"/>
      <c r="DS121" s="222"/>
      <c r="DT121" s="222"/>
      <c r="DU121" s="222"/>
      <c r="DV121" s="222"/>
      <c r="DW121" s="325"/>
      <c r="DX121" s="325"/>
      <c r="DY121" s="325"/>
      <c r="DZ121" s="325"/>
      <c r="EA121" s="325"/>
      <c r="EB121" s="325"/>
      <c r="EC121" s="325"/>
      <c r="ED121" s="325"/>
      <c r="EE121" s="325"/>
      <c r="EF121" s="325"/>
      <c r="EG121" s="325"/>
      <c r="EH121" s="325"/>
    </row>
    <row r="122" spans="1:138">
      <c r="A122" s="222"/>
      <c r="B122" s="318"/>
      <c r="C122" s="313" t="s">
        <v>147</v>
      </c>
      <c r="D122" s="322" t="e">
        <f>(D121-D119)/D120</f>
        <v>#REF!</v>
      </c>
      <c r="E122" s="222"/>
      <c r="F122" s="238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 t="s">
        <v>333</v>
      </c>
      <c r="T122" s="222"/>
      <c r="U122" s="222"/>
      <c r="V122" s="222" t="e">
        <f>T116-V121</f>
        <v>#REF!</v>
      </c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2"/>
      <c r="BO122" s="222"/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2"/>
      <c r="CB122" s="222"/>
      <c r="CC122" s="222"/>
      <c r="CD122" s="222"/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2"/>
      <c r="CQ122" s="222"/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22"/>
      <c r="DO122" s="222"/>
      <c r="DP122" s="222"/>
      <c r="DQ122" s="222"/>
      <c r="DR122" s="222"/>
      <c r="DS122" s="222"/>
      <c r="DT122" s="222"/>
      <c r="DU122" s="222"/>
      <c r="DV122" s="222"/>
      <c r="DW122" s="325"/>
      <c r="DX122" s="325"/>
      <c r="DY122" s="325"/>
      <c r="DZ122" s="325"/>
      <c r="EA122" s="325"/>
      <c r="EB122" s="325"/>
      <c r="EC122" s="325"/>
      <c r="ED122" s="325"/>
      <c r="EE122" s="325"/>
      <c r="EF122" s="325"/>
      <c r="EG122" s="325"/>
      <c r="EH122" s="325"/>
    </row>
    <row r="123" spans="1:138">
      <c r="A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38" t="e">
        <f>V122/-J110</f>
        <v>#REF!</v>
      </c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2"/>
      <c r="BN123" s="222"/>
      <c r="BO123" s="222"/>
      <c r="BP123" s="222"/>
      <c r="BQ123" s="222"/>
      <c r="BR123" s="222"/>
      <c r="BS123" s="222"/>
      <c r="BT123" s="222"/>
      <c r="BU123" s="222"/>
      <c r="BV123" s="222"/>
      <c r="BW123" s="222"/>
      <c r="BX123" s="222"/>
      <c r="BY123" s="222"/>
      <c r="BZ123" s="222"/>
      <c r="CA123" s="222"/>
      <c r="CB123" s="222"/>
      <c r="CC123" s="222"/>
      <c r="CD123" s="222"/>
      <c r="CE123" s="222"/>
      <c r="CF123" s="222"/>
      <c r="CG123" s="222"/>
      <c r="CH123" s="222"/>
      <c r="CI123" s="222"/>
      <c r="CJ123" s="222"/>
      <c r="CK123" s="222"/>
      <c r="CL123" s="222"/>
      <c r="CM123" s="222"/>
      <c r="CN123" s="222"/>
      <c r="CO123" s="222"/>
      <c r="CP123" s="222"/>
      <c r="CQ123" s="222"/>
      <c r="CR123" s="222"/>
      <c r="CS123" s="222"/>
      <c r="CT123" s="222"/>
      <c r="CU123" s="222"/>
      <c r="CV123" s="222"/>
      <c r="CW123" s="222"/>
      <c r="CX123" s="222"/>
      <c r="CY123" s="222"/>
      <c r="CZ123" s="222"/>
      <c r="DA123" s="222"/>
      <c r="DB123" s="222"/>
      <c r="DC123" s="222"/>
      <c r="DD123" s="222"/>
      <c r="DE123" s="222"/>
      <c r="DF123" s="222"/>
      <c r="DG123" s="222"/>
      <c r="DH123" s="222"/>
      <c r="DI123" s="222"/>
      <c r="DJ123" s="222"/>
      <c r="DK123" s="222"/>
      <c r="DL123" s="222"/>
      <c r="DM123" s="222"/>
      <c r="DN123" s="222"/>
      <c r="DO123" s="222"/>
      <c r="DP123" s="222"/>
      <c r="DQ123" s="222"/>
      <c r="DR123" s="222"/>
      <c r="DS123" s="222"/>
      <c r="DT123" s="222"/>
      <c r="DU123" s="222"/>
      <c r="DV123" s="222"/>
      <c r="DW123" s="325"/>
      <c r="DX123" s="325"/>
      <c r="DY123" s="325"/>
      <c r="DZ123" s="325"/>
      <c r="EA123" s="325"/>
      <c r="EB123" s="325"/>
      <c r="EC123" s="325"/>
      <c r="ED123" s="325"/>
      <c r="EE123" s="325"/>
      <c r="EF123" s="325"/>
      <c r="EG123" s="325"/>
      <c r="EH123" s="325"/>
    </row>
    <row r="124" spans="1:138">
      <c r="A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2"/>
      <c r="BV124" s="222"/>
      <c r="BW124" s="222"/>
      <c r="BX124" s="222"/>
      <c r="BY124" s="222"/>
      <c r="BZ124" s="222"/>
      <c r="CA124" s="222"/>
      <c r="CB124" s="222"/>
      <c r="CC124" s="222"/>
      <c r="CD124" s="222"/>
      <c r="CE124" s="222"/>
      <c r="CF124" s="222"/>
      <c r="CG124" s="222"/>
      <c r="CH124" s="222"/>
      <c r="CI124" s="222"/>
      <c r="CJ124" s="222"/>
      <c r="CK124" s="222"/>
      <c r="CL124" s="222"/>
      <c r="CM124" s="222"/>
      <c r="CN124" s="222"/>
      <c r="CO124" s="222"/>
      <c r="CP124" s="222"/>
      <c r="CQ124" s="222"/>
      <c r="CR124" s="222"/>
      <c r="CS124" s="222"/>
      <c r="CT124" s="222"/>
      <c r="CU124" s="222"/>
      <c r="CV124" s="222"/>
      <c r="CW124" s="222"/>
      <c r="CX124" s="222"/>
      <c r="CY124" s="222"/>
      <c r="CZ124" s="222"/>
      <c r="DA124" s="222"/>
      <c r="DB124" s="222"/>
      <c r="DC124" s="222"/>
      <c r="DD124" s="222"/>
      <c r="DE124" s="222"/>
      <c r="DF124" s="222"/>
      <c r="DG124" s="222"/>
      <c r="DH124" s="222"/>
      <c r="DI124" s="222"/>
      <c r="DJ124" s="222"/>
      <c r="DK124" s="222"/>
      <c r="DL124" s="222"/>
      <c r="DM124" s="222"/>
      <c r="DN124" s="222"/>
      <c r="DO124" s="222"/>
      <c r="DP124" s="222"/>
      <c r="DQ124" s="222"/>
      <c r="DR124" s="222"/>
      <c r="DS124" s="222"/>
      <c r="DT124" s="222"/>
      <c r="DU124" s="222"/>
      <c r="DV124" s="222"/>
      <c r="DW124" s="325"/>
      <c r="DX124" s="325"/>
      <c r="DY124" s="325"/>
      <c r="DZ124" s="325"/>
      <c r="EA124" s="325"/>
      <c r="EB124" s="325"/>
      <c r="EC124" s="325"/>
      <c r="ED124" s="325"/>
      <c r="EE124" s="325"/>
      <c r="EF124" s="325"/>
      <c r="EG124" s="325"/>
      <c r="EH124" s="325"/>
    </row>
    <row r="125" spans="1:138">
      <c r="A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325"/>
      <c r="DX125" s="325"/>
      <c r="DY125" s="325"/>
      <c r="DZ125" s="325"/>
      <c r="EA125" s="325"/>
      <c r="EB125" s="325"/>
      <c r="EC125" s="325"/>
      <c r="ED125" s="325"/>
      <c r="EE125" s="325"/>
      <c r="EF125" s="325"/>
      <c r="EG125" s="325"/>
      <c r="EH125" s="325"/>
    </row>
    <row r="126" spans="1:138">
      <c r="A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  <c r="BB126" s="222"/>
      <c r="BC126" s="222"/>
      <c r="BD126" s="222"/>
      <c r="BE126" s="222"/>
      <c r="BF126" s="222"/>
      <c r="BG126" s="222"/>
      <c r="BH126" s="222"/>
      <c r="BI126" s="222"/>
      <c r="BJ126" s="222"/>
      <c r="BK126" s="222"/>
      <c r="BL126" s="222"/>
      <c r="BM126" s="222"/>
      <c r="BN126" s="222"/>
      <c r="BO126" s="222"/>
      <c r="BP126" s="222"/>
      <c r="BQ126" s="222"/>
      <c r="BR126" s="222"/>
      <c r="BS126" s="222"/>
      <c r="BT126" s="222"/>
      <c r="BU126" s="222"/>
      <c r="BV126" s="222"/>
      <c r="BW126" s="222"/>
      <c r="BX126" s="222"/>
      <c r="BY126" s="222"/>
      <c r="BZ126" s="222"/>
      <c r="CA126" s="222"/>
      <c r="CB126" s="222"/>
      <c r="CC126" s="222"/>
      <c r="CD126" s="222"/>
      <c r="CE126" s="222"/>
      <c r="CF126" s="222"/>
      <c r="CG126" s="222"/>
      <c r="CH126" s="222"/>
      <c r="CI126" s="222"/>
      <c r="CJ126" s="222"/>
      <c r="CK126" s="222"/>
      <c r="CL126" s="222"/>
      <c r="CM126" s="222"/>
      <c r="CN126" s="222"/>
      <c r="CO126" s="222"/>
      <c r="CP126" s="222"/>
      <c r="CQ126" s="222"/>
      <c r="CR126" s="222"/>
      <c r="CS126" s="222"/>
      <c r="CT126" s="222"/>
      <c r="CU126" s="222"/>
      <c r="CV126" s="222"/>
      <c r="CW126" s="222"/>
      <c r="CX126" s="222"/>
      <c r="CY126" s="222"/>
      <c r="CZ126" s="222"/>
      <c r="DA126" s="222"/>
      <c r="DB126" s="222"/>
      <c r="DC126" s="222"/>
      <c r="DD126" s="222"/>
      <c r="DE126" s="222"/>
      <c r="DF126" s="222"/>
      <c r="DG126" s="222"/>
      <c r="DH126" s="222"/>
      <c r="DI126" s="222"/>
      <c r="DJ126" s="222"/>
      <c r="DK126" s="222"/>
      <c r="DL126" s="222"/>
      <c r="DM126" s="222"/>
      <c r="DN126" s="222"/>
      <c r="DO126" s="222"/>
      <c r="DP126" s="222"/>
      <c r="DQ126" s="222"/>
      <c r="DR126" s="222"/>
      <c r="DS126" s="222"/>
      <c r="DT126" s="222"/>
      <c r="DU126" s="222"/>
      <c r="DV126" s="222"/>
      <c r="DW126" s="325"/>
      <c r="DX126" s="325"/>
      <c r="DY126" s="325"/>
      <c r="DZ126" s="325"/>
      <c r="EA126" s="325"/>
      <c r="EB126" s="325"/>
      <c r="EC126" s="325"/>
      <c r="ED126" s="325"/>
      <c r="EE126" s="325"/>
      <c r="EF126" s="325"/>
      <c r="EG126" s="325"/>
      <c r="EH126" s="325"/>
    </row>
    <row r="127" spans="1:138">
      <c r="A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  <c r="BB127" s="222"/>
      <c r="BC127" s="222"/>
      <c r="BD127" s="222"/>
      <c r="BE127" s="222"/>
      <c r="BF127" s="222"/>
      <c r="BG127" s="222"/>
      <c r="BH127" s="222"/>
      <c r="BI127" s="222"/>
      <c r="BJ127" s="222"/>
      <c r="BK127" s="222"/>
      <c r="BL127" s="222"/>
      <c r="BM127" s="222"/>
      <c r="BN127" s="222"/>
      <c r="BO127" s="222"/>
      <c r="BP127" s="222"/>
      <c r="BQ127" s="222"/>
      <c r="BR127" s="222"/>
      <c r="BS127" s="222"/>
      <c r="BT127" s="222"/>
      <c r="BU127" s="222"/>
      <c r="BV127" s="222"/>
      <c r="BW127" s="222"/>
      <c r="BX127" s="222"/>
      <c r="BY127" s="222"/>
      <c r="BZ127" s="222"/>
      <c r="CA127" s="222"/>
      <c r="CB127" s="222"/>
      <c r="CC127" s="222"/>
      <c r="CD127" s="222"/>
      <c r="CE127" s="222"/>
      <c r="CF127" s="222"/>
      <c r="CG127" s="222"/>
      <c r="CH127" s="222"/>
      <c r="CI127" s="222"/>
      <c r="CJ127" s="222"/>
      <c r="CK127" s="222"/>
      <c r="CL127" s="222"/>
      <c r="CM127" s="222"/>
      <c r="CN127" s="222"/>
      <c r="CO127" s="222"/>
      <c r="CP127" s="222"/>
      <c r="CQ127" s="222"/>
      <c r="CR127" s="222"/>
      <c r="CS127" s="222"/>
      <c r="CT127" s="222"/>
      <c r="CU127" s="222"/>
      <c r="CV127" s="222"/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2"/>
      <c r="DI127" s="222"/>
      <c r="DJ127" s="222"/>
      <c r="DK127" s="222"/>
      <c r="DL127" s="222"/>
      <c r="DM127" s="222"/>
      <c r="DN127" s="222"/>
      <c r="DO127" s="222"/>
      <c r="DP127" s="222"/>
      <c r="DQ127" s="222"/>
      <c r="DR127" s="222"/>
      <c r="DS127" s="222"/>
      <c r="DT127" s="222"/>
      <c r="DU127" s="222"/>
      <c r="DV127" s="222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</row>
    <row r="128" spans="1:138">
      <c r="A128" s="222"/>
      <c r="B128" s="318"/>
      <c r="C128" s="310" t="s">
        <v>304</v>
      </c>
      <c r="D128" s="311"/>
      <c r="E128" s="311">
        <f t="shared" ref="E128:BX128" si="38">-(E6+E90)</f>
        <v>0</v>
      </c>
      <c r="F128" s="311">
        <f t="shared" si="38"/>
        <v>0</v>
      </c>
      <c r="G128" s="311">
        <f t="shared" si="38"/>
        <v>0</v>
      </c>
      <c r="H128" s="311">
        <f t="shared" si="38"/>
        <v>0</v>
      </c>
      <c r="I128" s="311">
        <f t="shared" si="38"/>
        <v>0</v>
      </c>
      <c r="J128" s="311">
        <f t="shared" si="38"/>
        <v>-7870667</v>
      </c>
      <c r="K128" s="311">
        <f t="shared" si="38"/>
        <v>0</v>
      </c>
      <c r="L128" s="311">
        <f t="shared" si="38"/>
        <v>0</v>
      </c>
      <c r="M128" s="311">
        <f t="shared" si="38"/>
        <v>0</v>
      </c>
      <c r="N128" s="311">
        <f t="shared" si="38"/>
        <v>0</v>
      </c>
      <c r="O128" s="311">
        <f t="shared" si="38"/>
        <v>0</v>
      </c>
      <c r="P128" s="311">
        <f t="shared" si="38"/>
        <v>0</v>
      </c>
      <c r="Q128" s="311">
        <f t="shared" si="38"/>
        <v>0</v>
      </c>
      <c r="R128" s="311">
        <f t="shared" si="38"/>
        <v>0</v>
      </c>
      <c r="S128" s="311">
        <f t="shared" si="38"/>
        <v>0</v>
      </c>
      <c r="T128" s="311">
        <f t="shared" si="38"/>
        <v>7870667</v>
      </c>
      <c r="U128" s="311">
        <f t="shared" si="38"/>
        <v>0</v>
      </c>
      <c r="V128" s="311">
        <f t="shared" si="38"/>
        <v>0</v>
      </c>
      <c r="W128" s="311">
        <f t="shared" si="38"/>
        <v>0</v>
      </c>
      <c r="X128" s="311">
        <f t="shared" si="38"/>
        <v>0</v>
      </c>
      <c r="Y128" s="311">
        <f t="shared" si="38"/>
        <v>0</v>
      </c>
      <c r="Z128" s="311">
        <f t="shared" si="38"/>
        <v>0</v>
      </c>
      <c r="AA128" s="311">
        <f t="shared" si="38"/>
        <v>0</v>
      </c>
      <c r="AB128" s="311">
        <f t="shared" si="38"/>
        <v>0</v>
      </c>
      <c r="AC128" s="311">
        <f t="shared" si="38"/>
        <v>0</v>
      </c>
      <c r="AD128" s="311">
        <f t="shared" si="38"/>
        <v>0</v>
      </c>
      <c r="AE128" s="311">
        <f t="shared" si="38"/>
        <v>0</v>
      </c>
      <c r="AF128" s="311">
        <f t="shared" si="38"/>
        <v>0</v>
      </c>
      <c r="AG128" s="311">
        <f t="shared" si="38"/>
        <v>0</v>
      </c>
      <c r="AH128" s="311">
        <f t="shared" si="38"/>
        <v>0</v>
      </c>
      <c r="AI128" s="311">
        <f t="shared" si="38"/>
        <v>0</v>
      </c>
      <c r="AJ128" s="311">
        <f t="shared" si="38"/>
        <v>0</v>
      </c>
      <c r="AK128" s="311">
        <f t="shared" si="38"/>
        <v>0</v>
      </c>
      <c r="AL128" s="311">
        <f t="shared" si="38"/>
        <v>0</v>
      </c>
      <c r="AM128" s="311">
        <f t="shared" si="38"/>
        <v>0</v>
      </c>
      <c r="AN128" s="311">
        <f t="shared" si="38"/>
        <v>0</v>
      </c>
      <c r="AO128" s="311">
        <f t="shared" si="38"/>
        <v>0</v>
      </c>
      <c r="AP128" s="311">
        <f t="shared" si="38"/>
        <v>0</v>
      </c>
      <c r="AQ128" s="311">
        <f t="shared" si="38"/>
        <v>0</v>
      </c>
      <c r="AR128" s="311">
        <f t="shared" si="38"/>
        <v>0</v>
      </c>
      <c r="AS128" s="311">
        <f t="shared" si="38"/>
        <v>0</v>
      </c>
      <c r="AT128" s="311">
        <f t="shared" si="38"/>
        <v>0</v>
      </c>
      <c r="AU128" s="311">
        <f t="shared" si="38"/>
        <v>0</v>
      </c>
      <c r="AV128" s="311">
        <f t="shared" si="38"/>
        <v>0</v>
      </c>
      <c r="AW128" s="311">
        <f t="shared" si="38"/>
        <v>0</v>
      </c>
      <c r="AX128" s="311">
        <f t="shared" si="38"/>
        <v>0</v>
      </c>
      <c r="AY128" s="311">
        <f t="shared" si="38"/>
        <v>0</v>
      </c>
      <c r="AZ128" s="311">
        <f t="shared" si="38"/>
        <v>0</v>
      </c>
      <c r="BA128" s="311">
        <f t="shared" si="38"/>
        <v>0</v>
      </c>
      <c r="BB128" s="311">
        <f t="shared" si="38"/>
        <v>0</v>
      </c>
      <c r="BC128" s="311">
        <f t="shared" si="38"/>
        <v>0</v>
      </c>
      <c r="BD128" s="311">
        <f t="shared" si="38"/>
        <v>0</v>
      </c>
      <c r="BE128" s="311">
        <f t="shared" si="38"/>
        <v>0</v>
      </c>
      <c r="BF128" s="311">
        <f t="shared" si="38"/>
        <v>0</v>
      </c>
      <c r="BG128" s="311">
        <f t="shared" si="38"/>
        <v>0</v>
      </c>
      <c r="BH128" s="311">
        <f t="shared" si="38"/>
        <v>0</v>
      </c>
      <c r="BI128" s="311">
        <f t="shared" si="38"/>
        <v>0</v>
      </c>
      <c r="BJ128" s="311">
        <f t="shared" si="38"/>
        <v>0</v>
      </c>
      <c r="BK128" s="311">
        <f t="shared" si="38"/>
        <v>0</v>
      </c>
      <c r="BL128" s="311">
        <f t="shared" si="38"/>
        <v>0</v>
      </c>
      <c r="BM128" s="311">
        <f t="shared" si="38"/>
        <v>0</v>
      </c>
      <c r="BN128" s="311">
        <f t="shared" si="38"/>
        <v>0</v>
      </c>
      <c r="BO128" s="311">
        <f t="shared" si="38"/>
        <v>0</v>
      </c>
      <c r="BP128" s="311">
        <f t="shared" si="38"/>
        <v>0</v>
      </c>
      <c r="BQ128" s="311">
        <f t="shared" si="38"/>
        <v>0</v>
      </c>
      <c r="BR128" s="311">
        <f t="shared" si="38"/>
        <v>0</v>
      </c>
      <c r="BS128" s="311">
        <f t="shared" si="38"/>
        <v>0</v>
      </c>
      <c r="BT128" s="311">
        <f t="shared" si="38"/>
        <v>0</v>
      </c>
      <c r="BU128" s="311">
        <f t="shared" si="38"/>
        <v>0</v>
      </c>
      <c r="BV128" s="311">
        <f t="shared" si="38"/>
        <v>0</v>
      </c>
      <c r="BW128" s="311">
        <f t="shared" si="38"/>
        <v>0</v>
      </c>
      <c r="BX128" s="311">
        <f t="shared" si="38"/>
        <v>0</v>
      </c>
      <c r="BY128" s="222"/>
      <c r="BZ128" s="222"/>
      <c r="CA128" s="222"/>
      <c r="CB128" s="222"/>
      <c r="CC128" s="222"/>
      <c r="CD128" s="222"/>
      <c r="CE128" s="222"/>
      <c r="CF128" s="222"/>
      <c r="CG128" s="222"/>
      <c r="CH128" s="222"/>
      <c r="CI128" s="222"/>
      <c r="CJ128" s="222"/>
      <c r="CK128" s="222"/>
      <c r="CL128" s="222"/>
      <c r="CM128" s="222"/>
      <c r="CN128" s="222"/>
      <c r="CO128" s="222"/>
      <c r="CP128" s="222"/>
      <c r="CQ128" s="222"/>
      <c r="CR128" s="222"/>
      <c r="CS128" s="222"/>
      <c r="CT128" s="222"/>
      <c r="CU128" s="222"/>
      <c r="CV128" s="222"/>
      <c r="CW128" s="222"/>
      <c r="CX128" s="222"/>
      <c r="CY128" s="222"/>
      <c r="CZ128" s="222"/>
      <c r="DA128" s="222"/>
      <c r="DB128" s="222"/>
      <c r="DC128" s="222"/>
      <c r="DD128" s="222"/>
      <c r="DE128" s="222"/>
      <c r="DF128" s="222"/>
      <c r="DG128" s="222"/>
      <c r="DH128" s="222"/>
      <c r="DI128" s="222"/>
      <c r="DJ128" s="222"/>
      <c r="DK128" s="222"/>
      <c r="DL128" s="222"/>
      <c r="DM128" s="222"/>
      <c r="DN128" s="222"/>
      <c r="DO128" s="222"/>
      <c r="DP128" s="222"/>
      <c r="DQ128" s="222"/>
      <c r="DR128" s="222"/>
      <c r="DS128" s="222"/>
      <c r="DT128" s="222"/>
      <c r="DU128" s="222"/>
      <c r="DV128" s="222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</row>
    <row r="129" spans="1:138">
      <c r="A129" s="222"/>
      <c r="B129" s="318"/>
      <c r="C129" s="310" t="s">
        <v>305</v>
      </c>
      <c r="D129" s="319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222"/>
      <c r="BZ129" s="222"/>
      <c r="CA129" s="222"/>
      <c r="CB129" s="222"/>
      <c r="CC129" s="222"/>
      <c r="CD129" s="222"/>
      <c r="CE129" s="222"/>
      <c r="CF129" s="222"/>
      <c r="CG129" s="222"/>
      <c r="CH129" s="222"/>
      <c r="CI129" s="222"/>
      <c r="CJ129" s="222"/>
      <c r="CK129" s="222"/>
      <c r="CL129" s="222"/>
      <c r="CM129" s="222"/>
      <c r="CN129" s="222"/>
      <c r="CO129" s="222"/>
      <c r="CP129" s="222"/>
      <c r="CQ129" s="222"/>
      <c r="CR129" s="222"/>
      <c r="CS129" s="222"/>
      <c r="CT129" s="222"/>
      <c r="CU129" s="222"/>
      <c r="CV129" s="222"/>
      <c r="CW129" s="222"/>
      <c r="CX129" s="222"/>
      <c r="CY129" s="222"/>
      <c r="CZ129" s="222"/>
      <c r="DA129" s="222"/>
      <c r="DB129" s="222"/>
      <c r="DC129" s="222"/>
      <c r="DD129" s="222"/>
      <c r="DE129" s="222"/>
      <c r="DF129" s="222"/>
      <c r="DG129" s="222"/>
      <c r="DH129" s="222"/>
      <c r="DI129" s="222"/>
      <c r="DJ129" s="222"/>
      <c r="DK129" s="222"/>
      <c r="DL129" s="222"/>
      <c r="DM129" s="222"/>
      <c r="DN129" s="222"/>
      <c r="DO129" s="222"/>
      <c r="DP129" s="222"/>
      <c r="DQ129" s="222"/>
      <c r="DR129" s="222"/>
      <c r="DS129" s="222"/>
      <c r="DT129" s="222"/>
      <c r="DU129" s="222"/>
      <c r="DV129" s="222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</row>
    <row r="130" spans="1:138">
      <c r="A130" s="222"/>
      <c r="B130" s="318"/>
      <c r="C130" s="310" t="s">
        <v>296</v>
      </c>
      <c r="D130" s="319"/>
      <c r="E130" s="311">
        <f t="shared" ref="E130:BX130" si="39">-E55</f>
        <v>0</v>
      </c>
      <c r="F130" s="311">
        <f t="shared" si="39"/>
        <v>0</v>
      </c>
      <c r="G130" s="311">
        <f t="shared" si="39"/>
        <v>0</v>
      </c>
      <c r="H130" s="311">
        <f t="shared" si="39"/>
        <v>0</v>
      </c>
      <c r="I130" s="311">
        <f t="shared" si="39"/>
        <v>0</v>
      </c>
      <c r="J130" s="311">
        <f t="shared" si="39"/>
        <v>0</v>
      </c>
      <c r="K130" s="311">
        <f t="shared" si="39"/>
        <v>0</v>
      </c>
      <c r="L130" s="311">
        <f t="shared" si="39"/>
        <v>0</v>
      </c>
      <c r="M130" s="311">
        <f t="shared" si="39"/>
        <v>0</v>
      </c>
      <c r="N130" s="311">
        <f t="shared" si="39"/>
        <v>0</v>
      </c>
      <c r="O130" s="311">
        <f t="shared" si="39"/>
        <v>0</v>
      </c>
      <c r="P130" s="311">
        <f t="shared" si="39"/>
        <v>0</v>
      </c>
      <c r="Q130" s="311">
        <f t="shared" si="39"/>
        <v>0</v>
      </c>
      <c r="R130" s="311">
        <f t="shared" si="39"/>
        <v>0</v>
      </c>
      <c r="S130" s="311">
        <f t="shared" si="39"/>
        <v>0</v>
      </c>
      <c r="T130" s="311" t="e">
        <f t="shared" si="39"/>
        <v>#REF!</v>
      </c>
      <c r="U130" s="311">
        <f t="shared" si="39"/>
        <v>0</v>
      </c>
      <c r="V130" s="311">
        <f t="shared" si="39"/>
        <v>0</v>
      </c>
      <c r="W130" s="311">
        <f t="shared" si="39"/>
        <v>0</v>
      </c>
      <c r="X130" s="311">
        <f t="shared" si="39"/>
        <v>0</v>
      </c>
      <c r="Y130" s="311">
        <f t="shared" si="39"/>
        <v>0</v>
      </c>
      <c r="Z130" s="311">
        <f t="shared" si="39"/>
        <v>0</v>
      </c>
      <c r="AA130" s="311">
        <f t="shared" si="39"/>
        <v>0</v>
      </c>
      <c r="AB130" s="311">
        <f t="shared" si="39"/>
        <v>0</v>
      </c>
      <c r="AC130" s="311">
        <f t="shared" si="39"/>
        <v>0</v>
      </c>
      <c r="AD130" s="311">
        <f t="shared" si="39"/>
        <v>0</v>
      </c>
      <c r="AE130" s="311">
        <f t="shared" si="39"/>
        <v>0</v>
      </c>
      <c r="AF130" s="311">
        <f t="shared" si="39"/>
        <v>0</v>
      </c>
      <c r="AG130" s="311">
        <f t="shared" si="39"/>
        <v>0</v>
      </c>
      <c r="AH130" s="311">
        <f t="shared" si="39"/>
        <v>0</v>
      </c>
      <c r="AI130" s="311">
        <f t="shared" si="39"/>
        <v>0</v>
      </c>
      <c r="AJ130" s="311">
        <f t="shared" si="39"/>
        <v>0</v>
      </c>
      <c r="AK130" s="311">
        <f t="shared" si="39"/>
        <v>0</v>
      </c>
      <c r="AL130" s="311">
        <f t="shared" si="39"/>
        <v>0</v>
      </c>
      <c r="AM130" s="311">
        <f t="shared" si="39"/>
        <v>0</v>
      </c>
      <c r="AN130" s="311">
        <f t="shared" si="39"/>
        <v>0</v>
      </c>
      <c r="AO130" s="311">
        <f t="shared" si="39"/>
        <v>0</v>
      </c>
      <c r="AP130" s="311">
        <f t="shared" si="39"/>
        <v>0</v>
      </c>
      <c r="AQ130" s="311">
        <f t="shared" si="39"/>
        <v>0</v>
      </c>
      <c r="AR130" s="311">
        <f t="shared" si="39"/>
        <v>0</v>
      </c>
      <c r="AS130" s="311">
        <f t="shared" si="39"/>
        <v>0</v>
      </c>
      <c r="AT130" s="311">
        <f t="shared" si="39"/>
        <v>0</v>
      </c>
      <c r="AU130" s="311">
        <f t="shared" si="39"/>
        <v>0</v>
      </c>
      <c r="AV130" s="311">
        <f t="shared" si="39"/>
        <v>0</v>
      </c>
      <c r="AW130" s="311">
        <f t="shared" si="39"/>
        <v>0</v>
      </c>
      <c r="AX130" s="311">
        <f t="shared" si="39"/>
        <v>0</v>
      </c>
      <c r="AY130" s="311">
        <f t="shared" si="39"/>
        <v>0</v>
      </c>
      <c r="AZ130" s="311">
        <f t="shared" si="39"/>
        <v>0</v>
      </c>
      <c r="BA130" s="311">
        <f t="shared" si="39"/>
        <v>0</v>
      </c>
      <c r="BB130" s="311">
        <f t="shared" si="39"/>
        <v>0</v>
      </c>
      <c r="BC130" s="311">
        <f t="shared" si="39"/>
        <v>0</v>
      </c>
      <c r="BD130" s="311">
        <f t="shared" si="39"/>
        <v>0</v>
      </c>
      <c r="BE130" s="311">
        <f t="shared" si="39"/>
        <v>0</v>
      </c>
      <c r="BF130" s="311">
        <f t="shared" si="39"/>
        <v>0</v>
      </c>
      <c r="BG130" s="311">
        <f t="shared" si="39"/>
        <v>0</v>
      </c>
      <c r="BH130" s="311">
        <f t="shared" si="39"/>
        <v>0</v>
      </c>
      <c r="BI130" s="311">
        <f t="shared" si="39"/>
        <v>0</v>
      </c>
      <c r="BJ130" s="311">
        <f t="shared" si="39"/>
        <v>0</v>
      </c>
      <c r="BK130" s="311">
        <f t="shared" si="39"/>
        <v>0</v>
      </c>
      <c r="BL130" s="311">
        <f t="shared" si="39"/>
        <v>0</v>
      </c>
      <c r="BM130" s="311">
        <f t="shared" si="39"/>
        <v>0</v>
      </c>
      <c r="BN130" s="311">
        <f t="shared" si="39"/>
        <v>0</v>
      </c>
      <c r="BO130" s="311">
        <f t="shared" si="39"/>
        <v>0</v>
      </c>
      <c r="BP130" s="311">
        <f t="shared" si="39"/>
        <v>0</v>
      </c>
      <c r="BQ130" s="311">
        <f t="shared" si="39"/>
        <v>0</v>
      </c>
      <c r="BR130" s="311">
        <f t="shared" si="39"/>
        <v>0</v>
      </c>
      <c r="BS130" s="311">
        <f t="shared" si="39"/>
        <v>0</v>
      </c>
      <c r="BT130" s="311">
        <f t="shared" si="39"/>
        <v>0</v>
      </c>
      <c r="BU130" s="311">
        <f t="shared" si="39"/>
        <v>0</v>
      </c>
      <c r="BV130" s="311">
        <f t="shared" si="39"/>
        <v>0</v>
      </c>
      <c r="BW130" s="311">
        <f t="shared" si="39"/>
        <v>0</v>
      </c>
      <c r="BX130" s="311">
        <f t="shared" si="39"/>
        <v>0</v>
      </c>
      <c r="BY130" s="222"/>
      <c r="BZ130" s="222"/>
      <c r="CA130" s="222"/>
      <c r="CB130" s="222"/>
      <c r="CC130" s="222"/>
      <c r="CD130" s="222"/>
      <c r="CE130" s="222"/>
      <c r="CF130" s="222"/>
      <c r="CG130" s="222"/>
      <c r="CH130" s="222"/>
      <c r="CI130" s="222"/>
      <c r="CJ130" s="222"/>
      <c r="CK130" s="222"/>
      <c r="CL130" s="222"/>
      <c r="CM130" s="222"/>
      <c r="CN130" s="222"/>
      <c r="CO130" s="222"/>
      <c r="CP130" s="222"/>
      <c r="CQ130" s="222"/>
      <c r="CR130" s="222"/>
      <c r="CS130" s="222"/>
      <c r="CT130" s="222"/>
      <c r="CU130" s="222"/>
      <c r="CV130" s="222"/>
      <c r="CW130" s="222"/>
      <c r="CX130" s="222"/>
      <c r="CY130" s="222"/>
      <c r="CZ130" s="222"/>
      <c r="DA130" s="222"/>
      <c r="DB130" s="222"/>
      <c r="DC130" s="222"/>
      <c r="DD130" s="222"/>
      <c r="DE130" s="222"/>
      <c r="DF130" s="222"/>
      <c r="DG130" s="222"/>
      <c r="DH130" s="222"/>
      <c r="DI130" s="222"/>
      <c r="DJ130" s="222"/>
      <c r="DK130" s="222"/>
      <c r="DL130" s="222"/>
      <c r="DM130" s="222"/>
      <c r="DN130" s="222"/>
      <c r="DO130" s="222"/>
      <c r="DP130" s="222"/>
      <c r="DQ130" s="222"/>
      <c r="DR130" s="222"/>
      <c r="DS130" s="222"/>
      <c r="DT130" s="222"/>
      <c r="DU130" s="222"/>
      <c r="DV130" s="222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</row>
    <row r="131" spans="1:138">
      <c r="A131" s="222"/>
      <c r="B131" s="318"/>
      <c r="C131" s="310" t="s">
        <v>297</v>
      </c>
      <c r="D131" s="319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  <c r="O131" s="311"/>
      <c r="P131" s="311"/>
      <c r="Q131" s="311"/>
      <c r="R131" s="311"/>
      <c r="S131" s="311"/>
      <c r="T131" s="311" t="e">
        <f>T98-T147-T163-T179</f>
        <v>#REF!</v>
      </c>
      <c r="U131" s="311"/>
      <c r="V131" s="311"/>
      <c r="W131" s="311"/>
      <c r="X131" s="311"/>
      <c r="Y131" s="311"/>
      <c r="Z131" s="311"/>
      <c r="AA131" s="311"/>
      <c r="AB131" s="311"/>
      <c r="AC131" s="311"/>
      <c r="AD131" s="311"/>
      <c r="AE131" s="311"/>
      <c r="AF131" s="311"/>
      <c r="AG131" s="311"/>
      <c r="AH131" s="311"/>
      <c r="AI131" s="311"/>
      <c r="AJ131" s="311"/>
      <c r="AK131" s="311"/>
      <c r="AL131" s="311"/>
      <c r="AM131" s="311"/>
      <c r="AN131" s="311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1"/>
      <c r="AZ131" s="311"/>
      <c r="BA131" s="311"/>
      <c r="BB131" s="311"/>
      <c r="BC131" s="311"/>
      <c r="BD131" s="311"/>
      <c r="BE131" s="311"/>
      <c r="BF131" s="311"/>
      <c r="BG131" s="311"/>
      <c r="BH131" s="311"/>
      <c r="BI131" s="311"/>
      <c r="BJ131" s="311"/>
      <c r="BK131" s="311"/>
      <c r="BL131" s="311"/>
      <c r="BM131" s="311"/>
      <c r="BN131" s="311"/>
      <c r="BO131" s="311"/>
      <c r="BP131" s="311"/>
      <c r="BQ131" s="311"/>
      <c r="BR131" s="311"/>
      <c r="BS131" s="311"/>
      <c r="BT131" s="311"/>
      <c r="BU131" s="311"/>
      <c r="BV131" s="311"/>
      <c r="BW131" s="311"/>
      <c r="BX131" s="311" t="e">
        <f>IF(D103&gt;0.25,(BX98-BX106)*D132,BX98*D132)</f>
        <v>#VALUE!</v>
      </c>
      <c r="BY131" s="222"/>
      <c r="BZ131" s="222"/>
      <c r="CA131" s="222"/>
      <c r="CB131" s="222"/>
      <c r="CC131" s="222"/>
      <c r="CD131" s="222"/>
      <c r="CE131" s="222"/>
      <c r="CF131" s="222"/>
      <c r="CG131" s="222"/>
      <c r="CH131" s="222"/>
      <c r="CI131" s="222"/>
      <c r="CJ131" s="222"/>
      <c r="CK131" s="222"/>
      <c r="CL131" s="222"/>
      <c r="CM131" s="222"/>
      <c r="CN131" s="222"/>
      <c r="CO131" s="222"/>
      <c r="CP131" s="222"/>
      <c r="CQ131" s="222"/>
      <c r="CR131" s="222"/>
      <c r="CS131" s="222"/>
      <c r="CT131" s="222"/>
      <c r="CU131" s="222"/>
      <c r="CV131" s="222"/>
      <c r="CW131" s="222"/>
      <c r="CX131" s="222"/>
      <c r="CY131" s="222"/>
      <c r="CZ131" s="222"/>
      <c r="DA131" s="222"/>
      <c r="DB131" s="222"/>
      <c r="DC131" s="222"/>
      <c r="DD131" s="222"/>
      <c r="DE131" s="222"/>
      <c r="DF131" s="222"/>
      <c r="DG131" s="222"/>
      <c r="DH131" s="222"/>
      <c r="DI131" s="222"/>
      <c r="DJ131" s="222"/>
      <c r="DK131" s="222"/>
      <c r="DL131" s="222"/>
      <c r="DM131" s="222"/>
      <c r="DN131" s="222"/>
      <c r="DO131" s="222"/>
      <c r="DP131" s="222"/>
      <c r="DQ131" s="222"/>
      <c r="DR131" s="222"/>
      <c r="DS131" s="222"/>
      <c r="DT131" s="222"/>
      <c r="DU131" s="222"/>
      <c r="DV131" s="222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</row>
    <row r="132" spans="1:138">
      <c r="A132" s="222"/>
      <c r="B132" s="318"/>
      <c r="C132" s="313" t="s">
        <v>298</v>
      </c>
      <c r="D132" s="319">
        <v>0</v>
      </c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K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2"/>
      <c r="DL132" s="222"/>
      <c r="DM132" s="222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</row>
    <row r="133" spans="1:138">
      <c r="A133" s="222"/>
      <c r="B133" s="318"/>
      <c r="C133" s="310" t="s">
        <v>299</v>
      </c>
      <c r="D133" s="311"/>
      <c r="E133" s="321">
        <f t="shared" ref="E133:BX133" si="40">E128+E129+E130+E131+E132</f>
        <v>0</v>
      </c>
      <c r="F133" s="321">
        <f t="shared" si="40"/>
        <v>0</v>
      </c>
      <c r="G133" s="321">
        <f t="shared" si="40"/>
        <v>0</v>
      </c>
      <c r="H133" s="321">
        <f t="shared" si="40"/>
        <v>0</v>
      </c>
      <c r="I133" s="321">
        <f t="shared" si="40"/>
        <v>0</v>
      </c>
      <c r="J133" s="321">
        <f t="shared" si="40"/>
        <v>-7870667</v>
      </c>
      <c r="K133" s="321">
        <f t="shared" si="40"/>
        <v>0</v>
      </c>
      <c r="L133" s="321">
        <f t="shared" si="40"/>
        <v>0</v>
      </c>
      <c r="M133" s="321">
        <f t="shared" si="40"/>
        <v>0</v>
      </c>
      <c r="N133" s="321">
        <f t="shared" si="40"/>
        <v>0</v>
      </c>
      <c r="O133" s="321">
        <f t="shared" si="40"/>
        <v>0</v>
      </c>
      <c r="P133" s="321">
        <f t="shared" si="40"/>
        <v>0</v>
      </c>
      <c r="Q133" s="321">
        <f t="shared" si="40"/>
        <v>0</v>
      </c>
      <c r="R133" s="321">
        <f t="shared" si="40"/>
        <v>0</v>
      </c>
      <c r="S133" s="321">
        <f t="shared" si="40"/>
        <v>0</v>
      </c>
      <c r="T133" s="321" t="e">
        <f t="shared" si="40"/>
        <v>#REF!</v>
      </c>
      <c r="U133" s="321">
        <f t="shared" si="40"/>
        <v>0</v>
      </c>
      <c r="V133" s="321">
        <f t="shared" si="40"/>
        <v>0</v>
      </c>
      <c r="W133" s="321">
        <f t="shared" si="40"/>
        <v>0</v>
      </c>
      <c r="X133" s="321">
        <f t="shared" si="40"/>
        <v>0</v>
      </c>
      <c r="Y133" s="321">
        <f t="shared" si="40"/>
        <v>0</v>
      </c>
      <c r="Z133" s="321">
        <f t="shared" si="40"/>
        <v>0</v>
      </c>
      <c r="AA133" s="321">
        <f t="shared" si="40"/>
        <v>0</v>
      </c>
      <c r="AB133" s="321">
        <f t="shared" si="40"/>
        <v>0</v>
      </c>
      <c r="AC133" s="321">
        <f t="shared" si="40"/>
        <v>0</v>
      </c>
      <c r="AD133" s="321">
        <f t="shared" si="40"/>
        <v>0</v>
      </c>
      <c r="AE133" s="321">
        <f t="shared" si="40"/>
        <v>0</v>
      </c>
      <c r="AF133" s="321">
        <f t="shared" si="40"/>
        <v>0</v>
      </c>
      <c r="AG133" s="321">
        <f t="shared" si="40"/>
        <v>0</v>
      </c>
      <c r="AH133" s="321">
        <f t="shared" si="40"/>
        <v>0</v>
      </c>
      <c r="AI133" s="321">
        <f t="shared" si="40"/>
        <v>0</v>
      </c>
      <c r="AJ133" s="321">
        <f t="shared" si="40"/>
        <v>0</v>
      </c>
      <c r="AK133" s="321">
        <f t="shared" si="40"/>
        <v>0</v>
      </c>
      <c r="AL133" s="321">
        <f t="shared" si="40"/>
        <v>0</v>
      </c>
      <c r="AM133" s="321">
        <f t="shared" si="40"/>
        <v>0</v>
      </c>
      <c r="AN133" s="321">
        <f t="shared" si="40"/>
        <v>0</v>
      </c>
      <c r="AO133" s="321">
        <f t="shared" si="40"/>
        <v>0</v>
      </c>
      <c r="AP133" s="321">
        <f t="shared" si="40"/>
        <v>0</v>
      </c>
      <c r="AQ133" s="321">
        <f t="shared" si="40"/>
        <v>0</v>
      </c>
      <c r="AR133" s="321">
        <f t="shared" si="40"/>
        <v>0</v>
      </c>
      <c r="AS133" s="321">
        <f t="shared" si="40"/>
        <v>0</v>
      </c>
      <c r="AT133" s="321">
        <f t="shared" si="40"/>
        <v>0</v>
      </c>
      <c r="AU133" s="321">
        <f t="shared" si="40"/>
        <v>0</v>
      </c>
      <c r="AV133" s="321">
        <f t="shared" si="40"/>
        <v>0</v>
      </c>
      <c r="AW133" s="321">
        <f t="shared" si="40"/>
        <v>0</v>
      </c>
      <c r="AX133" s="321">
        <f t="shared" si="40"/>
        <v>0</v>
      </c>
      <c r="AY133" s="321">
        <f t="shared" si="40"/>
        <v>0</v>
      </c>
      <c r="AZ133" s="321">
        <f t="shared" si="40"/>
        <v>0</v>
      </c>
      <c r="BA133" s="321">
        <f t="shared" si="40"/>
        <v>0</v>
      </c>
      <c r="BB133" s="321">
        <f t="shared" si="40"/>
        <v>0</v>
      </c>
      <c r="BC133" s="321">
        <f t="shared" si="40"/>
        <v>0</v>
      </c>
      <c r="BD133" s="321">
        <f t="shared" si="40"/>
        <v>0</v>
      </c>
      <c r="BE133" s="321">
        <f t="shared" si="40"/>
        <v>0</v>
      </c>
      <c r="BF133" s="321">
        <f t="shared" si="40"/>
        <v>0</v>
      </c>
      <c r="BG133" s="321">
        <f t="shared" si="40"/>
        <v>0</v>
      </c>
      <c r="BH133" s="321">
        <f t="shared" si="40"/>
        <v>0</v>
      </c>
      <c r="BI133" s="321">
        <f t="shared" si="40"/>
        <v>0</v>
      </c>
      <c r="BJ133" s="321">
        <f t="shared" si="40"/>
        <v>0</v>
      </c>
      <c r="BK133" s="321">
        <f t="shared" si="40"/>
        <v>0</v>
      </c>
      <c r="BL133" s="321">
        <f t="shared" si="40"/>
        <v>0</v>
      </c>
      <c r="BM133" s="321">
        <f t="shared" si="40"/>
        <v>0</v>
      </c>
      <c r="BN133" s="321">
        <f t="shared" si="40"/>
        <v>0</v>
      </c>
      <c r="BO133" s="321">
        <f t="shared" si="40"/>
        <v>0</v>
      </c>
      <c r="BP133" s="321">
        <f t="shared" si="40"/>
        <v>0</v>
      </c>
      <c r="BQ133" s="321">
        <f t="shared" si="40"/>
        <v>0</v>
      </c>
      <c r="BR133" s="321">
        <f t="shared" si="40"/>
        <v>0</v>
      </c>
      <c r="BS133" s="321">
        <f t="shared" si="40"/>
        <v>0</v>
      </c>
      <c r="BT133" s="321">
        <f t="shared" si="40"/>
        <v>0</v>
      </c>
      <c r="BU133" s="321">
        <f t="shared" si="40"/>
        <v>0</v>
      </c>
      <c r="BV133" s="321">
        <f t="shared" si="40"/>
        <v>0</v>
      </c>
      <c r="BW133" s="321">
        <f t="shared" si="40"/>
        <v>0</v>
      </c>
      <c r="BX133" s="321" t="e">
        <f t="shared" si="40"/>
        <v>#VALUE!</v>
      </c>
      <c r="BY133" s="222"/>
      <c r="BZ133" s="222"/>
      <c r="CA133" s="222"/>
      <c r="CB133" s="222"/>
      <c r="CC133" s="222"/>
      <c r="CD133" s="222"/>
      <c r="CE133" s="222"/>
      <c r="CF133" s="222"/>
      <c r="CG133" s="222"/>
      <c r="CH133" s="222"/>
      <c r="CI133" s="222"/>
      <c r="CJ133" s="222"/>
      <c r="CK133" s="222"/>
      <c r="CL133" s="222"/>
      <c r="CM133" s="222"/>
      <c r="CN133" s="222"/>
      <c r="CO133" s="222"/>
      <c r="CP133" s="222"/>
      <c r="CQ133" s="222"/>
      <c r="CR133" s="222"/>
      <c r="CS133" s="222"/>
      <c r="CT133" s="222"/>
      <c r="CU133" s="222"/>
      <c r="CV133" s="222"/>
      <c r="CW133" s="222"/>
      <c r="CX133" s="222"/>
      <c r="CY133" s="222"/>
      <c r="CZ133" s="222"/>
      <c r="DA133" s="222"/>
      <c r="DB133" s="222"/>
      <c r="DC133" s="222"/>
      <c r="DD133" s="222"/>
      <c r="DE133" s="222"/>
      <c r="DF133" s="222"/>
      <c r="DG133" s="222"/>
      <c r="DH133" s="222"/>
      <c r="DI133" s="222"/>
      <c r="DJ133" s="222"/>
      <c r="DK133" s="222"/>
      <c r="DL133" s="222"/>
      <c r="DM133" s="222"/>
      <c r="DN133" s="222"/>
      <c r="DO133" s="222"/>
      <c r="DP133" s="222"/>
      <c r="DQ133" s="222"/>
      <c r="DR133" s="222"/>
      <c r="DS133" s="222"/>
      <c r="DT133" s="222"/>
      <c r="DU133" s="222"/>
      <c r="DV133" s="222"/>
      <c r="DW133" s="325"/>
      <c r="DX133" s="325"/>
      <c r="DY133" s="325"/>
      <c r="DZ133" s="325"/>
      <c r="EA133" s="325"/>
      <c r="EB133" s="325"/>
      <c r="EC133" s="325"/>
      <c r="ED133" s="325"/>
      <c r="EE133" s="325"/>
      <c r="EF133" s="325"/>
      <c r="EG133" s="325"/>
      <c r="EH133" s="325"/>
    </row>
    <row r="134" spans="1:138">
      <c r="A134" s="222"/>
      <c r="B134" s="318"/>
      <c r="C134" s="314"/>
      <c r="D134" s="322" t="s">
        <v>306</v>
      </c>
      <c r="E134" s="327">
        <f>E133</f>
        <v>0</v>
      </c>
      <c r="F134" s="327">
        <f t="shared" ref="F134:BX134" si="41">E134+F133</f>
        <v>0</v>
      </c>
      <c r="G134" s="327">
        <f t="shared" si="41"/>
        <v>0</v>
      </c>
      <c r="H134" s="327">
        <f t="shared" si="41"/>
        <v>0</v>
      </c>
      <c r="I134" s="327">
        <f t="shared" si="41"/>
        <v>0</v>
      </c>
      <c r="J134" s="327">
        <f t="shared" si="41"/>
        <v>-7870667</v>
      </c>
      <c r="K134" s="327">
        <f t="shared" si="41"/>
        <v>-7870667</v>
      </c>
      <c r="L134" s="327">
        <f t="shared" si="41"/>
        <v>-7870667</v>
      </c>
      <c r="M134" s="327">
        <f t="shared" si="41"/>
        <v>-7870667</v>
      </c>
      <c r="N134" s="327">
        <f t="shared" si="41"/>
        <v>-7870667</v>
      </c>
      <c r="O134" s="327">
        <f t="shared" si="41"/>
        <v>-7870667</v>
      </c>
      <c r="P134" s="327">
        <f t="shared" si="41"/>
        <v>-7870667</v>
      </c>
      <c r="Q134" s="327">
        <f t="shared" si="41"/>
        <v>-7870667</v>
      </c>
      <c r="R134" s="327">
        <f t="shared" si="41"/>
        <v>-7870667</v>
      </c>
      <c r="S134" s="327">
        <f t="shared" si="41"/>
        <v>-7870667</v>
      </c>
      <c r="T134" s="327" t="e">
        <f t="shared" si="41"/>
        <v>#REF!</v>
      </c>
      <c r="U134" s="327" t="e">
        <f t="shared" si="41"/>
        <v>#REF!</v>
      </c>
      <c r="V134" s="327" t="e">
        <f t="shared" si="41"/>
        <v>#REF!</v>
      </c>
      <c r="W134" s="327" t="e">
        <f t="shared" si="41"/>
        <v>#REF!</v>
      </c>
      <c r="X134" s="327" t="e">
        <f t="shared" si="41"/>
        <v>#REF!</v>
      </c>
      <c r="Y134" s="327" t="e">
        <f t="shared" si="41"/>
        <v>#REF!</v>
      </c>
      <c r="Z134" s="327" t="e">
        <f t="shared" si="41"/>
        <v>#REF!</v>
      </c>
      <c r="AA134" s="327" t="e">
        <f t="shared" si="41"/>
        <v>#REF!</v>
      </c>
      <c r="AB134" s="327" t="e">
        <f t="shared" si="41"/>
        <v>#REF!</v>
      </c>
      <c r="AC134" s="327" t="e">
        <f t="shared" si="41"/>
        <v>#REF!</v>
      </c>
      <c r="AD134" s="327" t="e">
        <f t="shared" si="41"/>
        <v>#REF!</v>
      </c>
      <c r="AE134" s="327" t="e">
        <f t="shared" si="41"/>
        <v>#REF!</v>
      </c>
      <c r="AF134" s="327" t="e">
        <f t="shared" si="41"/>
        <v>#REF!</v>
      </c>
      <c r="AG134" s="327" t="e">
        <f t="shared" si="41"/>
        <v>#REF!</v>
      </c>
      <c r="AH134" s="327" t="e">
        <f t="shared" si="41"/>
        <v>#REF!</v>
      </c>
      <c r="AI134" s="327" t="e">
        <f t="shared" si="41"/>
        <v>#REF!</v>
      </c>
      <c r="AJ134" s="327" t="e">
        <f t="shared" si="41"/>
        <v>#REF!</v>
      </c>
      <c r="AK134" s="327" t="e">
        <f t="shared" si="41"/>
        <v>#REF!</v>
      </c>
      <c r="AL134" s="327" t="e">
        <f t="shared" si="41"/>
        <v>#REF!</v>
      </c>
      <c r="AM134" s="327" t="e">
        <f t="shared" si="41"/>
        <v>#REF!</v>
      </c>
      <c r="AN134" s="327" t="e">
        <f t="shared" si="41"/>
        <v>#REF!</v>
      </c>
      <c r="AO134" s="327" t="e">
        <f t="shared" si="41"/>
        <v>#REF!</v>
      </c>
      <c r="AP134" s="327" t="e">
        <f t="shared" si="41"/>
        <v>#REF!</v>
      </c>
      <c r="AQ134" s="327" t="e">
        <f t="shared" si="41"/>
        <v>#REF!</v>
      </c>
      <c r="AR134" s="327" t="e">
        <f t="shared" si="41"/>
        <v>#REF!</v>
      </c>
      <c r="AS134" s="327" t="e">
        <f t="shared" si="41"/>
        <v>#REF!</v>
      </c>
      <c r="AT134" s="327" t="e">
        <f t="shared" si="41"/>
        <v>#REF!</v>
      </c>
      <c r="AU134" s="327" t="e">
        <f t="shared" si="41"/>
        <v>#REF!</v>
      </c>
      <c r="AV134" s="327" t="e">
        <f t="shared" si="41"/>
        <v>#REF!</v>
      </c>
      <c r="AW134" s="327" t="e">
        <f t="shared" si="41"/>
        <v>#REF!</v>
      </c>
      <c r="AX134" s="327" t="e">
        <f t="shared" si="41"/>
        <v>#REF!</v>
      </c>
      <c r="AY134" s="327" t="e">
        <f t="shared" si="41"/>
        <v>#REF!</v>
      </c>
      <c r="AZ134" s="327" t="e">
        <f t="shared" si="41"/>
        <v>#REF!</v>
      </c>
      <c r="BA134" s="327" t="e">
        <f t="shared" si="41"/>
        <v>#REF!</v>
      </c>
      <c r="BB134" s="327" t="e">
        <f t="shared" si="41"/>
        <v>#REF!</v>
      </c>
      <c r="BC134" s="327" t="e">
        <f t="shared" si="41"/>
        <v>#REF!</v>
      </c>
      <c r="BD134" s="327" t="e">
        <f t="shared" si="41"/>
        <v>#REF!</v>
      </c>
      <c r="BE134" s="327" t="e">
        <f t="shared" si="41"/>
        <v>#REF!</v>
      </c>
      <c r="BF134" s="327" t="e">
        <f t="shared" si="41"/>
        <v>#REF!</v>
      </c>
      <c r="BG134" s="327" t="e">
        <f t="shared" si="41"/>
        <v>#REF!</v>
      </c>
      <c r="BH134" s="327" t="e">
        <f t="shared" si="41"/>
        <v>#REF!</v>
      </c>
      <c r="BI134" s="327" t="e">
        <f t="shared" si="41"/>
        <v>#REF!</v>
      </c>
      <c r="BJ134" s="327" t="e">
        <f t="shared" si="41"/>
        <v>#REF!</v>
      </c>
      <c r="BK134" s="327" t="e">
        <f t="shared" si="41"/>
        <v>#REF!</v>
      </c>
      <c r="BL134" s="327" t="e">
        <f t="shared" si="41"/>
        <v>#REF!</v>
      </c>
      <c r="BM134" s="327" t="e">
        <f t="shared" si="41"/>
        <v>#REF!</v>
      </c>
      <c r="BN134" s="327" t="e">
        <f t="shared" si="41"/>
        <v>#REF!</v>
      </c>
      <c r="BO134" s="327" t="e">
        <f t="shared" si="41"/>
        <v>#REF!</v>
      </c>
      <c r="BP134" s="327" t="e">
        <f t="shared" si="41"/>
        <v>#REF!</v>
      </c>
      <c r="BQ134" s="327" t="e">
        <f t="shared" si="41"/>
        <v>#REF!</v>
      </c>
      <c r="BR134" s="327" t="e">
        <f t="shared" si="41"/>
        <v>#REF!</v>
      </c>
      <c r="BS134" s="327" t="e">
        <f t="shared" si="41"/>
        <v>#REF!</v>
      </c>
      <c r="BT134" s="327" t="e">
        <f t="shared" si="41"/>
        <v>#REF!</v>
      </c>
      <c r="BU134" s="327" t="e">
        <f t="shared" si="41"/>
        <v>#REF!</v>
      </c>
      <c r="BV134" s="327" t="e">
        <f t="shared" si="41"/>
        <v>#REF!</v>
      </c>
      <c r="BW134" s="327" t="e">
        <f t="shared" si="41"/>
        <v>#REF!</v>
      </c>
      <c r="BX134" s="327" t="e">
        <f t="shared" si="41"/>
        <v>#REF!</v>
      </c>
      <c r="BY134" s="222"/>
      <c r="BZ134" s="222"/>
      <c r="CA134" s="222"/>
      <c r="CB134" s="222"/>
      <c r="CC134" s="222"/>
      <c r="CD134" s="222"/>
      <c r="CE134" s="222"/>
      <c r="CF134" s="222"/>
      <c r="CG134" s="222"/>
      <c r="CH134" s="222"/>
      <c r="CI134" s="222"/>
      <c r="CJ134" s="222"/>
      <c r="CK134" s="222"/>
      <c r="CL134" s="222"/>
      <c r="CM134" s="222"/>
      <c r="CN134" s="222"/>
      <c r="CO134" s="222"/>
      <c r="CP134" s="222"/>
      <c r="CQ134" s="222"/>
      <c r="CR134" s="222"/>
      <c r="CS134" s="222"/>
      <c r="CT134" s="222"/>
      <c r="CU134" s="222"/>
      <c r="CV134" s="222"/>
      <c r="CW134" s="222"/>
      <c r="CX134" s="222"/>
      <c r="CY134" s="222"/>
      <c r="CZ134" s="222"/>
      <c r="DA134" s="222"/>
      <c r="DB134" s="222"/>
      <c r="DC134" s="222"/>
      <c r="DD134" s="222"/>
      <c r="DE134" s="222"/>
      <c r="DF134" s="222"/>
      <c r="DG134" s="222"/>
      <c r="DH134" s="222"/>
      <c r="DI134" s="222"/>
      <c r="DJ134" s="222"/>
      <c r="DK134" s="222"/>
      <c r="DL134" s="222"/>
      <c r="DM134" s="222"/>
      <c r="DN134" s="222"/>
      <c r="DO134" s="222"/>
      <c r="DP134" s="222"/>
      <c r="DQ134" s="222"/>
      <c r="DR134" s="222"/>
      <c r="DS134" s="222"/>
      <c r="DT134" s="222"/>
      <c r="DU134" s="222"/>
      <c r="DV134" s="222"/>
      <c r="DW134" s="325"/>
      <c r="DX134" s="325"/>
      <c r="DY134" s="325"/>
      <c r="DZ134" s="325"/>
      <c r="EA134" s="325"/>
      <c r="EB134" s="325"/>
      <c r="EC134" s="325"/>
      <c r="ED134" s="325"/>
      <c r="EE134" s="325"/>
      <c r="EF134" s="325"/>
      <c r="EG134" s="325"/>
      <c r="EH134" s="325"/>
    </row>
    <row r="135" spans="1:138">
      <c r="A135" s="222"/>
      <c r="B135" s="318"/>
      <c r="C135" s="313" t="s">
        <v>292</v>
      </c>
      <c r="D135" s="322" t="e">
        <f>IRR(E133:BX133)*12</f>
        <v>#VALUE!</v>
      </c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222"/>
      <c r="AF135" s="222"/>
      <c r="AG135" s="222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2"/>
      <c r="BN135" s="222"/>
      <c r="BO135" s="222"/>
      <c r="BP135" s="222"/>
      <c r="BQ135" s="222"/>
      <c r="BR135" s="222"/>
      <c r="BS135" s="222"/>
      <c r="BT135" s="222"/>
      <c r="BU135" s="222"/>
      <c r="BV135" s="222"/>
      <c r="BW135" s="222"/>
      <c r="BX135" s="222"/>
      <c r="BY135" s="222"/>
      <c r="BZ135" s="222"/>
      <c r="CA135" s="222"/>
      <c r="CB135" s="222"/>
      <c r="CC135" s="222"/>
      <c r="CD135" s="222"/>
      <c r="CE135" s="222"/>
      <c r="CF135" s="222"/>
      <c r="CG135" s="222"/>
      <c r="CH135" s="222"/>
      <c r="CI135" s="222"/>
      <c r="CJ135" s="222"/>
      <c r="CK135" s="222"/>
      <c r="CL135" s="222"/>
      <c r="CM135" s="222"/>
      <c r="CN135" s="222"/>
      <c r="CO135" s="222"/>
      <c r="CP135" s="222"/>
      <c r="CQ135" s="222"/>
      <c r="CR135" s="222"/>
      <c r="CS135" s="222"/>
      <c r="CT135" s="222"/>
      <c r="CU135" s="222"/>
      <c r="CV135" s="222"/>
      <c r="CW135" s="222"/>
      <c r="CX135" s="222"/>
      <c r="CY135" s="222"/>
      <c r="CZ135" s="222"/>
      <c r="DA135" s="222"/>
      <c r="DB135" s="222"/>
      <c r="DC135" s="222"/>
      <c r="DD135" s="222"/>
      <c r="DE135" s="222"/>
      <c r="DF135" s="222"/>
      <c r="DG135" s="222"/>
      <c r="DH135" s="222"/>
      <c r="DI135" s="222"/>
      <c r="DJ135" s="222"/>
      <c r="DK135" s="222"/>
      <c r="DL135" s="222"/>
      <c r="DM135" s="222"/>
      <c r="DN135" s="222"/>
      <c r="DO135" s="222"/>
      <c r="DP135" s="222"/>
      <c r="DQ135" s="222"/>
      <c r="DR135" s="222"/>
      <c r="DS135" s="222"/>
      <c r="DT135" s="222"/>
      <c r="DU135" s="222"/>
      <c r="DV135" s="222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</row>
    <row r="136" spans="1:138">
      <c r="A136" s="222"/>
      <c r="B136" s="318"/>
      <c r="C136" s="323" t="s">
        <v>300</v>
      </c>
      <c r="D136" s="324">
        <f>-MIN(E128:BL128)</f>
        <v>7870667</v>
      </c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22"/>
      <c r="AD136" s="222"/>
      <c r="AE136" s="222"/>
      <c r="AF136" s="222"/>
      <c r="AG136" s="222"/>
      <c r="AH136" s="222"/>
      <c r="AI136" s="222"/>
      <c r="AJ136" s="222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2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2"/>
      <c r="BK136" s="222"/>
      <c r="BL136" s="222"/>
      <c r="BM136" s="222"/>
      <c r="BN136" s="222"/>
      <c r="BO136" s="222"/>
      <c r="BP136" s="222"/>
      <c r="BQ136" s="222"/>
      <c r="BR136" s="222"/>
      <c r="BS136" s="222"/>
      <c r="BT136" s="222"/>
      <c r="BU136" s="222"/>
      <c r="BV136" s="222"/>
      <c r="BW136" s="222"/>
      <c r="BX136" s="222"/>
      <c r="BY136" s="222"/>
      <c r="BZ136" s="222"/>
      <c r="CA136" s="222"/>
      <c r="CB136" s="222"/>
      <c r="CC136" s="222"/>
      <c r="CD136" s="222"/>
      <c r="CE136" s="222"/>
      <c r="CF136" s="222"/>
      <c r="CG136" s="222"/>
      <c r="CH136" s="222"/>
      <c r="CI136" s="222"/>
      <c r="CJ136" s="222"/>
      <c r="CK136" s="222"/>
      <c r="CL136" s="222"/>
      <c r="CM136" s="222"/>
      <c r="CN136" s="222"/>
      <c r="CO136" s="222"/>
      <c r="CP136" s="222"/>
      <c r="CQ136" s="222"/>
      <c r="CR136" s="222"/>
      <c r="CS136" s="222"/>
      <c r="CT136" s="222"/>
      <c r="CU136" s="222"/>
      <c r="CV136" s="222"/>
      <c r="CW136" s="222"/>
      <c r="CX136" s="222"/>
      <c r="CY136" s="222"/>
      <c r="CZ136" s="222"/>
      <c r="DA136" s="222"/>
      <c r="DB136" s="222"/>
      <c r="DC136" s="222"/>
      <c r="DD136" s="222"/>
      <c r="DE136" s="222"/>
      <c r="DF136" s="222"/>
      <c r="DG136" s="222"/>
      <c r="DH136" s="222"/>
      <c r="DI136" s="222"/>
      <c r="DJ136" s="222"/>
      <c r="DK136" s="222"/>
      <c r="DL136" s="222"/>
      <c r="DM136" s="222"/>
      <c r="DN136" s="222"/>
      <c r="DO136" s="222"/>
      <c r="DP136" s="222"/>
      <c r="DQ136" s="222"/>
      <c r="DR136" s="222"/>
      <c r="DS136" s="222"/>
      <c r="DT136" s="222"/>
      <c r="DU136" s="222"/>
      <c r="DV136" s="222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</row>
    <row r="137" spans="1:138">
      <c r="A137" s="222"/>
      <c r="B137" s="318"/>
      <c r="C137" s="323" t="s">
        <v>301</v>
      </c>
      <c r="D137" s="324">
        <f>-SUM(M132:BB132)</f>
        <v>0</v>
      </c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2"/>
      <c r="BN137" s="222"/>
      <c r="BO137" s="222"/>
      <c r="BP137" s="222"/>
      <c r="BQ137" s="222"/>
      <c r="BR137" s="222"/>
      <c r="BS137" s="222"/>
      <c r="BT137" s="222"/>
      <c r="BU137" s="222"/>
      <c r="BV137" s="222"/>
      <c r="BW137" s="222"/>
      <c r="BX137" s="222"/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2"/>
      <c r="CV137" s="222"/>
      <c r="CW137" s="222"/>
      <c r="CX137" s="222"/>
      <c r="CY137" s="222"/>
      <c r="CZ137" s="222"/>
      <c r="DA137" s="222"/>
      <c r="DB137" s="222"/>
      <c r="DC137" s="222"/>
      <c r="DD137" s="222"/>
      <c r="DE137" s="222"/>
      <c r="DF137" s="222"/>
      <c r="DG137" s="222"/>
      <c r="DH137" s="222"/>
      <c r="DI137" s="222"/>
      <c r="DJ137" s="222"/>
      <c r="DK137" s="222"/>
      <c r="DL137" s="222"/>
      <c r="DM137" s="222"/>
      <c r="DN137" s="222"/>
      <c r="DO137" s="222"/>
      <c r="DP137" s="222"/>
      <c r="DQ137" s="222"/>
      <c r="DR137" s="222"/>
      <c r="DS137" s="222"/>
      <c r="DT137" s="222"/>
      <c r="DU137" s="222"/>
      <c r="DV137" s="222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</row>
    <row r="138" spans="1:138">
      <c r="A138" s="222"/>
      <c r="B138" s="318"/>
      <c r="C138" s="313" t="s">
        <v>302</v>
      </c>
      <c r="D138" s="326">
        <f>D137+D136</f>
        <v>7870667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  <c r="BQ138" s="22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22"/>
      <c r="CO138" s="222"/>
      <c r="CP138" s="222"/>
      <c r="CQ138" s="222"/>
      <c r="CR138" s="222"/>
      <c r="CS138" s="222"/>
      <c r="CT138" s="222"/>
      <c r="CU138" s="222"/>
      <c r="CV138" s="222"/>
      <c r="CW138" s="222"/>
      <c r="CX138" s="222"/>
      <c r="CY138" s="222"/>
      <c r="CZ138" s="222"/>
      <c r="DA138" s="222"/>
      <c r="DB138" s="222"/>
      <c r="DC138" s="222"/>
      <c r="DD138" s="222"/>
      <c r="DE138" s="222"/>
      <c r="DF138" s="222"/>
      <c r="DG138" s="222"/>
      <c r="DH138" s="222"/>
      <c r="DI138" s="222"/>
      <c r="DJ138" s="222"/>
      <c r="DK138" s="222"/>
      <c r="DL138" s="222"/>
      <c r="DM138" s="222"/>
      <c r="DN138" s="222"/>
      <c r="DO138" s="222"/>
      <c r="DP138" s="222"/>
      <c r="DQ138" s="222"/>
      <c r="DR138" s="222"/>
      <c r="DS138" s="222"/>
      <c r="DT138" s="222"/>
      <c r="DU138" s="222"/>
      <c r="DV138" s="222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</row>
    <row r="139" spans="1:138">
      <c r="A139" s="222"/>
      <c r="B139" s="318"/>
      <c r="C139" s="313" t="s">
        <v>303</v>
      </c>
      <c r="D139" s="326" t="e">
        <f>BX130+BX131</f>
        <v>#VALUE!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  <c r="BQ139" s="22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22"/>
      <c r="CO139" s="222"/>
      <c r="CP139" s="222"/>
      <c r="CQ139" s="222"/>
      <c r="CR139" s="222"/>
      <c r="CS139" s="222"/>
      <c r="CT139" s="222"/>
      <c r="CU139" s="222"/>
      <c r="CV139" s="222"/>
      <c r="CW139" s="222"/>
      <c r="CX139" s="222"/>
      <c r="CY139" s="222"/>
      <c r="CZ139" s="222"/>
      <c r="DA139" s="222"/>
      <c r="DB139" s="222"/>
      <c r="DC139" s="222"/>
      <c r="DD139" s="222"/>
      <c r="DE139" s="222"/>
      <c r="DF139" s="222"/>
      <c r="DG139" s="222"/>
      <c r="DH139" s="222"/>
      <c r="DI139" s="222"/>
      <c r="DJ139" s="222"/>
      <c r="DK139" s="222"/>
      <c r="DL139" s="222"/>
      <c r="DM139" s="222"/>
      <c r="DN139" s="222"/>
      <c r="DO139" s="222"/>
      <c r="DP139" s="222"/>
      <c r="DQ139" s="222"/>
      <c r="DR139" s="222"/>
      <c r="DS139" s="222"/>
      <c r="DT139" s="222"/>
      <c r="DU139" s="222"/>
      <c r="DV139" s="222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</row>
    <row r="140" spans="1:138">
      <c r="A140" s="222"/>
      <c r="B140" s="318"/>
      <c r="C140" s="313" t="s">
        <v>147</v>
      </c>
      <c r="D140" s="322" t="e">
        <f>(D139-D137)/D138</f>
        <v>#VALUE!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  <c r="BQ140" s="22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22"/>
      <c r="CO140" s="222"/>
      <c r="CP140" s="222"/>
      <c r="CQ140" s="222"/>
      <c r="CR140" s="222"/>
      <c r="CS140" s="222"/>
      <c r="CT140" s="222"/>
      <c r="CU140" s="222"/>
      <c r="CV140" s="222"/>
      <c r="CW140" s="222"/>
      <c r="CX140" s="222"/>
      <c r="CY140" s="222"/>
      <c r="CZ140" s="222"/>
      <c r="DA140" s="222"/>
      <c r="DB140" s="222"/>
      <c r="DC140" s="222"/>
      <c r="DD140" s="222"/>
      <c r="DE140" s="222"/>
      <c r="DF140" s="222"/>
      <c r="DG140" s="222"/>
      <c r="DH140" s="222"/>
      <c r="DI140" s="222"/>
      <c r="DJ140" s="222"/>
      <c r="DK140" s="222"/>
      <c r="DL140" s="222"/>
      <c r="DM140" s="222"/>
      <c r="DN140" s="222"/>
      <c r="DO140" s="222"/>
      <c r="DP140" s="222"/>
      <c r="DQ140" s="222"/>
      <c r="DR140" s="222"/>
      <c r="DS140" s="222"/>
      <c r="DT140" s="222"/>
      <c r="DU140" s="222"/>
      <c r="DV140" s="222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</row>
    <row r="141" spans="1:138">
      <c r="A141" s="222"/>
      <c r="B141" s="318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  <c r="BQ141" s="22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22"/>
      <c r="CO141" s="222"/>
      <c r="CP141" s="222"/>
      <c r="CQ141" s="222"/>
      <c r="CR141" s="222"/>
      <c r="CS141" s="222"/>
      <c r="CT141" s="222"/>
      <c r="CU141" s="222"/>
      <c r="CV141" s="222"/>
      <c r="CW141" s="222"/>
      <c r="CX141" s="222"/>
      <c r="CY141" s="222"/>
      <c r="CZ141" s="222"/>
      <c r="DA141" s="222"/>
      <c r="DB141" s="222"/>
      <c r="DC141" s="222"/>
      <c r="DD141" s="222"/>
      <c r="DE141" s="222"/>
      <c r="DF141" s="222"/>
      <c r="DG141" s="222"/>
      <c r="DH141" s="222"/>
      <c r="DI141" s="222"/>
      <c r="DJ141" s="222"/>
      <c r="DK141" s="222"/>
      <c r="DL141" s="222"/>
      <c r="DM141" s="222"/>
      <c r="DN141" s="222"/>
      <c r="DO141" s="222"/>
      <c r="DP141" s="222"/>
      <c r="DQ141" s="222"/>
      <c r="DR141" s="222"/>
      <c r="DS141" s="222"/>
      <c r="DT141" s="222"/>
      <c r="DU141" s="222"/>
      <c r="DV141" s="222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</row>
    <row r="142" spans="1:138">
      <c r="A142" s="222"/>
      <c r="B142" s="318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222"/>
      <c r="AF142" s="222"/>
      <c r="AG142" s="222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222"/>
      <c r="BN142" s="222"/>
      <c r="BO142" s="222"/>
      <c r="BP142" s="222"/>
      <c r="BQ142" s="22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2"/>
      <c r="CV142" s="222"/>
      <c r="CW142" s="222"/>
      <c r="CX142" s="222"/>
      <c r="CY142" s="222"/>
      <c r="CZ142" s="222"/>
      <c r="DA142" s="222"/>
      <c r="DB142" s="222"/>
      <c r="DC142" s="222"/>
      <c r="DD142" s="222"/>
      <c r="DE142" s="222"/>
      <c r="DF142" s="222"/>
      <c r="DG142" s="222"/>
      <c r="DH142" s="222"/>
      <c r="DI142" s="222"/>
      <c r="DJ142" s="222"/>
      <c r="DK142" s="222"/>
      <c r="DL142" s="222"/>
      <c r="DM142" s="222"/>
      <c r="DN142" s="222"/>
      <c r="DO142" s="222"/>
      <c r="DP142" s="222"/>
      <c r="DQ142" s="222"/>
      <c r="DR142" s="222"/>
      <c r="DS142" s="222"/>
      <c r="DT142" s="222"/>
      <c r="DU142" s="222"/>
      <c r="DV142" s="222"/>
      <c r="DW142" s="325"/>
      <c r="DX142" s="325"/>
      <c r="DY142" s="325"/>
      <c r="DZ142" s="325"/>
      <c r="EA142" s="325"/>
      <c r="EB142" s="325"/>
      <c r="EC142" s="325"/>
      <c r="ED142" s="325"/>
      <c r="EE142" s="325"/>
      <c r="EF142" s="325"/>
      <c r="EG142" s="325"/>
      <c r="EH142" s="325"/>
    </row>
    <row r="143" spans="1:138">
      <c r="A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  <c r="BL143" s="222"/>
      <c r="BM143" s="222"/>
      <c r="BN143" s="222"/>
      <c r="BO143" s="222"/>
      <c r="BP143" s="222"/>
      <c r="BQ143" s="22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22"/>
      <c r="CL143" s="222"/>
      <c r="CM143" s="222"/>
      <c r="CN143" s="222"/>
      <c r="CO143" s="222"/>
      <c r="CP143" s="222"/>
      <c r="CQ143" s="222"/>
      <c r="CR143" s="222"/>
      <c r="CS143" s="222"/>
      <c r="CT143" s="222"/>
      <c r="CU143" s="222"/>
      <c r="CV143" s="222"/>
      <c r="CW143" s="222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2"/>
      <c r="DI143" s="222"/>
      <c r="DJ143" s="222"/>
      <c r="DK143" s="222"/>
      <c r="DL143" s="222"/>
      <c r="DM143" s="222"/>
      <c r="DN143" s="222"/>
      <c r="DO143" s="222"/>
      <c r="DP143" s="222"/>
      <c r="DQ143" s="222"/>
      <c r="DR143" s="222"/>
      <c r="DS143" s="222"/>
      <c r="DT143" s="222"/>
      <c r="DU143" s="222"/>
      <c r="DV143" s="222"/>
      <c r="DW143" s="325"/>
      <c r="DX143" s="325"/>
      <c r="DY143" s="325"/>
      <c r="DZ143" s="325"/>
      <c r="EA143" s="325"/>
      <c r="EB143" s="325"/>
      <c r="EC143" s="325"/>
      <c r="ED143" s="325"/>
      <c r="EE143" s="325"/>
      <c r="EF143" s="325"/>
      <c r="EG143" s="325"/>
      <c r="EH143" s="325"/>
    </row>
    <row r="144" spans="1:138">
      <c r="A144" s="222"/>
      <c r="B144" s="318"/>
      <c r="C144" s="310" t="s">
        <v>307</v>
      </c>
      <c r="D144" s="311"/>
      <c r="E144" s="312">
        <f t="shared" ref="E144:G144" si="42">-(E24+E108)</f>
        <v>0</v>
      </c>
      <c r="F144" s="312">
        <f t="shared" si="42"/>
        <v>0</v>
      </c>
      <c r="G144" s="312">
        <f t="shared" si="42"/>
        <v>0</v>
      </c>
      <c r="H144" s="312">
        <f>-10682501</f>
        <v>-10682501</v>
      </c>
      <c r="I144" s="312">
        <v>0</v>
      </c>
      <c r="J144" s="312">
        <f>-(J24+J108)</f>
        <v>0</v>
      </c>
      <c r="K144" s="312">
        <v>0</v>
      </c>
      <c r="L144" s="312">
        <f t="shared" ref="L144:S144" si="43">-(L24+L108)</f>
        <v>0</v>
      </c>
      <c r="M144" s="312">
        <f t="shared" si="43"/>
        <v>0</v>
      </c>
      <c r="N144" s="312">
        <f t="shared" si="43"/>
        <v>0</v>
      </c>
      <c r="O144" s="312">
        <f t="shared" si="43"/>
        <v>0</v>
      </c>
      <c r="P144" s="312">
        <f t="shared" si="43"/>
        <v>0</v>
      </c>
      <c r="Q144" s="312">
        <f t="shared" si="43"/>
        <v>0</v>
      </c>
      <c r="R144" s="312">
        <f t="shared" si="43"/>
        <v>0</v>
      </c>
      <c r="S144" s="312">
        <f t="shared" si="43"/>
        <v>0</v>
      </c>
      <c r="T144" s="312">
        <f>-H144</f>
        <v>10682501</v>
      </c>
      <c r="U144" s="312">
        <f t="shared" ref="U144:BX144" si="44">-(U24+U108)</f>
        <v>0</v>
      </c>
      <c r="V144" s="312">
        <f t="shared" si="44"/>
        <v>0</v>
      </c>
      <c r="W144" s="312">
        <f t="shared" si="44"/>
        <v>0</v>
      </c>
      <c r="X144" s="312">
        <f t="shared" si="44"/>
        <v>0</v>
      </c>
      <c r="Y144" s="312">
        <f t="shared" si="44"/>
        <v>0</v>
      </c>
      <c r="Z144" s="312">
        <f t="shared" si="44"/>
        <v>0</v>
      </c>
      <c r="AA144" s="312">
        <f t="shared" si="44"/>
        <v>0</v>
      </c>
      <c r="AB144" s="312">
        <f t="shared" si="44"/>
        <v>0</v>
      </c>
      <c r="AC144" s="312">
        <f t="shared" si="44"/>
        <v>0</v>
      </c>
      <c r="AD144" s="312">
        <f t="shared" si="44"/>
        <v>0</v>
      </c>
      <c r="AE144" s="312">
        <f t="shared" si="44"/>
        <v>0</v>
      </c>
      <c r="AF144" s="312">
        <f t="shared" si="44"/>
        <v>0</v>
      </c>
      <c r="AG144" s="312">
        <f t="shared" si="44"/>
        <v>0</v>
      </c>
      <c r="AH144" s="312">
        <f t="shared" si="44"/>
        <v>0</v>
      </c>
      <c r="AI144" s="312">
        <f t="shared" si="44"/>
        <v>0</v>
      </c>
      <c r="AJ144" s="312">
        <f t="shared" si="44"/>
        <v>0</v>
      </c>
      <c r="AK144" s="312">
        <f t="shared" si="44"/>
        <v>0</v>
      </c>
      <c r="AL144" s="312">
        <f t="shared" si="44"/>
        <v>0</v>
      </c>
      <c r="AM144" s="312">
        <f t="shared" si="44"/>
        <v>0</v>
      </c>
      <c r="AN144" s="312">
        <f t="shared" si="44"/>
        <v>0</v>
      </c>
      <c r="AO144" s="312">
        <f t="shared" si="44"/>
        <v>0</v>
      </c>
      <c r="AP144" s="312">
        <f t="shared" si="44"/>
        <v>0</v>
      </c>
      <c r="AQ144" s="312">
        <f t="shared" si="44"/>
        <v>0</v>
      </c>
      <c r="AR144" s="312">
        <f t="shared" si="44"/>
        <v>0</v>
      </c>
      <c r="AS144" s="312">
        <f t="shared" si="44"/>
        <v>0</v>
      </c>
      <c r="AT144" s="312">
        <f t="shared" si="44"/>
        <v>0</v>
      </c>
      <c r="AU144" s="312">
        <f t="shared" si="44"/>
        <v>0</v>
      </c>
      <c r="AV144" s="312">
        <f t="shared" si="44"/>
        <v>0</v>
      </c>
      <c r="AW144" s="312">
        <f t="shared" si="44"/>
        <v>0</v>
      </c>
      <c r="AX144" s="312">
        <f t="shared" si="44"/>
        <v>0</v>
      </c>
      <c r="AY144" s="312">
        <f t="shared" si="44"/>
        <v>0</v>
      </c>
      <c r="AZ144" s="312">
        <f t="shared" si="44"/>
        <v>0</v>
      </c>
      <c r="BA144" s="312">
        <f t="shared" si="44"/>
        <v>0</v>
      </c>
      <c r="BB144" s="312">
        <f t="shared" si="44"/>
        <v>0</v>
      </c>
      <c r="BC144" s="312">
        <f t="shared" si="44"/>
        <v>0</v>
      </c>
      <c r="BD144" s="312">
        <f t="shared" si="44"/>
        <v>0</v>
      </c>
      <c r="BE144" s="312">
        <f t="shared" si="44"/>
        <v>0</v>
      </c>
      <c r="BF144" s="312">
        <f t="shared" si="44"/>
        <v>0</v>
      </c>
      <c r="BG144" s="312">
        <f t="shared" si="44"/>
        <v>0</v>
      </c>
      <c r="BH144" s="312">
        <f t="shared" si="44"/>
        <v>0</v>
      </c>
      <c r="BI144" s="312">
        <f t="shared" si="44"/>
        <v>0</v>
      </c>
      <c r="BJ144" s="312">
        <f t="shared" si="44"/>
        <v>0</v>
      </c>
      <c r="BK144" s="312">
        <f t="shared" si="44"/>
        <v>0</v>
      </c>
      <c r="BL144" s="312">
        <f t="shared" si="44"/>
        <v>0</v>
      </c>
      <c r="BM144" s="312">
        <f t="shared" si="44"/>
        <v>0</v>
      </c>
      <c r="BN144" s="312">
        <f t="shared" si="44"/>
        <v>0</v>
      </c>
      <c r="BO144" s="312">
        <f t="shared" si="44"/>
        <v>0</v>
      </c>
      <c r="BP144" s="312">
        <f t="shared" si="44"/>
        <v>0</v>
      </c>
      <c r="BQ144" s="312">
        <f t="shared" si="44"/>
        <v>0</v>
      </c>
      <c r="BR144" s="312">
        <f t="shared" si="44"/>
        <v>0</v>
      </c>
      <c r="BS144" s="312">
        <f t="shared" si="44"/>
        <v>0</v>
      </c>
      <c r="BT144" s="312">
        <f t="shared" si="44"/>
        <v>0</v>
      </c>
      <c r="BU144" s="312">
        <f t="shared" si="44"/>
        <v>0</v>
      </c>
      <c r="BV144" s="312">
        <f t="shared" si="44"/>
        <v>0</v>
      </c>
      <c r="BW144" s="312">
        <f t="shared" si="44"/>
        <v>0</v>
      </c>
      <c r="BX144" s="312">
        <f t="shared" si="44"/>
        <v>0</v>
      </c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22"/>
      <c r="CL144" s="222"/>
      <c r="CM144" s="222"/>
      <c r="CN144" s="222"/>
      <c r="CO144" s="222"/>
      <c r="CP144" s="222"/>
      <c r="CQ144" s="222"/>
      <c r="CR144" s="222"/>
      <c r="CS144" s="222"/>
      <c r="CT144" s="222"/>
      <c r="CU144" s="222"/>
      <c r="CV144" s="222"/>
      <c r="CW144" s="222"/>
      <c r="CX144" s="222"/>
      <c r="CY144" s="222"/>
      <c r="CZ144" s="222"/>
      <c r="DA144" s="222"/>
      <c r="DB144" s="222"/>
      <c r="DC144" s="222"/>
      <c r="DD144" s="222"/>
      <c r="DE144" s="222"/>
      <c r="DF144" s="222"/>
      <c r="DG144" s="222"/>
      <c r="DH144" s="222"/>
      <c r="DI144" s="222"/>
      <c r="DJ144" s="222"/>
      <c r="DK144" s="222"/>
      <c r="DL144" s="222"/>
      <c r="DM144" s="222"/>
      <c r="DN144" s="222"/>
      <c r="DO144" s="222"/>
      <c r="DP144" s="222"/>
      <c r="DQ144" s="222"/>
      <c r="DR144" s="222"/>
      <c r="DS144" s="222"/>
      <c r="DT144" s="222"/>
      <c r="DU144" s="222"/>
      <c r="DV144" s="222"/>
      <c r="DW144" s="222"/>
      <c r="DX144" s="222"/>
      <c r="DY144" s="222"/>
      <c r="DZ144" s="222"/>
      <c r="EA144" s="222"/>
      <c r="EB144" s="222"/>
      <c r="EC144" s="222"/>
      <c r="ED144" s="222"/>
      <c r="EE144" s="222"/>
      <c r="EF144" s="222"/>
      <c r="EG144" s="222"/>
      <c r="EH144" s="222"/>
    </row>
    <row r="145" spans="1:138">
      <c r="A145" s="222"/>
      <c r="B145" s="318"/>
      <c r="C145" s="310" t="s">
        <v>305</v>
      </c>
      <c r="D145" s="319"/>
      <c r="E145" s="311"/>
      <c r="F145" s="311"/>
      <c r="G145" s="311"/>
      <c r="H145" s="311"/>
      <c r="I145" s="311"/>
      <c r="J145" s="311"/>
      <c r="K145" s="311"/>
      <c r="L145" s="311"/>
      <c r="M145" s="311"/>
      <c r="N145" s="311"/>
      <c r="O145" s="311"/>
      <c r="P145" s="311"/>
      <c r="Q145" s="311"/>
      <c r="R145" s="311"/>
      <c r="S145" s="311"/>
      <c r="T145" s="311"/>
      <c r="U145" s="311"/>
      <c r="V145" s="311"/>
      <c r="W145" s="311"/>
      <c r="X145" s="311"/>
      <c r="Y145" s="311"/>
      <c r="Z145" s="311"/>
      <c r="AA145" s="311"/>
      <c r="AB145" s="311"/>
      <c r="AC145" s="311"/>
      <c r="AD145" s="311"/>
      <c r="AE145" s="311"/>
      <c r="AF145" s="311"/>
      <c r="AG145" s="311"/>
      <c r="AH145" s="311"/>
      <c r="AI145" s="311"/>
      <c r="AJ145" s="311"/>
      <c r="AK145" s="311"/>
      <c r="AL145" s="311"/>
      <c r="AM145" s="311"/>
      <c r="AN145" s="311"/>
      <c r="AO145" s="311"/>
      <c r="AP145" s="311"/>
      <c r="AQ145" s="311"/>
      <c r="AR145" s="311"/>
      <c r="AS145" s="311"/>
      <c r="AT145" s="311"/>
      <c r="AU145" s="311"/>
      <c r="AV145" s="311"/>
      <c r="AW145" s="311"/>
      <c r="AX145" s="311"/>
      <c r="AY145" s="311"/>
      <c r="AZ145" s="311"/>
      <c r="BA145" s="311"/>
      <c r="BB145" s="311"/>
      <c r="BC145" s="312"/>
      <c r="BD145" s="311"/>
      <c r="BE145" s="311"/>
      <c r="BF145" s="311"/>
      <c r="BG145" s="311"/>
      <c r="BH145" s="311"/>
      <c r="BI145" s="311"/>
      <c r="BJ145" s="311"/>
      <c r="BK145" s="311"/>
      <c r="BL145" s="311"/>
      <c r="BM145" s="311"/>
      <c r="BN145" s="311"/>
      <c r="BO145" s="311"/>
      <c r="BP145" s="311"/>
      <c r="BQ145" s="311"/>
      <c r="BR145" s="311"/>
      <c r="BS145" s="311"/>
      <c r="BT145" s="311"/>
      <c r="BU145" s="311"/>
      <c r="BV145" s="311"/>
      <c r="BW145" s="311"/>
      <c r="BX145" s="311"/>
      <c r="BY145" s="307"/>
      <c r="BZ145" s="307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22"/>
      <c r="CL145" s="222"/>
      <c r="CM145" s="222"/>
      <c r="CN145" s="222"/>
      <c r="CO145" s="222"/>
      <c r="CP145" s="222"/>
      <c r="CQ145" s="222"/>
      <c r="CR145" s="222"/>
      <c r="CS145" s="222"/>
      <c r="CT145" s="222"/>
      <c r="CU145" s="222"/>
      <c r="CV145" s="222"/>
      <c r="CW145" s="222"/>
      <c r="CX145" s="222"/>
      <c r="CY145" s="222"/>
      <c r="CZ145" s="222"/>
      <c r="DA145" s="222"/>
      <c r="DB145" s="222"/>
      <c r="DC145" s="222"/>
      <c r="DD145" s="222"/>
      <c r="DE145" s="222"/>
      <c r="DF145" s="222"/>
      <c r="DG145" s="222"/>
      <c r="DH145" s="222"/>
      <c r="DI145" s="222"/>
      <c r="DJ145" s="222"/>
      <c r="DK145" s="222"/>
      <c r="DL145" s="222"/>
      <c r="DM145" s="222"/>
      <c r="DN145" s="222"/>
      <c r="DO145" s="222"/>
      <c r="DP145" s="222"/>
      <c r="DQ145" s="222"/>
      <c r="DR145" s="222"/>
      <c r="DS145" s="222"/>
      <c r="DT145" s="222"/>
      <c r="DU145" s="222"/>
      <c r="DV145" s="222"/>
      <c r="DW145" s="222"/>
      <c r="DX145" s="222"/>
      <c r="DY145" s="222"/>
      <c r="DZ145" s="222"/>
      <c r="EA145" s="222"/>
      <c r="EB145" s="222"/>
      <c r="EC145" s="222"/>
      <c r="ED145" s="222"/>
      <c r="EE145" s="222"/>
      <c r="EF145" s="222"/>
      <c r="EG145" s="222"/>
      <c r="EH145" s="222"/>
    </row>
    <row r="146" spans="1:138">
      <c r="A146" s="222"/>
      <c r="B146" s="318"/>
      <c r="C146" s="310" t="s">
        <v>296</v>
      </c>
      <c r="D146" s="319"/>
      <c r="E146" s="311">
        <f t="shared" ref="E146:BX146" si="45">-E73</f>
        <v>0</v>
      </c>
      <c r="F146" s="311">
        <f t="shared" si="45"/>
        <v>0</v>
      </c>
      <c r="G146" s="311">
        <f t="shared" si="45"/>
        <v>0</v>
      </c>
      <c r="H146" s="311">
        <f t="shared" si="45"/>
        <v>0</v>
      </c>
      <c r="I146" s="311">
        <f t="shared" si="45"/>
        <v>0</v>
      </c>
      <c r="J146" s="311">
        <f t="shared" si="45"/>
        <v>0</v>
      </c>
      <c r="K146" s="311">
        <f t="shared" si="45"/>
        <v>0</v>
      </c>
      <c r="L146" s="311">
        <f t="shared" si="45"/>
        <v>0</v>
      </c>
      <c r="M146" s="311">
        <f t="shared" si="45"/>
        <v>0</v>
      </c>
      <c r="N146" s="311">
        <f t="shared" si="45"/>
        <v>0</v>
      </c>
      <c r="O146" s="311">
        <f t="shared" si="45"/>
        <v>0</v>
      </c>
      <c r="P146" s="311">
        <f t="shared" si="45"/>
        <v>0</v>
      </c>
      <c r="Q146" s="311">
        <f t="shared" si="45"/>
        <v>0</v>
      </c>
      <c r="R146" s="311">
        <f t="shared" si="45"/>
        <v>0</v>
      </c>
      <c r="S146" s="311">
        <f t="shared" si="45"/>
        <v>0</v>
      </c>
      <c r="T146" s="311">
        <f t="shared" si="45"/>
        <v>0</v>
      </c>
      <c r="U146" s="311">
        <f t="shared" si="45"/>
        <v>0</v>
      </c>
      <c r="V146" s="311">
        <f t="shared" si="45"/>
        <v>0</v>
      </c>
      <c r="W146" s="311">
        <f t="shared" si="45"/>
        <v>0</v>
      </c>
      <c r="X146" s="311">
        <f t="shared" si="45"/>
        <v>0</v>
      </c>
      <c r="Y146" s="311">
        <f t="shared" si="45"/>
        <v>0</v>
      </c>
      <c r="Z146" s="311">
        <f t="shared" si="45"/>
        <v>0</v>
      </c>
      <c r="AA146" s="311">
        <f t="shared" si="45"/>
        <v>0</v>
      </c>
      <c r="AB146" s="311">
        <f t="shared" si="45"/>
        <v>0</v>
      </c>
      <c r="AC146" s="311">
        <f t="shared" si="45"/>
        <v>0</v>
      </c>
      <c r="AD146" s="311">
        <f t="shared" si="45"/>
        <v>0</v>
      </c>
      <c r="AE146" s="311">
        <f t="shared" si="45"/>
        <v>0</v>
      </c>
      <c r="AF146" s="311">
        <f t="shared" si="45"/>
        <v>0</v>
      </c>
      <c r="AG146" s="311">
        <f t="shared" si="45"/>
        <v>0</v>
      </c>
      <c r="AH146" s="311">
        <f t="shared" si="45"/>
        <v>0</v>
      </c>
      <c r="AI146" s="311">
        <f t="shared" si="45"/>
        <v>0</v>
      </c>
      <c r="AJ146" s="311">
        <f t="shared" si="45"/>
        <v>0</v>
      </c>
      <c r="AK146" s="311">
        <f t="shared" si="45"/>
        <v>0</v>
      </c>
      <c r="AL146" s="311">
        <f t="shared" si="45"/>
        <v>0</v>
      </c>
      <c r="AM146" s="311">
        <f t="shared" si="45"/>
        <v>0</v>
      </c>
      <c r="AN146" s="311">
        <f t="shared" si="45"/>
        <v>0</v>
      </c>
      <c r="AO146" s="311">
        <f t="shared" si="45"/>
        <v>0</v>
      </c>
      <c r="AP146" s="311">
        <f t="shared" si="45"/>
        <v>0</v>
      </c>
      <c r="AQ146" s="311">
        <f t="shared" si="45"/>
        <v>0</v>
      </c>
      <c r="AR146" s="311">
        <f t="shared" si="45"/>
        <v>0</v>
      </c>
      <c r="AS146" s="311">
        <f t="shared" si="45"/>
        <v>0</v>
      </c>
      <c r="AT146" s="311">
        <f t="shared" si="45"/>
        <v>0</v>
      </c>
      <c r="AU146" s="311">
        <f t="shared" si="45"/>
        <v>0</v>
      </c>
      <c r="AV146" s="311">
        <f t="shared" si="45"/>
        <v>0</v>
      </c>
      <c r="AW146" s="311">
        <f t="shared" si="45"/>
        <v>0</v>
      </c>
      <c r="AX146" s="311">
        <f t="shared" si="45"/>
        <v>0</v>
      </c>
      <c r="AY146" s="311">
        <f t="shared" si="45"/>
        <v>0</v>
      </c>
      <c r="AZ146" s="311">
        <f t="shared" si="45"/>
        <v>0</v>
      </c>
      <c r="BA146" s="311">
        <f t="shared" si="45"/>
        <v>0</v>
      </c>
      <c r="BB146" s="311">
        <f t="shared" si="45"/>
        <v>0</v>
      </c>
      <c r="BC146" s="311">
        <f t="shared" si="45"/>
        <v>0</v>
      </c>
      <c r="BD146" s="311">
        <f t="shared" si="45"/>
        <v>0</v>
      </c>
      <c r="BE146" s="311">
        <f t="shared" si="45"/>
        <v>0</v>
      </c>
      <c r="BF146" s="311">
        <f t="shared" si="45"/>
        <v>0</v>
      </c>
      <c r="BG146" s="311">
        <f t="shared" si="45"/>
        <v>0</v>
      </c>
      <c r="BH146" s="311">
        <f t="shared" si="45"/>
        <v>0</v>
      </c>
      <c r="BI146" s="311">
        <f t="shared" si="45"/>
        <v>0</v>
      </c>
      <c r="BJ146" s="311">
        <f t="shared" si="45"/>
        <v>0</v>
      </c>
      <c r="BK146" s="311">
        <f t="shared" si="45"/>
        <v>0</v>
      </c>
      <c r="BL146" s="311">
        <f t="shared" si="45"/>
        <v>0</v>
      </c>
      <c r="BM146" s="311">
        <f t="shared" si="45"/>
        <v>0</v>
      </c>
      <c r="BN146" s="311">
        <f t="shared" si="45"/>
        <v>0</v>
      </c>
      <c r="BO146" s="311">
        <f t="shared" si="45"/>
        <v>0</v>
      </c>
      <c r="BP146" s="311">
        <f t="shared" si="45"/>
        <v>0</v>
      </c>
      <c r="BQ146" s="311">
        <f t="shared" si="45"/>
        <v>0</v>
      </c>
      <c r="BR146" s="311">
        <f t="shared" si="45"/>
        <v>0</v>
      </c>
      <c r="BS146" s="311">
        <f t="shared" si="45"/>
        <v>0</v>
      </c>
      <c r="BT146" s="311">
        <f t="shared" si="45"/>
        <v>0</v>
      </c>
      <c r="BU146" s="311">
        <f t="shared" si="45"/>
        <v>0</v>
      </c>
      <c r="BV146" s="311">
        <f t="shared" si="45"/>
        <v>0</v>
      </c>
      <c r="BW146" s="311">
        <f t="shared" si="45"/>
        <v>0</v>
      </c>
      <c r="BX146" s="311">
        <f t="shared" si="45"/>
        <v>0</v>
      </c>
      <c r="BY146" s="307"/>
      <c r="BZ146" s="307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22"/>
      <c r="CO146" s="222"/>
      <c r="CP146" s="222"/>
      <c r="CQ146" s="222"/>
      <c r="CR146" s="222"/>
      <c r="CS146" s="222"/>
      <c r="CT146" s="222"/>
      <c r="CU146" s="222"/>
      <c r="CV146" s="222"/>
      <c r="CW146" s="222"/>
      <c r="CX146" s="222"/>
      <c r="CY146" s="222"/>
      <c r="CZ146" s="222"/>
      <c r="DA146" s="222"/>
      <c r="DB146" s="222"/>
      <c r="DC146" s="222"/>
      <c r="DD146" s="222"/>
      <c r="DE146" s="222"/>
      <c r="DF146" s="222"/>
      <c r="DG146" s="222"/>
      <c r="DH146" s="222"/>
      <c r="DI146" s="222"/>
      <c r="DJ146" s="222"/>
      <c r="DK146" s="222"/>
      <c r="DL146" s="222"/>
      <c r="DM146" s="222"/>
      <c r="DN146" s="222"/>
      <c r="DO146" s="222"/>
      <c r="DP146" s="222"/>
      <c r="DQ146" s="222"/>
      <c r="DR146" s="222"/>
      <c r="DS146" s="222"/>
      <c r="DT146" s="222"/>
      <c r="DU146" s="222"/>
      <c r="DV146" s="222"/>
      <c r="DW146" s="222"/>
      <c r="DX146" s="222"/>
      <c r="DY146" s="222"/>
      <c r="DZ146" s="222"/>
      <c r="EA146" s="222"/>
      <c r="EB146" s="222"/>
      <c r="EC146" s="222"/>
      <c r="ED146" s="222"/>
      <c r="EE146" s="222"/>
      <c r="EF146" s="222"/>
      <c r="EG146" s="222"/>
      <c r="EH146" s="222"/>
    </row>
    <row r="147" spans="1:138">
      <c r="A147" s="222"/>
      <c r="B147" s="318"/>
      <c r="C147" s="310" t="s">
        <v>297</v>
      </c>
      <c r="D147" s="319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  <c r="O147" s="311"/>
      <c r="P147" s="311"/>
      <c r="Q147" s="311"/>
      <c r="R147" s="311"/>
      <c r="S147" s="311"/>
      <c r="T147" s="311">
        <f>5500000</f>
        <v>5500000</v>
      </c>
      <c r="U147" s="311"/>
      <c r="V147" s="311"/>
      <c r="W147" s="311"/>
      <c r="X147" s="311"/>
      <c r="Y147" s="311"/>
      <c r="Z147" s="311"/>
      <c r="AA147" s="311"/>
      <c r="AB147" s="311"/>
      <c r="AC147" s="311"/>
      <c r="AD147" s="311"/>
      <c r="AE147" s="311"/>
      <c r="AF147" s="311"/>
      <c r="AG147" s="311"/>
      <c r="AH147" s="311"/>
      <c r="AI147" s="311"/>
      <c r="AJ147" s="311"/>
      <c r="AK147" s="311"/>
      <c r="AL147" s="311"/>
      <c r="AM147" s="311"/>
      <c r="AN147" s="311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311"/>
      <c r="AZ147" s="311"/>
      <c r="BA147" s="311"/>
      <c r="BB147" s="311"/>
      <c r="BC147" s="312"/>
      <c r="BD147" s="311"/>
      <c r="BE147" s="311"/>
      <c r="BF147" s="311"/>
      <c r="BG147" s="311"/>
      <c r="BH147" s="311"/>
      <c r="BI147" s="311"/>
      <c r="BJ147" s="311"/>
      <c r="BK147" s="311"/>
      <c r="BL147" s="311"/>
      <c r="BM147" s="311"/>
      <c r="BN147" s="311"/>
      <c r="BO147" s="311"/>
      <c r="BP147" s="311"/>
      <c r="BQ147" s="311"/>
      <c r="BR147" s="311"/>
      <c r="BS147" s="311"/>
      <c r="BT147" s="311"/>
      <c r="BU147" s="311"/>
      <c r="BV147" s="311"/>
      <c r="BW147" s="311"/>
      <c r="BX147" s="311" t="e">
        <f>IF(D119&gt;0.25,(BX114-BX122)*D148,BX114*D148)</f>
        <v>#VALUE!</v>
      </c>
      <c r="BY147" s="307"/>
      <c r="BZ147" s="307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22"/>
      <c r="CO147" s="222"/>
      <c r="CP147" s="222"/>
      <c r="CQ147" s="222"/>
      <c r="CR147" s="222"/>
      <c r="CS147" s="222"/>
      <c r="CT147" s="222"/>
      <c r="CU147" s="222"/>
      <c r="CV147" s="222"/>
      <c r="CW147" s="222"/>
      <c r="CX147" s="222"/>
      <c r="CY147" s="222"/>
      <c r="CZ147" s="222"/>
      <c r="DA147" s="222"/>
      <c r="DB147" s="222"/>
      <c r="DC147" s="222"/>
      <c r="DD147" s="222"/>
      <c r="DE147" s="222"/>
      <c r="DF147" s="222"/>
      <c r="DG147" s="222"/>
      <c r="DH147" s="222"/>
      <c r="DI147" s="222"/>
      <c r="DJ147" s="222"/>
      <c r="DK147" s="222"/>
      <c r="DL147" s="222"/>
      <c r="DM147" s="222"/>
      <c r="DN147" s="222"/>
      <c r="DO147" s="222"/>
      <c r="DP147" s="222"/>
      <c r="DQ147" s="222"/>
      <c r="DR147" s="222"/>
      <c r="DS147" s="222"/>
      <c r="DT147" s="222"/>
      <c r="DU147" s="222"/>
      <c r="DV147" s="222"/>
      <c r="DW147" s="222"/>
      <c r="DX147" s="222"/>
      <c r="DY147" s="222"/>
      <c r="DZ147" s="222"/>
      <c r="EA147" s="222"/>
      <c r="EB147" s="222"/>
      <c r="EC147" s="222"/>
      <c r="ED147" s="222"/>
      <c r="EE147" s="222"/>
      <c r="EF147" s="222"/>
      <c r="EG147" s="222"/>
      <c r="EH147" s="222"/>
    </row>
    <row r="148" spans="1:138">
      <c r="A148" s="222"/>
      <c r="B148" s="318"/>
      <c r="C148" s="313" t="s">
        <v>298</v>
      </c>
      <c r="D148" s="319">
        <v>0</v>
      </c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/>
      <c r="R148" s="311"/>
      <c r="S148" s="311"/>
      <c r="T148" s="311"/>
      <c r="U148" s="311"/>
      <c r="V148" s="311"/>
      <c r="W148" s="311"/>
      <c r="X148" s="311"/>
      <c r="Y148" s="311"/>
      <c r="Z148" s="311"/>
      <c r="AA148" s="311"/>
      <c r="AB148" s="311"/>
      <c r="AC148" s="311"/>
      <c r="AD148" s="311"/>
      <c r="AE148" s="311"/>
      <c r="AF148" s="311"/>
      <c r="AG148" s="311"/>
      <c r="AH148" s="311"/>
      <c r="AI148" s="311"/>
      <c r="AJ148" s="311"/>
      <c r="AK148" s="311"/>
      <c r="AL148" s="311"/>
      <c r="AM148" s="311"/>
      <c r="AN148" s="311"/>
      <c r="AO148" s="311"/>
      <c r="AP148" s="311"/>
      <c r="AQ148" s="311"/>
      <c r="AR148" s="311"/>
      <c r="AS148" s="311"/>
      <c r="AT148" s="311"/>
      <c r="AU148" s="311"/>
      <c r="AV148" s="311"/>
      <c r="AW148" s="311"/>
      <c r="AX148" s="311"/>
      <c r="AY148" s="311"/>
      <c r="AZ148" s="311"/>
      <c r="BA148" s="311"/>
      <c r="BB148" s="311"/>
      <c r="BC148" s="312"/>
      <c r="BD148" s="311"/>
      <c r="BE148" s="311"/>
      <c r="BF148" s="311"/>
      <c r="BG148" s="311"/>
      <c r="BH148" s="311"/>
      <c r="BI148" s="311"/>
      <c r="BJ148" s="311"/>
      <c r="BK148" s="311"/>
      <c r="BL148" s="311"/>
      <c r="BM148" s="311"/>
      <c r="BN148" s="311"/>
      <c r="BO148" s="311"/>
      <c r="BP148" s="311"/>
      <c r="BQ148" s="311"/>
      <c r="BR148" s="311"/>
      <c r="BS148" s="311"/>
      <c r="BT148" s="311"/>
      <c r="BU148" s="311"/>
      <c r="BV148" s="311"/>
      <c r="BW148" s="311"/>
      <c r="BX148" s="311"/>
      <c r="BY148" s="307"/>
      <c r="BZ148" s="307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2"/>
      <c r="CU148" s="222"/>
      <c r="CV148" s="222"/>
      <c r="CW148" s="222"/>
      <c r="CX148" s="222"/>
      <c r="CY148" s="222"/>
      <c r="CZ148" s="222"/>
      <c r="DA148" s="222"/>
      <c r="DB148" s="222"/>
      <c r="DC148" s="222"/>
      <c r="DD148" s="222"/>
      <c r="DE148" s="222"/>
      <c r="DF148" s="222"/>
      <c r="DG148" s="222"/>
      <c r="DH148" s="222"/>
      <c r="DI148" s="222"/>
      <c r="DJ148" s="222"/>
      <c r="DK148" s="222"/>
      <c r="DL148" s="222"/>
      <c r="DM148" s="222"/>
      <c r="DN148" s="222"/>
      <c r="DO148" s="222"/>
      <c r="DP148" s="222"/>
      <c r="DQ148" s="222"/>
      <c r="DR148" s="222"/>
      <c r="DS148" s="222"/>
      <c r="DT148" s="222"/>
      <c r="DU148" s="222"/>
      <c r="DV148" s="222"/>
      <c r="DW148" s="222"/>
      <c r="DX148" s="222"/>
      <c r="DY148" s="222"/>
      <c r="DZ148" s="222"/>
      <c r="EA148" s="222"/>
      <c r="EB148" s="222"/>
      <c r="EC148" s="222"/>
      <c r="ED148" s="222"/>
      <c r="EE148" s="222"/>
      <c r="EF148" s="222"/>
      <c r="EG148" s="222"/>
      <c r="EH148" s="222"/>
    </row>
    <row r="149" spans="1:138">
      <c r="A149" s="222"/>
      <c r="B149" s="318"/>
      <c r="C149" s="310" t="s">
        <v>299</v>
      </c>
      <c r="D149" s="311"/>
      <c r="E149" s="321">
        <f t="shared" ref="E149:BX149" si="46">E144+E145+E146+E147+E148</f>
        <v>0</v>
      </c>
      <c r="F149" s="321">
        <f t="shared" si="46"/>
        <v>0</v>
      </c>
      <c r="G149" s="321">
        <f t="shared" si="46"/>
        <v>0</v>
      </c>
      <c r="H149" s="321">
        <f t="shared" si="46"/>
        <v>-10682501</v>
      </c>
      <c r="I149" s="321">
        <f t="shared" si="46"/>
        <v>0</v>
      </c>
      <c r="J149" s="321">
        <f t="shared" si="46"/>
        <v>0</v>
      </c>
      <c r="K149" s="321">
        <f t="shared" si="46"/>
        <v>0</v>
      </c>
      <c r="L149" s="321">
        <f t="shared" si="46"/>
        <v>0</v>
      </c>
      <c r="M149" s="321">
        <f t="shared" si="46"/>
        <v>0</v>
      </c>
      <c r="N149" s="321">
        <f t="shared" si="46"/>
        <v>0</v>
      </c>
      <c r="O149" s="321">
        <f t="shared" si="46"/>
        <v>0</v>
      </c>
      <c r="P149" s="321">
        <f t="shared" si="46"/>
        <v>0</v>
      </c>
      <c r="Q149" s="321">
        <f t="shared" si="46"/>
        <v>0</v>
      </c>
      <c r="R149" s="321">
        <f t="shared" si="46"/>
        <v>0</v>
      </c>
      <c r="S149" s="321">
        <f t="shared" si="46"/>
        <v>0</v>
      </c>
      <c r="T149" s="321">
        <f t="shared" si="46"/>
        <v>16182501</v>
      </c>
      <c r="U149" s="321">
        <f t="shared" si="46"/>
        <v>0</v>
      </c>
      <c r="V149" s="321">
        <f t="shared" si="46"/>
        <v>0</v>
      </c>
      <c r="W149" s="321">
        <f t="shared" si="46"/>
        <v>0</v>
      </c>
      <c r="X149" s="321">
        <f t="shared" si="46"/>
        <v>0</v>
      </c>
      <c r="Y149" s="321">
        <f t="shared" si="46"/>
        <v>0</v>
      </c>
      <c r="Z149" s="321">
        <f t="shared" si="46"/>
        <v>0</v>
      </c>
      <c r="AA149" s="321">
        <f t="shared" si="46"/>
        <v>0</v>
      </c>
      <c r="AB149" s="321">
        <f t="shared" si="46"/>
        <v>0</v>
      </c>
      <c r="AC149" s="321">
        <f t="shared" si="46"/>
        <v>0</v>
      </c>
      <c r="AD149" s="321">
        <f t="shared" si="46"/>
        <v>0</v>
      </c>
      <c r="AE149" s="321">
        <f t="shared" si="46"/>
        <v>0</v>
      </c>
      <c r="AF149" s="321">
        <f t="shared" si="46"/>
        <v>0</v>
      </c>
      <c r="AG149" s="321">
        <f t="shared" si="46"/>
        <v>0</v>
      </c>
      <c r="AH149" s="321">
        <f t="shared" si="46"/>
        <v>0</v>
      </c>
      <c r="AI149" s="321">
        <f t="shared" si="46"/>
        <v>0</v>
      </c>
      <c r="AJ149" s="321">
        <f t="shared" si="46"/>
        <v>0</v>
      </c>
      <c r="AK149" s="321">
        <f t="shared" si="46"/>
        <v>0</v>
      </c>
      <c r="AL149" s="321">
        <f t="shared" si="46"/>
        <v>0</v>
      </c>
      <c r="AM149" s="321">
        <f t="shared" si="46"/>
        <v>0</v>
      </c>
      <c r="AN149" s="321">
        <f t="shared" si="46"/>
        <v>0</v>
      </c>
      <c r="AO149" s="321">
        <f t="shared" si="46"/>
        <v>0</v>
      </c>
      <c r="AP149" s="321">
        <f t="shared" si="46"/>
        <v>0</v>
      </c>
      <c r="AQ149" s="321">
        <f t="shared" si="46"/>
        <v>0</v>
      </c>
      <c r="AR149" s="321">
        <f t="shared" si="46"/>
        <v>0</v>
      </c>
      <c r="AS149" s="321">
        <f t="shared" si="46"/>
        <v>0</v>
      </c>
      <c r="AT149" s="321">
        <f t="shared" si="46"/>
        <v>0</v>
      </c>
      <c r="AU149" s="321">
        <f t="shared" si="46"/>
        <v>0</v>
      </c>
      <c r="AV149" s="321">
        <f t="shared" si="46"/>
        <v>0</v>
      </c>
      <c r="AW149" s="321">
        <f t="shared" si="46"/>
        <v>0</v>
      </c>
      <c r="AX149" s="321">
        <f t="shared" si="46"/>
        <v>0</v>
      </c>
      <c r="AY149" s="321">
        <f t="shared" si="46"/>
        <v>0</v>
      </c>
      <c r="AZ149" s="321">
        <f t="shared" si="46"/>
        <v>0</v>
      </c>
      <c r="BA149" s="321">
        <f t="shared" si="46"/>
        <v>0</v>
      </c>
      <c r="BB149" s="321">
        <f t="shared" si="46"/>
        <v>0</v>
      </c>
      <c r="BC149" s="321">
        <f t="shared" si="46"/>
        <v>0</v>
      </c>
      <c r="BD149" s="321">
        <f t="shared" si="46"/>
        <v>0</v>
      </c>
      <c r="BE149" s="321">
        <f t="shared" si="46"/>
        <v>0</v>
      </c>
      <c r="BF149" s="321">
        <f t="shared" si="46"/>
        <v>0</v>
      </c>
      <c r="BG149" s="321">
        <f t="shared" si="46"/>
        <v>0</v>
      </c>
      <c r="BH149" s="321">
        <f t="shared" si="46"/>
        <v>0</v>
      </c>
      <c r="BI149" s="321">
        <f t="shared" si="46"/>
        <v>0</v>
      </c>
      <c r="BJ149" s="321">
        <f t="shared" si="46"/>
        <v>0</v>
      </c>
      <c r="BK149" s="321">
        <f t="shared" si="46"/>
        <v>0</v>
      </c>
      <c r="BL149" s="321">
        <f t="shared" si="46"/>
        <v>0</v>
      </c>
      <c r="BM149" s="321">
        <f t="shared" si="46"/>
        <v>0</v>
      </c>
      <c r="BN149" s="321">
        <f t="shared" si="46"/>
        <v>0</v>
      </c>
      <c r="BO149" s="321">
        <f t="shared" si="46"/>
        <v>0</v>
      </c>
      <c r="BP149" s="321">
        <f t="shared" si="46"/>
        <v>0</v>
      </c>
      <c r="BQ149" s="321">
        <f t="shared" si="46"/>
        <v>0</v>
      </c>
      <c r="BR149" s="321">
        <f t="shared" si="46"/>
        <v>0</v>
      </c>
      <c r="BS149" s="321">
        <f t="shared" si="46"/>
        <v>0</v>
      </c>
      <c r="BT149" s="321">
        <f t="shared" si="46"/>
        <v>0</v>
      </c>
      <c r="BU149" s="321">
        <f t="shared" si="46"/>
        <v>0</v>
      </c>
      <c r="BV149" s="321">
        <f t="shared" si="46"/>
        <v>0</v>
      </c>
      <c r="BW149" s="321">
        <f t="shared" si="46"/>
        <v>0</v>
      </c>
      <c r="BX149" s="321" t="e">
        <f t="shared" si="46"/>
        <v>#VALUE!</v>
      </c>
      <c r="BY149" s="222"/>
      <c r="BZ149" s="222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22"/>
      <c r="CO149" s="222"/>
      <c r="CP149" s="222"/>
      <c r="CQ149" s="222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222"/>
      <c r="DC149" s="222"/>
      <c r="DD149" s="222"/>
      <c r="DE149" s="222"/>
      <c r="DF149" s="222"/>
      <c r="DG149" s="222"/>
      <c r="DH149" s="222"/>
      <c r="DI149" s="222"/>
      <c r="DJ149" s="222"/>
      <c r="DK149" s="222"/>
      <c r="DL149" s="222"/>
      <c r="DM149" s="222"/>
      <c r="DN149" s="222"/>
      <c r="DO149" s="222"/>
      <c r="DP149" s="222"/>
      <c r="DQ149" s="222"/>
      <c r="DR149" s="222"/>
      <c r="DS149" s="222"/>
      <c r="DT149" s="222"/>
      <c r="DU149" s="222"/>
      <c r="DV149" s="222"/>
      <c r="DW149" s="222"/>
      <c r="DX149" s="222"/>
      <c r="DY149" s="222"/>
      <c r="DZ149" s="222"/>
      <c r="EA149" s="222"/>
      <c r="EB149" s="222"/>
      <c r="EC149" s="222"/>
      <c r="ED149" s="222"/>
      <c r="EE149" s="222"/>
      <c r="EF149" s="222"/>
      <c r="EG149" s="222"/>
      <c r="EH149" s="222"/>
    </row>
    <row r="150" spans="1:138">
      <c r="A150" s="222"/>
      <c r="B150" s="318"/>
      <c r="C150" s="314"/>
      <c r="D150" s="322" t="s">
        <v>306</v>
      </c>
      <c r="E150" s="327">
        <f>E149</f>
        <v>0</v>
      </c>
      <c r="F150" s="327">
        <f t="shared" ref="F150:BX150" si="47">E150+F149</f>
        <v>0</v>
      </c>
      <c r="G150" s="327">
        <f t="shared" si="47"/>
        <v>0</v>
      </c>
      <c r="H150" s="327">
        <f t="shared" si="47"/>
        <v>-10682501</v>
      </c>
      <c r="I150" s="327">
        <f t="shared" si="47"/>
        <v>-10682501</v>
      </c>
      <c r="J150" s="327">
        <f t="shared" si="47"/>
        <v>-10682501</v>
      </c>
      <c r="K150" s="327">
        <f t="shared" si="47"/>
        <v>-10682501</v>
      </c>
      <c r="L150" s="327">
        <f t="shared" si="47"/>
        <v>-10682501</v>
      </c>
      <c r="M150" s="327">
        <f t="shared" si="47"/>
        <v>-10682501</v>
      </c>
      <c r="N150" s="327">
        <f t="shared" si="47"/>
        <v>-10682501</v>
      </c>
      <c r="O150" s="327">
        <f t="shared" si="47"/>
        <v>-10682501</v>
      </c>
      <c r="P150" s="327">
        <f t="shared" si="47"/>
        <v>-10682501</v>
      </c>
      <c r="Q150" s="327">
        <f t="shared" si="47"/>
        <v>-10682501</v>
      </c>
      <c r="R150" s="327">
        <f t="shared" si="47"/>
        <v>-10682501</v>
      </c>
      <c r="S150" s="327">
        <f t="shared" si="47"/>
        <v>-10682501</v>
      </c>
      <c r="T150" s="327">
        <f t="shared" si="47"/>
        <v>5500000</v>
      </c>
      <c r="U150" s="327">
        <f t="shared" si="47"/>
        <v>5500000</v>
      </c>
      <c r="V150" s="328">
        <f t="shared" si="47"/>
        <v>5500000</v>
      </c>
      <c r="W150" s="328">
        <f t="shared" si="47"/>
        <v>5500000</v>
      </c>
      <c r="X150" s="328">
        <f t="shared" si="47"/>
        <v>5500000</v>
      </c>
      <c r="Y150" s="328">
        <f t="shared" si="47"/>
        <v>5500000</v>
      </c>
      <c r="Z150" s="328">
        <f t="shared" si="47"/>
        <v>5500000</v>
      </c>
      <c r="AA150" s="328">
        <f t="shared" si="47"/>
        <v>5500000</v>
      </c>
      <c r="AB150" s="328">
        <f t="shared" si="47"/>
        <v>5500000</v>
      </c>
      <c r="AC150" s="328">
        <f t="shared" si="47"/>
        <v>5500000</v>
      </c>
      <c r="AD150" s="328">
        <f t="shared" si="47"/>
        <v>5500000</v>
      </c>
      <c r="AE150" s="328">
        <f t="shared" si="47"/>
        <v>5500000</v>
      </c>
      <c r="AF150" s="328">
        <f t="shared" si="47"/>
        <v>5500000</v>
      </c>
      <c r="AG150" s="328">
        <f t="shared" si="47"/>
        <v>5500000</v>
      </c>
      <c r="AH150" s="328">
        <f t="shared" si="47"/>
        <v>5500000</v>
      </c>
      <c r="AI150" s="328">
        <f t="shared" si="47"/>
        <v>5500000</v>
      </c>
      <c r="AJ150" s="328">
        <f t="shared" si="47"/>
        <v>5500000</v>
      </c>
      <c r="AK150" s="328">
        <f t="shared" si="47"/>
        <v>5500000</v>
      </c>
      <c r="AL150" s="328">
        <f t="shared" si="47"/>
        <v>5500000</v>
      </c>
      <c r="AM150" s="328">
        <f t="shared" si="47"/>
        <v>5500000</v>
      </c>
      <c r="AN150" s="328">
        <f t="shared" si="47"/>
        <v>5500000</v>
      </c>
      <c r="AO150" s="328">
        <f t="shared" si="47"/>
        <v>5500000</v>
      </c>
      <c r="AP150" s="328">
        <f t="shared" si="47"/>
        <v>5500000</v>
      </c>
      <c r="AQ150" s="328">
        <f t="shared" si="47"/>
        <v>5500000</v>
      </c>
      <c r="AR150" s="328">
        <f t="shared" si="47"/>
        <v>5500000</v>
      </c>
      <c r="AS150" s="328">
        <f t="shared" si="47"/>
        <v>5500000</v>
      </c>
      <c r="AT150" s="328">
        <f t="shared" si="47"/>
        <v>5500000</v>
      </c>
      <c r="AU150" s="328">
        <f t="shared" si="47"/>
        <v>5500000</v>
      </c>
      <c r="AV150" s="328">
        <f t="shared" si="47"/>
        <v>5500000</v>
      </c>
      <c r="AW150" s="328">
        <f t="shared" si="47"/>
        <v>5500000</v>
      </c>
      <c r="AX150" s="328">
        <f t="shared" si="47"/>
        <v>5500000</v>
      </c>
      <c r="AY150" s="328">
        <f t="shared" si="47"/>
        <v>5500000</v>
      </c>
      <c r="AZ150" s="328">
        <f t="shared" si="47"/>
        <v>5500000</v>
      </c>
      <c r="BA150" s="328">
        <f t="shared" si="47"/>
        <v>5500000</v>
      </c>
      <c r="BB150" s="328">
        <f t="shared" si="47"/>
        <v>5500000</v>
      </c>
      <c r="BC150" s="327">
        <f t="shared" si="47"/>
        <v>5500000</v>
      </c>
      <c r="BD150" s="327">
        <f t="shared" si="47"/>
        <v>5500000</v>
      </c>
      <c r="BE150" s="327">
        <f t="shared" si="47"/>
        <v>5500000</v>
      </c>
      <c r="BF150" s="327">
        <f t="shared" si="47"/>
        <v>5500000</v>
      </c>
      <c r="BG150" s="327">
        <f t="shared" si="47"/>
        <v>5500000</v>
      </c>
      <c r="BH150" s="327">
        <f t="shared" si="47"/>
        <v>5500000</v>
      </c>
      <c r="BI150" s="327">
        <f t="shared" si="47"/>
        <v>5500000</v>
      </c>
      <c r="BJ150" s="327">
        <f t="shared" si="47"/>
        <v>5500000</v>
      </c>
      <c r="BK150" s="327">
        <f t="shared" si="47"/>
        <v>5500000</v>
      </c>
      <c r="BL150" s="327">
        <f t="shared" si="47"/>
        <v>5500000</v>
      </c>
      <c r="BM150" s="327">
        <f t="shared" si="47"/>
        <v>5500000</v>
      </c>
      <c r="BN150" s="327">
        <f t="shared" si="47"/>
        <v>5500000</v>
      </c>
      <c r="BO150" s="327">
        <f t="shared" si="47"/>
        <v>5500000</v>
      </c>
      <c r="BP150" s="327">
        <f t="shared" si="47"/>
        <v>5500000</v>
      </c>
      <c r="BQ150" s="327">
        <f t="shared" si="47"/>
        <v>5500000</v>
      </c>
      <c r="BR150" s="327">
        <f t="shared" si="47"/>
        <v>5500000</v>
      </c>
      <c r="BS150" s="327">
        <f t="shared" si="47"/>
        <v>5500000</v>
      </c>
      <c r="BT150" s="327">
        <f t="shared" si="47"/>
        <v>5500000</v>
      </c>
      <c r="BU150" s="327">
        <f t="shared" si="47"/>
        <v>5500000</v>
      </c>
      <c r="BV150" s="327">
        <f t="shared" si="47"/>
        <v>5500000</v>
      </c>
      <c r="BW150" s="327">
        <f t="shared" si="47"/>
        <v>5500000</v>
      </c>
      <c r="BX150" s="327" t="e">
        <f t="shared" si="47"/>
        <v>#VALUE!</v>
      </c>
      <c r="BY150" s="222"/>
      <c r="BZ150" s="222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22"/>
      <c r="CO150" s="222"/>
      <c r="CP150" s="222"/>
      <c r="CQ150" s="222"/>
      <c r="CR150" s="222"/>
      <c r="CS150" s="222"/>
      <c r="CT150" s="222"/>
      <c r="CU150" s="222"/>
      <c r="CV150" s="222"/>
      <c r="CW150" s="222"/>
      <c r="CX150" s="222"/>
      <c r="CY150" s="222"/>
      <c r="CZ150" s="222"/>
      <c r="DA150" s="222"/>
      <c r="DB150" s="222"/>
      <c r="DC150" s="222"/>
      <c r="DD150" s="222"/>
      <c r="DE150" s="222"/>
      <c r="DF150" s="222"/>
      <c r="DG150" s="222"/>
      <c r="DH150" s="222"/>
      <c r="DI150" s="222"/>
      <c r="DJ150" s="222"/>
      <c r="DK150" s="222"/>
      <c r="DL150" s="222"/>
      <c r="DM150" s="222"/>
      <c r="DN150" s="222"/>
      <c r="DO150" s="222"/>
      <c r="DP150" s="222"/>
      <c r="DQ150" s="222"/>
      <c r="DR150" s="222"/>
      <c r="DS150" s="222"/>
      <c r="DT150" s="222"/>
      <c r="DU150" s="222"/>
      <c r="DV150" s="222"/>
      <c r="DW150" s="222"/>
      <c r="DX150" s="222"/>
      <c r="DY150" s="222"/>
      <c r="DZ150" s="222"/>
      <c r="EA150" s="222"/>
      <c r="EB150" s="222"/>
      <c r="EC150" s="222"/>
      <c r="ED150" s="222"/>
      <c r="EE150" s="222"/>
      <c r="EF150" s="222"/>
      <c r="EG150" s="222"/>
      <c r="EH150" s="222"/>
    </row>
    <row r="151" spans="1:138">
      <c r="A151" s="222"/>
      <c r="B151" s="318"/>
      <c r="C151" s="313" t="s">
        <v>292</v>
      </c>
      <c r="D151" s="322">
        <f>IRR(H149:T149)*12</f>
        <v>0.4225943643698109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22"/>
      <c r="AD151" s="222"/>
      <c r="AE151" s="222"/>
      <c r="AF151" s="222"/>
      <c r="AG151" s="222"/>
      <c r="AH151" s="222"/>
      <c r="AI151" s="222"/>
      <c r="AJ151" s="222"/>
      <c r="AK151" s="222"/>
      <c r="AL151" s="222"/>
      <c r="AM151" s="222"/>
      <c r="AN151" s="222"/>
      <c r="AO151" s="222"/>
      <c r="AP151" s="222"/>
      <c r="AQ151" s="222"/>
      <c r="AR151" s="222"/>
      <c r="AS151" s="222"/>
      <c r="AT151" s="222"/>
      <c r="AU151" s="222"/>
      <c r="AV151" s="222"/>
      <c r="AW151" s="222"/>
      <c r="AX151" s="222"/>
      <c r="AY151" s="222"/>
      <c r="AZ151" s="222"/>
      <c r="BA151" s="222"/>
      <c r="BB151" s="222"/>
      <c r="BC151" s="222"/>
      <c r="BD151" s="222"/>
      <c r="BE151" s="222"/>
      <c r="BF151" s="222"/>
      <c r="BG151" s="222"/>
      <c r="BH151" s="222"/>
      <c r="BI151" s="222"/>
      <c r="BJ151" s="222"/>
      <c r="BK151" s="222"/>
      <c r="BL151" s="222"/>
      <c r="BM151" s="222"/>
      <c r="BN151" s="222"/>
      <c r="BO151" s="222"/>
      <c r="BP151" s="222"/>
      <c r="BQ151" s="222"/>
      <c r="BR151" s="222"/>
      <c r="BS151" s="222"/>
      <c r="BT151" s="222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222"/>
      <c r="DX151" s="222"/>
      <c r="DY151" s="222"/>
      <c r="DZ151" s="222"/>
      <c r="EA151" s="222"/>
      <c r="EB151" s="222"/>
      <c r="EC151" s="222"/>
      <c r="ED151" s="222"/>
      <c r="EE151" s="222"/>
      <c r="EF151" s="222"/>
      <c r="EG151" s="222"/>
      <c r="EH151" s="222"/>
    </row>
    <row r="152" spans="1:138">
      <c r="A152" s="222"/>
      <c r="B152" s="318"/>
      <c r="C152" s="323" t="s">
        <v>300</v>
      </c>
      <c r="D152" s="324">
        <f>-MIN(M150:BL150)-D153</f>
        <v>10682501</v>
      </c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222"/>
      <c r="AF152" s="222"/>
      <c r="AG152" s="222"/>
      <c r="AH152" s="222"/>
      <c r="AI152" s="222"/>
      <c r="AJ152" s="222"/>
      <c r="AK152" s="222"/>
      <c r="AL152" s="222"/>
      <c r="AM152" s="222"/>
      <c r="AN152" s="222"/>
      <c r="AO152" s="222"/>
      <c r="AP152" s="222"/>
      <c r="AQ152" s="222"/>
      <c r="AR152" s="222"/>
      <c r="AS152" s="222"/>
      <c r="AT152" s="222"/>
      <c r="AU152" s="222"/>
      <c r="AV152" s="222"/>
      <c r="AW152" s="222"/>
      <c r="AX152" s="222"/>
      <c r="AY152" s="222"/>
      <c r="AZ152" s="222"/>
      <c r="BA152" s="222"/>
      <c r="BB152" s="222"/>
      <c r="BC152" s="222"/>
      <c r="BD152" s="222"/>
      <c r="BE152" s="222"/>
      <c r="BF152" s="222"/>
      <c r="BG152" s="222"/>
      <c r="BH152" s="222"/>
      <c r="BI152" s="222"/>
      <c r="BJ152" s="222"/>
      <c r="BK152" s="222"/>
      <c r="BL152" s="222"/>
      <c r="BM152" s="222"/>
      <c r="BN152" s="222"/>
      <c r="BO152" s="222"/>
      <c r="BP152" s="222"/>
      <c r="BQ152" s="222"/>
      <c r="BR152" s="222"/>
      <c r="BS152" s="222"/>
      <c r="BT152" s="222"/>
      <c r="BU152" s="222"/>
      <c r="BV152" s="222"/>
      <c r="BW152" s="222"/>
      <c r="BX152" s="222"/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22"/>
      <c r="CO152" s="222"/>
      <c r="CP152" s="222"/>
      <c r="CQ152" s="222"/>
      <c r="CR152" s="222"/>
      <c r="CS152" s="222"/>
      <c r="CT152" s="222"/>
      <c r="CU152" s="222"/>
      <c r="CV152" s="222"/>
      <c r="CW152" s="222"/>
      <c r="CX152" s="222"/>
      <c r="CY152" s="222"/>
      <c r="CZ152" s="222"/>
      <c r="DA152" s="222"/>
      <c r="DB152" s="222"/>
      <c r="DC152" s="222"/>
      <c r="DD152" s="222"/>
      <c r="DE152" s="222"/>
      <c r="DF152" s="222"/>
      <c r="DG152" s="222"/>
      <c r="DH152" s="222"/>
      <c r="DI152" s="222"/>
      <c r="DJ152" s="222"/>
      <c r="DK152" s="222"/>
      <c r="DL152" s="222"/>
      <c r="DM152" s="222"/>
      <c r="DN152" s="222"/>
      <c r="DO152" s="222"/>
      <c r="DP152" s="222"/>
      <c r="DQ152" s="222"/>
      <c r="DR152" s="222"/>
      <c r="DS152" s="222"/>
      <c r="DT152" s="222"/>
      <c r="DU152" s="222"/>
      <c r="DV152" s="222"/>
      <c r="DW152" s="222"/>
      <c r="DX152" s="222"/>
      <c r="DY152" s="222"/>
      <c r="DZ152" s="222"/>
      <c r="EA152" s="222"/>
      <c r="EB152" s="222"/>
      <c r="EC152" s="222"/>
      <c r="ED152" s="222"/>
      <c r="EE152" s="222"/>
      <c r="EF152" s="222"/>
      <c r="EG152" s="222"/>
      <c r="EH152" s="222"/>
    </row>
    <row r="153" spans="1:138">
      <c r="A153" s="222"/>
      <c r="B153" s="318"/>
      <c r="C153" s="323" t="s">
        <v>301</v>
      </c>
      <c r="D153" s="324">
        <f>-SUM(M148:BB148)</f>
        <v>0</v>
      </c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22"/>
      <c r="AD153" s="222"/>
      <c r="AE153" s="222"/>
      <c r="AF153" s="222"/>
      <c r="AG153" s="222"/>
      <c r="AH153" s="222"/>
      <c r="AI153" s="222"/>
      <c r="AJ153" s="222"/>
      <c r="AK153" s="222"/>
      <c r="AL153" s="222"/>
      <c r="AM153" s="222"/>
      <c r="AN153" s="222"/>
      <c r="AO153" s="222"/>
      <c r="AP153" s="222"/>
      <c r="AQ153" s="222"/>
      <c r="AR153" s="222"/>
      <c r="AS153" s="222"/>
      <c r="AT153" s="222"/>
      <c r="AU153" s="222"/>
      <c r="AV153" s="222"/>
      <c r="AW153" s="222"/>
      <c r="AX153" s="222"/>
      <c r="AY153" s="222"/>
      <c r="AZ153" s="222"/>
      <c r="BA153" s="222"/>
      <c r="BB153" s="222"/>
      <c r="BC153" s="222"/>
      <c r="BD153" s="222"/>
      <c r="BE153" s="222"/>
      <c r="BF153" s="222"/>
      <c r="BG153" s="222"/>
      <c r="BH153" s="222"/>
      <c r="BI153" s="222"/>
      <c r="BJ153" s="222"/>
      <c r="BK153" s="222"/>
      <c r="BL153" s="222"/>
      <c r="BM153" s="222"/>
      <c r="BN153" s="222"/>
      <c r="BO153" s="222"/>
      <c r="BP153" s="222"/>
      <c r="BQ153" s="222"/>
      <c r="BR153" s="222"/>
      <c r="BS153" s="222"/>
      <c r="BT153" s="222"/>
      <c r="BU153" s="222"/>
      <c r="BV153" s="222"/>
      <c r="BW153" s="222"/>
      <c r="BX153" s="222"/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22"/>
      <c r="CO153" s="222"/>
      <c r="CP153" s="222"/>
      <c r="CQ153" s="222"/>
      <c r="CR153" s="222"/>
      <c r="CS153" s="222"/>
      <c r="CT153" s="222"/>
      <c r="CU153" s="222"/>
      <c r="CV153" s="222"/>
      <c r="CW153" s="222"/>
      <c r="CX153" s="222"/>
      <c r="CY153" s="222"/>
      <c r="CZ153" s="222"/>
      <c r="DA153" s="222"/>
      <c r="DB153" s="222"/>
      <c r="DC153" s="222"/>
      <c r="DD153" s="222"/>
      <c r="DE153" s="222"/>
      <c r="DF153" s="222"/>
      <c r="DG153" s="222"/>
      <c r="DH153" s="222"/>
      <c r="DI153" s="222"/>
      <c r="DJ153" s="222"/>
      <c r="DK153" s="222"/>
      <c r="DL153" s="222"/>
      <c r="DM153" s="222"/>
      <c r="DN153" s="222"/>
      <c r="DO153" s="222"/>
      <c r="DP153" s="222"/>
      <c r="DQ153" s="222"/>
      <c r="DR153" s="222"/>
      <c r="DS153" s="222"/>
      <c r="DT153" s="222"/>
      <c r="DU153" s="222"/>
      <c r="DV153" s="222"/>
      <c r="DW153" s="222"/>
      <c r="DX153" s="222"/>
      <c r="DY153" s="222"/>
      <c r="DZ153" s="222"/>
      <c r="EA153" s="222"/>
      <c r="EB153" s="222"/>
      <c r="EC153" s="222"/>
      <c r="ED153" s="222"/>
      <c r="EE153" s="222"/>
      <c r="EF153" s="222"/>
      <c r="EG153" s="222"/>
      <c r="EH153" s="222"/>
    </row>
    <row r="154" spans="1:138">
      <c r="A154" s="222"/>
      <c r="B154" s="318"/>
      <c r="C154" s="313" t="s">
        <v>302</v>
      </c>
      <c r="D154" s="326">
        <f>D153+D152</f>
        <v>10682501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2"/>
      <c r="BN154" s="222"/>
      <c r="BO154" s="222"/>
      <c r="BP154" s="222"/>
      <c r="BQ154" s="22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22"/>
      <c r="CO154" s="222"/>
      <c r="CP154" s="222"/>
      <c r="CQ154" s="222"/>
      <c r="CR154" s="222"/>
      <c r="CS154" s="222"/>
      <c r="CT154" s="222"/>
      <c r="CU154" s="222"/>
      <c r="CV154" s="222"/>
      <c r="CW154" s="222"/>
      <c r="CX154" s="222"/>
      <c r="CY154" s="222"/>
      <c r="CZ154" s="222"/>
      <c r="DA154" s="222"/>
      <c r="DB154" s="222"/>
      <c r="DC154" s="222"/>
      <c r="DD154" s="222"/>
      <c r="DE154" s="222"/>
      <c r="DF154" s="222"/>
      <c r="DG154" s="222"/>
      <c r="DH154" s="222"/>
      <c r="DI154" s="222"/>
      <c r="DJ154" s="222"/>
      <c r="DK154" s="222"/>
      <c r="DL154" s="222"/>
      <c r="DM154" s="222"/>
      <c r="DN154" s="222"/>
      <c r="DO154" s="222"/>
      <c r="DP154" s="222"/>
      <c r="DQ154" s="222"/>
      <c r="DR154" s="222"/>
      <c r="DS154" s="222"/>
      <c r="DT154" s="222"/>
      <c r="DU154" s="222"/>
      <c r="DV154" s="222"/>
      <c r="DW154" s="325"/>
      <c r="DX154" s="325"/>
      <c r="DY154" s="325"/>
      <c r="DZ154" s="325"/>
      <c r="EA154" s="325"/>
      <c r="EB154" s="325"/>
      <c r="EC154" s="325"/>
      <c r="ED154" s="325"/>
      <c r="EE154" s="325"/>
      <c r="EF154" s="325"/>
      <c r="EG154" s="325"/>
      <c r="EH154" s="325"/>
    </row>
    <row r="155" spans="1:138">
      <c r="A155" s="222"/>
      <c r="B155" s="318"/>
      <c r="C155" s="313" t="s">
        <v>303</v>
      </c>
      <c r="D155" s="326" t="e">
        <f>BX146+BX147</f>
        <v>#VALUE!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  <c r="BQ155" s="22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22"/>
      <c r="CO155" s="222"/>
      <c r="CP155" s="222"/>
      <c r="CQ155" s="222"/>
      <c r="CR155" s="222"/>
      <c r="CS155" s="222"/>
      <c r="CT155" s="222"/>
      <c r="CU155" s="222"/>
      <c r="CV155" s="222"/>
      <c r="CW155" s="222"/>
      <c r="CX155" s="222"/>
      <c r="CY155" s="222"/>
      <c r="CZ155" s="222"/>
      <c r="DA155" s="222"/>
      <c r="DB155" s="222"/>
      <c r="DC155" s="222"/>
      <c r="DD155" s="222"/>
      <c r="DE155" s="222"/>
      <c r="DF155" s="222"/>
      <c r="DG155" s="222"/>
      <c r="DH155" s="222"/>
      <c r="DI155" s="222"/>
      <c r="DJ155" s="222"/>
      <c r="DK155" s="222"/>
      <c r="DL155" s="222"/>
      <c r="DM155" s="222"/>
      <c r="DN155" s="222"/>
      <c r="DO155" s="222"/>
      <c r="DP155" s="222"/>
      <c r="DQ155" s="222"/>
      <c r="DR155" s="222"/>
      <c r="DS155" s="222"/>
      <c r="DT155" s="222"/>
      <c r="DU155" s="222"/>
      <c r="DV155" s="222"/>
      <c r="DW155" s="325"/>
      <c r="DX155" s="325"/>
      <c r="DY155" s="325"/>
      <c r="DZ155" s="325"/>
      <c r="EA155" s="325"/>
      <c r="EB155" s="325"/>
      <c r="EC155" s="325"/>
      <c r="ED155" s="325"/>
      <c r="EE155" s="325"/>
      <c r="EF155" s="325"/>
      <c r="EG155" s="325"/>
      <c r="EH155" s="325"/>
    </row>
    <row r="156" spans="1:138">
      <c r="A156" s="222"/>
      <c r="B156" s="318"/>
      <c r="C156" s="313" t="s">
        <v>147</v>
      </c>
      <c r="D156" s="322">
        <f>T147/T144</f>
        <v>0.51486070537227191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2"/>
      <c r="BN156" s="222"/>
      <c r="BO156" s="222"/>
      <c r="BP156" s="222"/>
      <c r="BQ156" s="222"/>
      <c r="BR156" s="222"/>
      <c r="BS156" s="222"/>
      <c r="BT156" s="222"/>
      <c r="BU156" s="222"/>
      <c r="BV156" s="222"/>
      <c r="BW156" s="222"/>
      <c r="BX156" s="222"/>
      <c r="BY156" s="222"/>
      <c r="BZ156" s="222"/>
      <c r="CA156" s="222"/>
      <c r="CB156" s="222"/>
      <c r="CC156" s="222"/>
      <c r="CD156" s="222"/>
      <c r="CE156" s="222"/>
      <c r="CF156" s="222"/>
      <c r="CG156" s="222"/>
      <c r="CH156" s="222"/>
      <c r="CI156" s="222"/>
      <c r="CJ156" s="222"/>
      <c r="CK156" s="222"/>
      <c r="CL156" s="222"/>
      <c r="CM156" s="222"/>
      <c r="CN156" s="222"/>
      <c r="CO156" s="222"/>
      <c r="CP156" s="222"/>
      <c r="CQ156" s="222"/>
      <c r="CR156" s="222"/>
      <c r="CS156" s="222"/>
      <c r="CT156" s="222"/>
      <c r="CU156" s="222"/>
      <c r="CV156" s="222"/>
      <c r="CW156" s="222"/>
      <c r="CX156" s="222"/>
      <c r="CY156" s="222"/>
      <c r="CZ156" s="222"/>
      <c r="DA156" s="222"/>
      <c r="DB156" s="222"/>
      <c r="DC156" s="222"/>
      <c r="DD156" s="222"/>
      <c r="DE156" s="222"/>
      <c r="DF156" s="222"/>
      <c r="DG156" s="222"/>
      <c r="DH156" s="222"/>
      <c r="DI156" s="222"/>
      <c r="DJ156" s="222"/>
      <c r="DK156" s="222"/>
      <c r="DL156" s="222"/>
      <c r="DM156" s="222"/>
      <c r="DN156" s="222"/>
      <c r="DO156" s="222"/>
      <c r="DP156" s="222"/>
      <c r="DQ156" s="222"/>
      <c r="DR156" s="222"/>
      <c r="DS156" s="222"/>
      <c r="DT156" s="222"/>
      <c r="DU156" s="222"/>
      <c r="DV156" s="222"/>
      <c r="DW156" s="325"/>
      <c r="DX156" s="325"/>
      <c r="DY156" s="325"/>
      <c r="DZ156" s="325"/>
      <c r="EA156" s="325"/>
      <c r="EB156" s="325"/>
      <c r="EC156" s="325"/>
      <c r="ED156" s="325"/>
      <c r="EE156" s="325"/>
      <c r="EF156" s="325"/>
      <c r="EG156" s="325"/>
      <c r="EH156" s="325"/>
    </row>
    <row r="159" spans="1:138">
      <c r="A159" s="222"/>
      <c r="B159" s="318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2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2"/>
      <c r="BK159" s="222"/>
      <c r="BL159" s="222"/>
      <c r="BM159" s="222"/>
      <c r="BN159" s="222"/>
      <c r="BO159" s="222"/>
      <c r="BP159" s="222"/>
      <c r="BQ159" s="222"/>
      <c r="BR159" s="222"/>
      <c r="BS159" s="222"/>
      <c r="BT159" s="222"/>
      <c r="BU159" s="222"/>
      <c r="BV159" s="222"/>
      <c r="BW159" s="222"/>
      <c r="BX159" s="222"/>
      <c r="BY159" s="222"/>
      <c r="BZ159" s="222"/>
      <c r="CA159" s="222"/>
      <c r="CB159" s="222"/>
      <c r="CC159" s="222"/>
      <c r="CD159" s="222"/>
      <c r="CE159" s="222"/>
      <c r="CF159" s="222"/>
      <c r="CG159" s="222"/>
      <c r="CH159" s="222"/>
      <c r="CI159" s="222"/>
      <c r="CJ159" s="222"/>
      <c r="CK159" s="222"/>
      <c r="CL159" s="222"/>
      <c r="CM159" s="222"/>
      <c r="CN159" s="222"/>
      <c r="CO159" s="222"/>
      <c r="CP159" s="222"/>
      <c r="CQ159" s="222"/>
      <c r="CR159" s="222"/>
      <c r="CS159" s="222"/>
      <c r="CT159" s="222"/>
      <c r="CU159" s="222"/>
      <c r="CV159" s="222"/>
      <c r="CW159" s="222"/>
      <c r="CX159" s="222"/>
      <c r="CY159" s="222"/>
      <c r="CZ159" s="222"/>
      <c r="DA159" s="222"/>
      <c r="DB159" s="222"/>
      <c r="DC159" s="222"/>
      <c r="DD159" s="222"/>
      <c r="DE159" s="222"/>
      <c r="DF159" s="222"/>
      <c r="DG159" s="222"/>
      <c r="DH159" s="222"/>
      <c r="DI159" s="222"/>
      <c r="DJ159" s="222"/>
      <c r="DK159" s="222"/>
      <c r="DL159" s="222"/>
      <c r="DM159" s="222"/>
      <c r="DN159" s="222"/>
      <c r="DO159" s="222"/>
      <c r="DP159" s="222"/>
      <c r="DQ159" s="222"/>
      <c r="DR159" s="222"/>
      <c r="DS159" s="222"/>
      <c r="DT159" s="222"/>
      <c r="DU159" s="222"/>
      <c r="DV159" s="222"/>
      <c r="DW159" s="325"/>
      <c r="DX159" s="325"/>
      <c r="DY159" s="325"/>
      <c r="DZ159" s="325"/>
      <c r="EA159" s="325"/>
      <c r="EB159" s="325"/>
      <c r="EC159" s="325"/>
      <c r="ED159" s="325"/>
      <c r="EE159" s="325"/>
      <c r="EF159" s="325"/>
      <c r="EG159" s="325"/>
      <c r="EH159" s="325"/>
    </row>
    <row r="160" spans="1:138">
      <c r="A160" s="222"/>
      <c r="B160" s="318"/>
      <c r="C160" s="310" t="s">
        <v>308</v>
      </c>
      <c r="D160" s="311"/>
      <c r="E160" s="311">
        <f t="shared" ref="E160:G160" si="48">-(E7+E91)</f>
        <v>0</v>
      </c>
      <c r="F160" s="311">
        <f t="shared" si="48"/>
        <v>0</v>
      </c>
      <c r="G160" s="311">
        <f t="shared" si="48"/>
        <v>0</v>
      </c>
      <c r="H160" s="311">
        <f>-5341205.5</f>
        <v>-5341205.5</v>
      </c>
      <c r="I160" s="311">
        <f t="shared" ref="I160:S160" si="49">-(I7+I91)</f>
        <v>0</v>
      </c>
      <c r="J160" s="311">
        <f t="shared" si="49"/>
        <v>0</v>
      </c>
      <c r="K160" s="311">
        <f t="shared" si="49"/>
        <v>0</v>
      </c>
      <c r="L160" s="311">
        <f t="shared" si="49"/>
        <v>0</v>
      </c>
      <c r="M160" s="311">
        <f t="shared" si="49"/>
        <v>0</v>
      </c>
      <c r="N160" s="311">
        <f t="shared" si="49"/>
        <v>0</v>
      </c>
      <c r="O160" s="311">
        <f t="shared" si="49"/>
        <v>0</v>
      </c>
      <c r="P160" s="311">
        <f t="shared" si="49"/>
        <v>0</v>
      </c>
      <c r="Q160" s="311">
        <f t="shared" si="49"/>
        <v>0</v>
      </c>
      <c r="R160" s="311">
        <f t="shared" si="49"/>
        <v>0</v>
      </c>
      <c r="S160" s="311">
        <f t="shared" si="49"/>
        <v>0</v>
      </c>
      <c r="T160" s="311">
        <f>5341205.5</f>
        <v>5341205.5</v>
      </c>
      <c r="U160" s="311">
        <f t="shared" ref="U160:BX160" si="50">-(U7+U91)</f>
        <v>0</v>
      </c>
      <c r="V160" s="311">
        <f t="shared" si="50"/>
        <v>0</v>
      </c>
      <c r="W160" s="311">
        <f t="shared" si="50"/>
        <v>0</v>
      </c>
      <c r="X160" s="311">
        <f t="shared" si="50"/>
        <v>0</v>
      </c>
      <c r="Y160" s="311">
        <f t="shared" si="50"/>
        <v>0</v>
      </c>
      <c r="Z160" s="311">
        <f t="shared" si="50"/>
        <v>0</v>
      </c>
      <c r="AA160" s="311">
        <f t="shared" si="50"/>
        <v>0</v>
      </c>
      <c r="AB160" s="311">
        <f t="shared" si="50"/>
        <v>0</v>
      </c>
      <c r="AC160" s="311">
        <f t="shared" si="50"/>
        <v>0</v>
      </c>
      <c r="AD160" s="311">
        <f t="shared" si="50"/>
        <v>0</v>
      </c>
      <c r="AE160" s="311">
        <f t="shared" si="50"/>
        <v>0</v>
      </c>
      <c r="AF160" s="311">
        <f t="shared" si="50"/>
        <v>0</v>
      </c>
      <c r="AG160" s="311">
        <f t="shared" si="50"/>
        <v>0</v>
      </c>
      <c r="AH160" s="311">
        <f t="shared" si="50"/>
        <v>0</v>
      </c>
      <c r="AI160" s="311">
        <f t="shared" si="50"/>
        <v>0</v>
      </c>
      <c r="AJ160" s="311">
        <f t="shared" si="50"/>
        <v>0</v>
      </c>
      <c r="AK160" s="311">
        <f t="shared" si="50"/>
        <v>0</v>
      </c>
      <c r="AL160" s="311">
        <f t="shared" si="50"/>
        <v>0</v>
      </c>
      <c r="AM160" s="311">
        <f t="shared" si="50"/>
        <v>0</v>
      </c>
      <c r="AN160" s="311">
        <f t="shared" si="50"/>
        <v>0</v>
      </c>
      <c r="AO160" s="311">
        <f t="shared" si="50"/>
        <v>0</v>
      </c>
      <c r="AP160" s="311">
        <f t="shared" si="50"/>
        <v>0</v>
      </c>
      <c r="AQ160" s="311">
        <f t="shared" si="50"/>
        <v>0</v>
      </c>
      <c r="AR160" s="311">
        <f t="shared" si="50"/>
        <v>0</v>
      </c>
      <c r="AS160" s="311">
        <f t="shared" si="50"/>
        <v>0</v>
      </c>
      <c r="AT160" s="311">
        <f t="shared" si="50"/>
        <v>0</v>
      </c>
      <c r="AU160" s="311">
        <f t="shared" si="50"/>
        <v>0</v>
      </c>
      <c r="AV160" s="311">
        <f t="shared" si="50"/>
        <v>0</v>
      </c>
      <c r="AW160" s="311">
        <f t="shared" si="50"/>
        <v>0</v>
      </c>
      <c r="AX160" s="311">
        <f t="shared" si="50"/>
        <v>0</v>
      </c>
      <c r="AY160" s="311">
        <f t="shared" si="50"/>
        <v>0</v>
      </c>
      <c r="AZ160" s="311">
        <f t="shared" si="50"/>
        <v>0</v>
      </c>
      <c r="BA160" s="311">
        <f t="shared" si="50"/>
        <v>0</v>
      </c>
      <c r="BB160" s="311">
        <f t="shared" si="50"/>
        <v>0</v>
      </c>
      <c r="BC160" s="311">
        <f t="shared" si="50"/>
        <v>0</v>
      </c>
      <c r="BD160" s="311">
        <f t="shared" si="50"/>
        <v>0</v>
      </c>
      <c r="BE160" s="311">
        <f t="shared" si="50"/>
        <v>0</v>
      </c>
      <c r="BF160" s="311">
        <f t="shared" si="50"/>
        <v>0</v>
      </c>
      <c r="BG160" s="311">
        <f t="shared" si="50"/>
        <v>0</v>
      </c>
      <c r="BH160" s="311">
        <f t="shared" si="50"/>
        <v>0</v>
      </c>
      <c r="BI160" s="311">
        <f t="shared" si="50"/>
        <v>0</v>
      </c>
      <c r="BJ160" s="311">
        <f t="shared" si="50"/>
        <v>0</v>
      </c>
      <c r="BK160" s="311">
        <f t="shared" si="50"/>
        <v>0</v>
      </c>
      <c r="BL160" s="311">
        <f t="shared" si="50"/>
        <v>0</v>
      </c>
      <c r="BM160" s="311">
        <f t="shared" si="50"/>
        <v>0</v>
      </c>
      <c r="BN160" s="311">
        <f t="shared" si="50"/>
        <v>0</v>
      </c>
      <c r="BO160" s="311">
        <f t="shared" si="50"/>
        <v>0</v>
      </c>
      <c r="BP160" s="311">
        <f t="shared" si="50"/>
        <v>0</v>
      </c>
      <c r="BQ160" s="311">
        <f t="shared" si="50"/>
        <v>0</v>
      </c>
      <c r="BR160" s="311">
        <f t="shared" si="50"/>
        <v>0</v>
      </c>
      <c r="BS160" s="311">
        <f t="shared" si="50"/>
        <v>0</v>
      </c>
      <c r="BT160" s="311">
        <f t="shared" si="50"/>
        <v>0</v>
      </c>
      <c r="BU160" s="311">
        <f t="shared" si="50"/>
        <v>0</v>
      </c>
      <c r="BV160" s="311">
        <f t="shared" si="50"/>
        <v>0</v>
      </c>
      <c r="BW160" s="311">
        <f t="shared" si="50"/>
        <v>0</v>
      </c>
      <c r="BX160" s="311">
        <f t="shared" si="50"/>
        <v>0</v>
      </c>
      <c r="BY160" s="222"/>
      <c r="BZ160" s="222"/>
      <c r="CA160" s="222"/>
      <c r="CB160" s="222"/>
      <c r="CC160" s="222"/>
      <c r="CD160" s="222"/>
      <c r="CE160" s="222"/>
      <c r="CF160" s="222"/>
      <c r="CG160" s="222"/>
      <c r="CH160" s="222"/>
      <c r="CI160" s="222"/>
      <c r="CJ160" s="222"/>
      <c r="CK160" s="222"/>
      <c r="CL160" s="222"/>
      <c r="CM160" s="222"/>
      <c r="CN160" s="222"/>
      <c r="CO160" s="222"/>
      <c r="CP160" s="222"/>
      <c r="CQ160" s="222"/>
      <c r="CR160" s="222"/>
      <c r="CS160" s="222"/>
      <c r="CT160" s="222"/>
      <c r="CU160" s="222"/>
      <c r="CV160" s="222"/>
      <c r="CW160" s="222"/>
      <c r="CX160" s="222"/>
      <c r="CY160" s="222"/>
      <c r="CZ160" s="222"/>
      <c r="DA160" s="222"/>
      <c r="DB160" s="222"/>
      <c r="DC160" s="222"/>
      <c r="DD160" s="222"/>
      <c r="DE160" s="222"/>
      <c r="DF160" s="222"/>
      <c r="DG160" s="222"/>
      <c r="DH160" s="222"/>
      <c r="DI160" s="222"/>
      <c r="DJ160" s="222"/>
      <c r="DK160" s="222"/>
      <c r="DL160" s="222"/>
      <c r="DM160" s="222"/>
      <c r="DN160" s="222"/>
      <c r="DO160" s="222"/>
      <c r="DP160" s="222"/>
      <c r="DQ160" s="222"/>
      <c r="DR160" s="222"/>
      <c r="DS160" s="222"/>
      <c r="DT160" s="222"/>
      <c r="DU160" s="222"/>
      <c r="DV160" s="222"/>
      <c r="DW160" s="325"/>
      <c r="DX160" s="325"/>
      <c r="DY160" s="325"/>
      <c r="DZ160" s="325"/>
      <c r="EA160" s="325"/>
      <c r="EB160" s="325"/>
      <c r="EC160" s="325"/>
      <c r="ED160" s="325"/>
      <c r="EE160" s="325"/>
      <c r="EF160" s="325"/>
      <c r="EG160" s="325"/>
      <c r="EH160" s="325"/>
    </row>
    <row r="161" spans="1:138">
      <c r="A161" s="222"/>
      <c r="B161" s="318"/>
      <c r="C161" s="310" t="s">
        <v>305</v>
      </c>
      <c r="D161" s="319"/>
      <c r="E161" s="311"/>
      <c r="F161" s="311"/>
      <c r="G161" s="311"/>
      <c r="H161" s="311"/>
      <c r="I161" s="311"/>
      <c r="J161" s="311"/>
      <c r="K161" s="311"/>
      <c r="L161" s="311"/>
      <c r="M161" s="311"/>
      <c r="N161" s="311"/>
      <c r="O161" s="311"/>
      <c r="P161" s="311"/>
      <c r="Q161" s="311"/>
      <c r="R161" s="311"/>
      <c r="S161" s="311"/>
      <c r="T161" s="311"/>
      <c r="U161" s="311"/>
      <c r="V161" s="311"/>
      <c r="W161" s="311"/>
      <c r="X161" s="311"/>
      <c r="Y161" s="311"/>
      <c r="Z161" s="311"/>
      <c r="AA161" s="311"/>
      <c r="AB161" s="311"/>
      <c r="AC161" s="311"/>
      <c r="AD161" s="311"/>
      <c r="AE161" s="311"/>
      <c r="AF161" s="311"/>
      <c r="AG161" s="311"/>
      <c r="AH161" s="311"/>
      <c r="AI161" s="311"/>
      <c r="AJ161" s="311"/>
      <c r="AK161" s="311"/>
      <c r="AL161" s="311"/>
      <c r="AM161" s="311"/>
      <c r="AN161" s="311"/>
      <c r="AO161" s="311"/>
      <c r="AP161" s="311"/>
      <c r="AQ161" s="311"/>
      <c r="AR161" s="311"/>
      <c r="AS161" s="311"/>
      <c r="AT161" s="311"/>
      <c r="AU161" s="311"/>
      <c r="AV161" s="311"/>
      <c r="AW161" s="311"/>
      <c r="AX161" s="311"/>
      <c r="AY161" s="311"/>
      <c r="AZ161" s="311"/>
      <c r="BA161" s="311"/>
      <c r="BB161" s="311"/>
      <c r="BC161" s="311"/>
      <c r="BD161" s="311"/>
      <c r="BE161" s="311"/>
      <c r="BF161" s="311"/>
      <c r="BG161" s="311"/>
      <c r="BH161" s="311"/>
      <c r="BI161" s="311"/>
      <c r="BJ161" s="311"/>
      <c r="BK161" s="311"/>
      <c r="BL161" s="311"/>
      <c r="BM161" s="311"/>
      <c r="BN161" s="311"/>
      <c r="BO161" s="311"/>
      <c r="BP161" s="311"/>
      <c r="BQ161" s="311"/>
      <c r="BR161" s="311"/>
      <c r="BS161" s="311"/>
      <c r="BT161" s="311"/>
      <c r="BU161" s="311"/>
      <c r="BV161" s="311"/>
      <c r="BW161" s="311"/>
      <c r="BX161" s="311"/>
      <c r="BY161" s="222"/>
      <c r="BZ161" s="222"/>
      <c r="CA161" s="222"/>
      <c r="CB161" s="222"/>
      <c r="CC161" s="222"/>
      <c r="CD161" s="222"/>
      <c r="CE161" s="222"/>
      <c r="CF161" s="222"/>
      <c r="CG161" s="222"/>
      <c r="CH161" s="222"/>
      <c r="CI161" s="222"/>
      <c r="CJ161" s="222"/>
      <c r="CK161" s="222"/>
      <c r="CL161" s="222"/>
      <c r="CM161" s="222"/>
      <c r="CN161" s="222"/>
      <c r="CO161" s="222"/>
      <c r="CP161" s="222"/>
      <c r="CQ161" s="222"/>
      <c r="CR161" s="222"/>
      <c r="CS161" s="222"/>
      <c r="CT161" s="222"/>
      <c r="CU161" s="222"/>
      <c r="CV161" s="222"/>
      <c r="CW161" s="222"/>
      <c r="CX161" s="222"/>
      <c r="CY161" s="222"/>
      <c r="CZ161" s="222"/>
      <c r="DA161" s="222"/>
      <c r="DB161" s="222"/>
      <c r="DC161" s="222"/>
      <c r="DD161" s="222"/>
      <c r="DE161" s="222"/>
      <c r="DF161" s="222"/>
      <c r="DG161" s="222"/>
      <c r="DH161" s="222"/>
      <c r="DI161" s="222"/>
      <c r="DJ161" s="222"/>
      <c r="DK161" s="222"/>
      <c r="DL161" s="222"/>
      <c r="DM161" s="222"/>
      <c r="DN161" s="222"/>
      <c r="DO161" s="222"/>
      <c r="DP161" s="222"/>
      <c r="DQ161" s="222"/>
      <c r="DR161" s="222"/>
      <c r="DS161" s="222"/>
      <c r="DT161" s="222"/>
      <c r="DU161" s="222"/>
      <c r="DV161" s="222"/>
      <c r="DW161" s="325"/>
      <c r="DX161" s="325"/>
      <c r="DY161" s="325"/>
      <c r="DZ161" s="325"/>
      <c r="EA161" s="325"/>
      <c r="EB161" s="325"/>
      <c r="EC161" s="325"/>
      <c r="ED161" s="325"/>
      <c r="EE161" s="325"/>
      <c r="EF161" s="325"/>
      <c r="EG161" s="325"/>
      <c r="EH161" s="325"/>
    </row>
    <row r="162" spans="1:138">
      <c r="A162" s="222"/>
      <c r="B162" s="318"/>
      <c r="C162" s="310" t="s">
        <v>296</v>
      </c>
      <c r="D162" s="319"/>
      <c r="E162" s="311">
        <f t="shared" ref="E162:BX162" si="51">-E56</f>
        <v>0</v>
      </c>
      <c r="F162" s="311">
        <f t="shared" si="51"/>
        <v>0</v>
      </c>
      <c r="G162" s="311">
        <f t="shared" si="51"/>
        <v>0</v>
      </c>
      <c r="H162" s="311">
        <f t="shared" si="51"/>
        <v>0</v>
      </c>
      <c r="I162" s="311">
        <f t="shared" si="51"/>
        <v>0</v>
      </c>
      <c r="J162" s="311">
        <f t="shared" si="51"/>
        <v>0</v>
      </c>
      <c r="K162" s="311">
        <f t="shared" si="51"/>
        <v>0</v>
      </c>
      <c r="L162" s="311">
        <f t="shared" si="51"/>
        <v>0</v>
      </c>
      <c r="M162" s="311">
        <f t="shared" si="51"/>
        <v>0</v>
      </c>
      <c r="N162" s="311">
        <f t="shared" si="51"/>
        <v>0</v>
      </c>
      <c r="O162" s="311">
        <f t="shared" si="51"/>
        <v>0</v>
      </c>
      <c r="P162" s="311">
        <f t="shared" si="51"/>
        <v>0</v>
      </c>
      <c r="Q162" s="311">
        <f t="shared" si="51"/>
        <v>0</v>
      </c>
      <c r="R162" s="311">
        <f t="shared" si="51"/>
        <v>0</v>
      </c>
      <c r="S162" s="311">
        <f t="shared" si="51"/>
        <v>0</v>
      </c>
      <c r="T162" s="311">
        <f t="shared" si="51"/>
        <v>0</v>
      </c>
      <c r="U162" s="311">
        <f t="shared" si="51"/>
        <v>0</v>
      </c>
      <c r="V162" s="311">
        <f t="shared" si="51"/>
        <v>0</v>
      </c>
      <c r="W162" s="311">
        <f t="shared" si="51"/>
        <v>0</v>
      </c>
      <c r="X162" s="311">
        <f t="shared" si="51"/>
        <v>0</v>
      </c>
      <c r="Y162" s="311">
        <f t="shared" si="51"/>
        <v>0</v>
      </c>
      <c r="Z162" s="311">
        <f t="shared" si="51"/>
        <v>0</v>
      </c>
      <c r="AA162" s="311">
        <f t="shared" si="51"/>
        <v>0</v>
      </c>
      <c r="AB162" s="311">
        <f t="shared" si="51"/>
        <v>0</v>
      </c>
      <c r="AC162" s="311">
        <f t="shared" si="51"/>
        <v>0</v>
      </c>
      <c r="AD162" s="311">
        <f t="shared" si="51"/>
        <v>0</v>
      </c>
      <c r="AE162" s="311">
        <f t="shared" si="51"/>
        <v>0</v>
      </c>
      <c r="AF162" s="311">
        <f t="shared" si="51"/>
        <v>0</v>
      </c>
      <c r="AG162" s="311">
        <f t="shared" si="51"/>
        <v>0</v>
      </c>
      <c r="AH162" s="311">
        <f t="shared" si="51"/>
        <v>0</v>
      </c>
      <c r="AI162" s="311">
        <f t="shared" si="51"/>
        <v>0</v>
      </c>
      <c r="AJ162" s="311">
        <f t="shared" si="51"/>
        <v>0</v>
      </c>
      <c r="AK162" s="311">
        <f t="shared" si="51"/>
        <v>0</v>
      </c>
      <c r="AL162" s="311">
        <f t="shared" si="51"/>
        <v>0</v>
      </c>
      <c r="AM162" s="311">
        <f t="shared" si="51"/>
        <v>0</v>
      </c>
      <c r="AN162" s="311">
        <f t="shared" si="51"/>
        <v>0</v>
      </c>
      <c r="AO162" s="311">
        <f t="shared" si="51"/>
        <v>0</v>
      </c>
      <c r="AP162" s="311">
        <f t="shared" si="51"/>
        <v>0</v>
      </c>
      <c r="AQ162" s="311">
        <f t="shared" si="51"/>
        <v>0</v>
      </c>
      <c r="AR162" s="311">
        <f t="shared" si="51"/>
        <v>0</v>
      </c>
      <c r="AS162" s="311">
        <f t="shared" si="51"/>
        <v>0</v>
      </c>
      <c r="AT162" s="311">
        <f t="shared" si="51"/>
        <v>0</v>
      </c>
      <c r="AU162" s="311">
        <f t="shared" si="51"/>
        <v>0</v>
      </c>
      <c r="AV162" s="311">
        <f t="shared" si="51"/>
        <v>0</v>
      </c>
      <c r="AW162" s="311">
        <f t="shared" si="51"/>
        <v>0</v>
      </c>
      <c r="AX162" s="311">
        <f t="shared" si="51"/>
        <v>0</v>
      </c>
      <c r="AY162" s="311">
        <f t="shared" si="51"/>
        <v>0</v>
      </c>
      <c r="AZ162" s="311">
        <f t="shared" si="51"/>
        <v>0</v>
      </c>
      <c r="BA162" s="311">
        <f t="shared" si="51"/>
        <v>0</v>
      </c>
      <c r="BB162" s="311">
        <f t="shared" si="51"/>
        <v>0</v>
      </c>
      <c r="BC162" s="311">
        <f t="shared" si="51"/>
        <v>0</v>
      </c>
      <c r="BD162" s="311">
        <f t="shared" si="51"/>
        <v>0</v>
      </c>
      <c r="BE162" s="311">
        <f t="shared" si="51"/>
        <v>0</v>
      </c>
      <c r="BF162" s="311">
        <f t="shared" si="51"/>
        <v>0</v>
      </c>
      <c r="BG162" s="311">
        <f t="shared" si="51"/>
        <v>0</v>
      </c>
      <c r="BH162" s="311">
        <f t="shared" si="51"/>
        <v>0</v>
      </c>
      <c r="BI162" s="311">
        <f t="shared" si="51"/>
        <v>0</v>
      </c>
      <c r="BJ162" s="311">
        <f t="shared" si="51"/>
        <v>0</v>
      </c>
      <c r="BK162" s="311">
        <f t="shared" si="51"/>
        <v>0</v>
      </c>
      <c r="BL162" s="311">
        <f t="shared" si="51"/>
        <v>0</v>
      </c>
      <c r="BM162" s="311">
        <f t="shared" si="51"/>
        <v>0</v>
      </c>
      <c r="BN162" s="311">
        <f t="shared" si="51"/>
        <v>0</v>
      </c>
      <c r="BO162" s="311">
        <f t="shared" si="51"/>
        <v>0</v>
      </c>
      <c r="BP162" s="311">
        <f t="shared" si="51"/>
        <v>0</v>
      </c>
      <c r="BQ162" s="311">
        <f t="shared" si="51"/>
        <v>0</v>
      </c>
      <c r="BR162" s="311">
        <f t="shared" si="51"/>
        <v>0</v>
      </c>
      <c r="BS162" s="311">
        <f t="shared" si="51"/>
        <v>0</v>
      </c>
      <c r="BT162" s="311">
        <f t="shared" si="51"/>
        <v>0</v>
      </c>
      <c r="BU162" s="311">
        <f t="shared" si="51"/>
        <v>0</v>
      </c>
      <c r="BV162" s="311">
        <f t="shared" si="51"/>
        <v>0</v>
      </c>
      <c r="BW162" s="311">
        <f t="shared" si="51"/>
        <v>0</v>
      </c>
      <c r="BX162" s="311">
        <f t="shared" si="51"/>
        <v>0</v>
      </c>
      <c r="BY162" s="222"/>
      <c r="BZ162" s="222"/>
      <c r="CA162" s="222"/>
      <c r="CB162" s="222"/>
      <c r="CC162" s="222"/>
      <c r="CD162" s="222"/>
      <c r="CE162" s="222"/>
      <c r="CF162" s="222"/>
      <c r="CG162" s="222"/>
      <c r="CH162" s="222"/>
      <c r="CI162" s="222"/>
      <c r="CJ162" s="222"/>
      <c r="CK162" s="222"/>
      <c r="CL162" s="222"/>
      <c r="CM162" s="222"/>
      <c r="CN162" s="222"/>
      <c r="CO162" s="222"/>
      <c r="CP162" s="222"/>
      <c r="CQ162" s="222"/>
      <c r="CR162" s="222"/>
      <c r="CS162" s="222"/>
      <c r="CT162" s="222"/>
      <c r="CU162" s="222"/>
      <c r="CV162" s="222"/>
      <c r="CW162" s="222"/>
      <c r="CX162" s="222"/>
      <c r="CY162" s="222"/>
      <c r="CZ162" s="222"/>
      <c r="DA162" s="222"/>
      <c r="DB162" s="222"/>
      <c r="DC162" s="222"/>
      <c r="DD162" s="222"/>
      <c r="DE162" s="222"/>
      <c r="DF162" s="222"/>
      <c r="DG162" s="222"/>
      <c r="DH162" s="222"/>
      <c r="DI162" s="222"/>
      <c r="DJ162" s="222"/>
      <c r="DK162" s="222"/>
      <c r="DL162" s="222"/>
      <c r="DM162" s="222"/>
      <c r="DN162" s="222"/>
      <c r="DO162" s="222"/>
      <c r="DP162" s="222"/>
      <c r="DQ162" s="222"/>
      <c r="DR162" s="222"/>
      <c r="DS162" s="222"/>
      <c r="DT162" s="222"/>
      <c r="DU162" s="222"/>
      <c r="DV162" s="222"/>
      <c r="DW162" s="325"/>
      <c r="DX162" s="325"/>
      <c r="DY162" s="325"/>
      <c r="DZ162" s="325"/>
      <c r="EA162" s="325"/>
      <c r="EB162" s="325"/>
      <c r="EC162" s="325"/>
      <c r="ED162" s="325"/>
      <c r="EE162" s="325"/>
      <c r="EF162" s="325"/>
      <c r="EG162" s="325"/>
      <c r="EH162" s="325"/>
    </row>
    <row r="163" spans="1:138">
      <c r="A163" s="222"/>
      <c r="B163" s="318"/>
      <c r="C163" s="310" t="s">
        <v>297</v>
      </c>
      <c r="D163" s="319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>
        <v>2750000</v>
      </c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 t="e">
        <f>IF(D103&gt;0.25,(BX98-BX106)*D164,BX98*D164)</f>
        <v>#VALUE!</v>
      </c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  <c r="CJ163" s="222"/>
      <c r="CK163" s="222"/>
      <c r="CL163" s="222"/>
      <c r="CM163" s="222"/>
      <c r="CN163" s="222"/>
      <c r="CO163" s="222"/>
      <c r="CP163" s="222"/>
      <c r="CQ163" s="222"/>
      <c r="CR163" s="222"/>
      <c r="CS163" s="222"/>
      <c r="CT163" s="222"/>
      <c r="CU163" s="222"/>
      <c r="CV163" s="222"/>
      <c r="CW163" s="222"/>
      <c r="CX163" s="222"/>
      <c r="CY163" s="222"/>
      <c r="CZ163" s="222"/>
      <c r="DA163" s="222"/>
      <c r="DB163" s="222"/>
      <c r="DC163" s="222"/>
      <c r="DD163" s="222"/>
      <c r="DE163" s="222"/>
      <c r="DF163" s="222"/>
      <c r="DG163" s="222"/>
      <c r="DH163" s="222"/>
      <c r="DI163" s="222"/>
      <c r="DJ163" s="222"/>
      <c r="DK163" s="222"/>
      <c r="DL163" s="222"/>
      <c r="DM163" s="222"/>
      <c r="DN163" s="222"/>
      <c r="DO163" s="222"/>
      <c r="DP163" s="222"/>
      <c r="DQ163" s="222"/>
      <c r="DR163" s="222"/>
      <c r="DS163" s="222"/>
      <c r="DT163" s="222"/>
      <c r="DU163" s="222"/>
      <c r="DV163" s="222"/>
      <c r="DW163" s="325"/>
      <c r="DX163" s="325"/>
      <c r="DY163" s="325"/>
      <c r="DZ163" s="325"/>
      <c r="EA163" s="325"/>
      <c r="EB163" s="325"/>
      <c r="EC163" s="325"/>
      <c r="ED163" s="325"/>
      <c r="EE163" s="325"/>
      <c r="EF163" s="325"/>
      <c r="EG163" s="325"/>
      <c r="EH163" s="325"/>
    </row>
    <row r="164" spans="1:138">
      <c r="A164" s="222"/>
      <c r="B164" s="318"/>
      <c r="C164" s="313" t="s">
        <v>298</v>
      </c>
      <c r="D164" s="319">
        <v>0</v>
      </c>
      <c r="E164" s="242"/>
      <c r="F164" s="242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2"/>
      <c r="V164" s="242"/>
      <c r="W164" s="242"/>
      <c r="X164" s="242"/>
      <c r="Y164" s="242"/>
      <c r="Z164" s="242"/>
      <c r="AA164" s="242"/>
      <c r="AB164" s="242"/>
      <c r="AC164" s="242"/>
      <c r="AD164" s="242"/>
      <c r="AE164" s="242"/>
      <c r="AF164" s="242"/>
      <c r="AG164" s="242"/>
      <c r="AH164" s="242"/>
      <c r="AI164" s="242"/>
      <c r="AJ164" s="242"/>
      <c r="AK164" s="242"/>
      <c r="AL164" s="242"/>
      <c r="AM164" s="242"/>
      <c r="AN164" s="242"/>
      <c r="AO164" s="242"/>
      <c r="AP164" s="242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22"/>
      <c r="BZ164" s="222"/>
      <c r="CA164" s="222"/>
      <c r="CB164" s="222"/>
      <c r="CC164" s="222"/>
      <c r="CD164" s="222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2"/>
      <c r="CV164" s="222"/>
      <c r="CW164" s="222"/>
      <c r="CX164" s="222"/>
      <c r="CY164" s="222"/>
      <c r="CZ164" s="222"/>
      <c r="DA164" s="222"/>
      <c r="DB164" s="222"/>
      <c r="DC164" s="222"/>
      <c r="DD164" s="222"/>
      <c r="DE164" s="222"/>
      <c r="DF164" s="222"/>
      <c r="DG164" s="222"/>
      <c r="DH164" s="222"/>
      <c r="DI164" s="222"/>
      <c r="DJ164" s="222"/>
      <c r="DK164" s="222"/>
      <c r="DL164" s="222"/>
      <c r="DM164" s="222"/>
      <c r="DN164" s="222"/>
      <c r="DO164" s="222"/>
      <c r="DP164" s="222"/>
      <c r="DQ164" s="222"/>
      <c r="DR164" s="222"/>
      <c r="DS164" s="222"/>
      <c r="DT164" s="222"/>
      <c r="DU164" s="222"/>
      <c r="DV164" s="222"/>
      <c r="DW164" s="325"/>
      <c r="DX164" s="325"/>
      <c r="DY164" s="325"/>
      <c r="DZ164" s="325"/>
      <c r="EA164" s="325"/>
      <c r="EB164" s="325"/>
      <c r="EC164" s="325"/>
      <c r="ED164" s="325"/>
      <c r="EE164" s="325"/>
      <c r="EF164" s="325"/>
      <c r="EG164" s="325"/>
      <c r="EH164" s="325"/>
    </row>
    <row r="165" spans="1:138">
      <c r="A165" s="222"/>
      <c r="B165" s="318"/>
      <c r="C165" s="310" t="s">
        <v>299</v>
      </c>
      <c r="D165" s="311"/>
      <c r="E165" s="321">
        <f t="shared" ref="E165:BX165" si="52">E160+E161+E162+E163+E164</f>
        <v>0</v>
      </c>
      <c r="F165" s="321">
        <f t="shared" si="52"/>
        <v>0</v>
      </c>
      <c r="G165" s="321">
        <f t="shared" si="52"/>
        <v>0</v>
      </c>
      <c r="H165" s="321">
        <f t="shared" si="52"/>
        <v>-5341205.5</v>
      </c>
      <c r="I165" s="321">
        <f t="shared" si="52"/>
        <v>0</v>
      </c>
      <c r="J165" s="321">
        <f t="shared" si="52"/>
        <v>0</v>
      </c>
      <c r="K165" s="321">
        <f t="shared" si="52"/>
        <v>0</v>
      </c>
      <c r="L165" s="321">
        <f t="shared" si="52"/>
        <v>0</v>
      </c>
      <c r="M165" s="321">
        <f t="shared" si="52"/>
        <v>0</v>
      </c>
      <c r="N165" s="321">
        <f t="shared" si="52"/>
        <v>0</v>
      </c>
      <c r="O165" s="321">
        <f t="shared" si="52"/>
        <v>0</v>
      </c>
      <c r="P165" s="321">
        <f t="shared" si="52"/>
        <v>0</v>
      </c>
      <c r="Q165" s="321">
        <f t="shared" si="52"/>
        <v>0</v>
      </c>
      <c r="R165" s="321">
        <f t="shared" si="52"/>
        <v>0</v>
      </c>
      <c r="S165" s="321">
        <f t="shared" si="52"/>
        <v>0</v>
      </c>
      <c r="T165" s="321">
        <f t="shared" si="52"/>
        <v>8091205.5</v>
      </c>
      <c r="U165" s="321">
        <f t="shared" si="52"/>
        <v>0</v>
      </c>
      <c r="V165" s="321">
        <f t="shared" si="52"/>
        <v>0</v>
      </c>
      <c r="W165" s="321">
        <f t="shared" si="52"/>
        <v>0</v>
      </c>
      <c r="X165" s="321">
        <f t="shared" si="52"/>
        <v>0</v>
      </c>
      <c r="Y165" s="321">
        <f t="shared" si="52"/>
        <v>0</v>
      </c>
      <c r="Z165" s="321">
        <f t="shared" si="52"/>
        <v>0</v>
      </c>
      <c r="AA165" s="321">
        <f t="shared" si="52"/>
        <v>0</v>
      </c>
      <c r="AB165" s="321">
        <f t="shared" si="52"/>
        <v>0</v>
      </c>
      <c r="AC165" s="321">
        <f t="shared" si="52"/>
        <v>0</v>
      </c>
      <c r="AD165" s="321">
        <f t="shared" si="52"/>
        <v>0</v>
      </c>
      <c r="AE165" s="321">
        <f t="shared" si="52"/>
        <v>0</v>
      </c>
      <c r="AF165" s="321">
        <f t="shared" si="52"/>
        <v>0</v>
      </c>
      <c r="AG165" s="321">
        <f t="shared" si="52"/>
        <v>0</v>
      </c>
      <c r="AH165" s="321">
        <f t="shared" si="52"/>
        <v>0</v>
      </c>
      <c r="AI165" s="321">
        <f t="shared" si="52"/>
        <v>0</v>
      </c>
      <c r="AJ165" s="321">
        <f t="shared" si="52"/>
        <v>0</v>
      </c>
      <c r="AK165" s="321">
        <f t="shared" si="52"/>
        <v>0</v>
      </c>
      <c r="AL165" s="321">
        <f t="shared" si="52"/>
        <v>0</v>
      </c>
      <c r="AM165" s="321">
        <f t="shared" si="52"/>
        <v>0</v>
      </c>
      <c r="AN165" s="321">
        <f t="shared" si="52"/>
        <v>0</v>
      </c>
      <c r="AO165" s="321">
        <f t="shared" si="52"/>
        <v>0</v>
      </c>
      <c r="AP165" s="321">
        <f t="shared" si="52"/>
        <v>0</v>
      </c>
      <c r="AQ165" s="321">
        <f t="shared" si="52"/>
        <v>0</v>
      </c>
      <c r="AR165" s="321">
        <f t="shared" si="52"/>
        <v>0</v>
      </c>
      <c r="AS165" s="321">
        <f t="shared" si="52"/>
        <v>0</v>
      </c>
      <c r="AT165" s="321">
        <f t="shared" si="52"/>
        <v>0</v>
      </c>
      <c r="AU165" s="321">
        <f t="shared" si="52"/>
        <v>0</v>
      </c>
      <c r="AV165" s="321">
        <f t="shared" si="52"/>
        <v>0</v>
      </c>
      <c r="AW165" s="321">
        <f t="shared" si="52"/>
        <v>0</v>
      </c>
      <c r="AX165" s="321">
        <f t="shared" si="52"/>
        <v>0</v>
      </c>
      <c r="AY165" s="321">
        <f t="shared" si="52"/>
        <v>0</v>
      </c>
      <c r="AZ165" s="321">
        <f t="shared" si="52"/>
        <v>0</v>
      </c>
      <c r="BA165" s="321">
        <f t="shared" si="52"/>
        <v>0</v>
      </c>
      <c r="BB165" s="321">
        <f t="shared" si="52"/>
        <v>0</v>
      </c>
      <c r="BC165" s="321">
        <f t="shared" si="52"/>
        <v>0</v>
      </c>
      <c r="BD165" s="321">
        <f t="shared" si="52"/>
        <v>0</v>
      </c>
      <c r="BE165" s="321">
        <f t="shared" si="52"/>
        <v>0</v>
      </c>
      <c r="BF165" s="321">
        <f t="shared" si="52"/>
        <v>0</v>
      </c>
      <c r="BG165" s="321">
        <f t="shared" si="52"/>
        <v>0</v>
      </c>
      <c r="BH165" s="321">
        <f t="shared" si="52"/>
        <v>0</v>
      </c>
      <c r="BI165" s="321">
        <f t="shared" si="52"/>
        <v>0</v>
      </c>
      <c r="BJ165" s="321">
        <f t="shared" si="52"/>
        <v>0</v>
      </c>
      <c r="BK165" s="321">
        <f t="shared" si="52"/>
        <v>0</v>
      </c>
      <c r="BL165" s="321">
        <f t="shared" si="52"/>
        <v>0</v>
      </c>
      <c r="BM165" s="321">
        <f t="shared" si="52"/>
        <v>0</v>
      </c>
      <c r="BN165" s="321">
        <f t="shared" si="52"/>
        <v>0</v>
      </c>
      <c r="BO165" s="321">
        <f t="shared" si="52"/>
        <v>0</v>
      </c>
      <c r="BP165" s="321">
        <f t="shared" si="52"/>
        <v>0</v>
      </c>
      <c r="BQ165" s="321">
        <f t="shared" si="52"/>
        <v>0</v>
      </c>
      <c r="BR165" s="321">
        <f t="shared" si="52"/>
        <v>0</v>
      </c>
      <c r="BS165" s="321">
        <f t="shared" si="52"/>
        <v>0</v>
      </c>
      <c r="BT165" s="321">
        <f t="shared" si="52"/>
        <v>0</v>
      </c>
      <c r="BU165" s="321">
        <f t="shared" si="52"/>
        <v>0</v>
      </c>
      <c r="BV165" s="321">
        <f t="shared" si="52"/>
        <v>0</v>
      </c>
      <c r="BW165" s="321">
        <f t="shared" si="52"/>
        <v>0</v>
      </c>
      <c r="BX165" s="321" t="e">
        <f t="shared" si="52"/>
        <v>#VALUE!</v>
      </c>
      <c r="BY165" s="222"/>
      <c r="BZ165" s="222"/>
      <c r="CA165" s="222"/>
      <c r="CB165" s="222"/>
      <c r="CC165" s="222"/>
      <c r="CD165" s="222"/>
      <c r="CE165" s="222"/>
      <c r="CF165" s="222"/>
      <c r="CG165" s="222"/>
      <c r="CH165" s="222"/>
      <c r="CI165" s="222"/>
      <c r="CJ165" s="222"/>
      <c r="CK165" s="222"/>
      <c r="CL165" s="222"/>
      <c r="CM165" s="222"/>
      <c r="CN165" s="222"/>
      <c r="CO165" s="222"/>
      <c r="CP165" s="222"/>
      <c r="CQ165" s="222"/>
      <c r="CR165" s="222"/>
      <c r="CS165" s="222"/>
      <c r="CT165" s="222"/>
      <c r="CU165" s="222"/>
      <c r="CV165" s="222"/>
      <c r="CW165" s="222"/>
      <c r="CX165" s="222"/>
      <c r="CY165" s="222"/>
      <c r="CZ165" s="222"/>
      <c r="DA165" s="222"/>
      <c r="DB165" s="222"/>
      <c r="DC165" s="222"/>
      <c r="DD165" s="222"/>
      <c r="DE165" s="222"/>
      <c r="DF165" s="222"/>
      <c r="DG165" s="222"/>
      <c r="DH165" s="222"/>
      <c r="DI165" s="222"/>
      <c r="DJ165" s="222"/>
      <c r="DK165" s="222"/>
      <c r="DL165" s="222"/>
      <c r="DM165" s="222"/>
      <c r="DN165" s="222"/>
      <c r="DO165" s="222"/>
      <c r="DP165" s="222"/>
      <c r="DQ165" s="222"/>
      <c r="DR165" s="222"/>
      <c r="DS165" s="222"/>
      <c r="DT165" s="222"/>
      <c r="DU165" s="222"/>
      <c r="DV165" s="222"/>
      <c r="DW165" s="325"/>
      <c r="DX165" s="325"/>
      <c r="DY165" s="325"/>
      <c r="DZ165" s="325"/>
      <c r="EA165" s="325"/>
      <c r="EB165" s="325"/>
      <c r="EC165" s="325"/>
      <c r="ED165" s="325"/>
      <c r="EE165" s="325"/>
      <c r="EF165" s="325"/>
      <c r="EG165" s="325"/>
      <c r="EH165" s="325"/>
    </row>
    <row r="166" spans="1:138">
      <c r="A166" s="222"/>
      <c r="B166" s="318"/>
      <c r="C166" s="314"/>
      <c r="D166" s="322" t="s">
        <v>306</v>
      </c>
      <c r="E166" s="327">
        <f>E165</f>
        <v>0</v>
      </c>
      <c r="F166" s="327">
        <f t="shared" ref="F166:BX166" si="53">E166+F165</f>
        <v>0</v>
      </c>
      <c r="G166" s="327">
        <f t="shared" si="53"/>
        <v>0</v>
      </c>
      <c r="H166" s="327">
        <f t="shared" si="53"/>
        <v>-5341205.5</v>
      </c>
      <c r="I166" s="327">
        <f t="shared" si="53"/>
        <v>-5341205.5</v>
      </c>
      <c r="J166" s="327">
        <f t="shared" si="53"/>
        <v>-5341205.5</v>
      </c>
      <c r="K166" s="327">
        <f t="shared" si="53"/>
        <v>-5341205.5</v>
      </c>
      <c r="L166" s="327">
        <f t="shared" si="53"/>
        <v>-5341205.5</v>
      </c>
      <c r="M166" s="327">
        <f t="shared" si="53"/>
        <v>-5341205.5</v>
      </c>
      <c r="N166" s="327">
        <f t="shared" si="53"/>
        <v>-5341205.5</v>
      </c>
      <c r="O166" s="327">
        <f t="shared" si="53"/>
        <v>-5341205.5</v>
      </c>
      <c r="P166" s="327">
        <f t="shared" si="53"/>
        <v>-5341205.5</v>
      </c>
      <c r="Q166" s="327">
        <f t="shared" si="53"/>
        <v>-5341205.5</v>
      </c>
      <c r="R166" s="327">
        <f t="shared" si="53"/>
        <v>-5341205.5</v>
      </c>
      <c r="S166" s="327">
        <f t="shared" si="53"/>
        <v>-5341205.5</v>
      </c>
      <c r="T166" s="327">
        <f t="shared" si="53"/>
        <v>2750000</v>
      </c>
      <c r="U166" s="327">
        <f t="shared" si="53"/>
        <v>2750000</v>
      </c>
      <c r="V166" s="327">
        <f t="shared" si="53"/>
        <v>2750000</v>
      </c>
      <c r="W166" s="327">
        <f t="shared" si="53"/>
        <v>2750000</v>
      </c>
      <c r="X166" s="327">
        <f t="shared" si="53"/>
        <v>2750000</v>
      </c>
      <c r="Y166" s="327">
        <f t="shared" si="53"/>
        <v>2750000</v>
      </c>
      <c r="Z166" s="327">
        <f t="shared" si="53"/>
        <v>2750000</v>
      </c>
      <c r="AA166" s="327">
        <f t="shared" si="53"/>
        <v>2750000</v>
      </c>
      <c r="AB166" s="327">
        <f t="shared" si="53"/>
        <v>2750000</v>
      </c>
      <c r="AC166" s="327">
        <f t="shared" si="53"/>
        <v>2750000</v>
      </c>
      <c r="AD166" s="327">
        <f t="shared" si="53"/>
        <v>2750000</v>
      </c>
      <c r="AE166" s="327">
        <f t="shared" si="53"/>
        <v>2750000</v>
      </c>
      <c r="AF166" s="327">
        <f t="shared" si="53"/>
        <v>2750000</v>
      </c>
      <c r="AG166" s="327">
        <f t="shared" si="53"/>
        <v>2750000</v>
      </c>
      <c r="AH166" s="327">
        <f t="shared" si="53"/>
        <v>2750000</v>
      </c>
      <c r="AI166" s="327">
        <f t="shared" si="53"/>
        <v>2750000</v>
      </c>
      <c r="AJ166" s="327">
        <f t="shared" si="53"/>
        <v>2750000</v>
      </c>
      <c r="AK166" s="327">
        <f t="shared" si="53"/>
        <v>2750000</v>
      </c>
      <c r="AL166" s="327">
        <f t="shared" si="53"/>
        <v>2750000</v>
      </c>
      <c r="AM166" s="327">
        <f t="shared" si="53"/>
        <v>2750000</v>
      </c>
      <c r="AN166" s="327">
        <f t="shared" si="53"/>
        <v>2750000</v>
      </c>
      <c r="AO166" s="327">
        <f t="shared" si="53"/>
        <v>2750000</v>
      </c>
      <c r="AP166" s="327">
        <f t="shared" si="53"/>
        <v>2750000</v>
      </c>
      <c r="AQ166" s="327">
        <f t="shared" si="53"/>
        <v>2750000</v>
      </c>
      <c r="AR166" s="327">
        <f t="shared" si="53"/>
        <v>2750000</v>
      </c>
      <c r="AS166" s="327">
        <f t="shared" si="53"/>
        <v>2750000</v>
      </c>
      <c r="AT166" s="327">
        <f t="shared" si="53"/>
        <v>2750000</v>
      </c>
      <c r="AU166" s="327">
        <f t="shared" si="53"/>
        <v>2750000</v>
      </c>
      <c r="AV166" s="327">
        <f t="shared" si="53"/>
        <v>2750000</v>
      </c>
      <c r="AW166" s="327">
        <f t="shared" si="53"/>
        <v>2750000</v>
      </c>
      <c r="AX166" s="327">
        <f t="shared" si="53"/>
        <v>2750000</v>
      </c>
      <c r="AY166" s="327">
        <f t="shared" si="53"/>
        <v>2750000</v>
      </c>
      <c r="AZ166" s="327">
        <f t="shared" si="53"/>
        <v>2750000</v>
      </c>
      <c r="BA166" s="327">
        <f t="shared" si="53"/>
        <v>2750000</v>
      </c>
      <c r="BB166" s="327">
        <f t="shared" si="53"/>
        <v>2750000</v>
      </c>
      <c r="BC166" s="327">
        <f t="shared" si="53"/>
        <v>2750000</v>
      </c>
      <c r="BD166" s="327">
        <f t="shared" si="53"/>
        <v>2750000</v>
      </c>
      <c r="BE166" s="327">
        <f t="shared" si="53"/>
        <v>2750000</v>
      </c>
      <c r="BF166" s="327">
        <f t="shared" si="53"/>
        <v>2750000</v>
      </c>
      <c r="BG166" s="327">
        <f t="shared" si="53"/>
        <v>2750000</v>
      </c>
      <c r="BH166" s="327">
        <f t="shared" si="53"/>
        <v>2750000</v>
      </c>
      <c r="BI166" s="327">
        <f t="shared" si="53"/>
        <v>2750000</v>
      </c>
      <c r="BJ166" s="327">
        <f t="shared" si="53"/>
        <v>2750000</v>
      </c>
      <c r="BK166" s="327">
        <f t="shared" si="53"/>
        <v>2750000</v>
      </c>
      <c r="BL166" s="327">
        <f t="shared" si="53"/>
        <v>2750000</v>
      </c>
      <c r="BM166" s="327">
        <f t="shared" si="53"/>
        <v>2750000</v>
      </c>
      <c r="BN166" s="327">
        <f t="shared" si="53"/>
        <v>2750000</v>
      </c>
      <c r="BO166" s="327">
        <f t="shared" si="53"/>
        <v>2750000</v>
      </c>
      <c r="BP166" s="327">
        <f t="shared" si="53"/>
        <v>2750000</v>
      </c>
      <c r="BQ166" s="327">
        <f t="shared" si="53"/>
        <v>2750000</v>
      </c>
      <c r="BR166" s="327">
        <f t="shared" si="53"/>
        <v>2750000</v>
      </c>
      <c r="BS166" s="327">
        <f t="shared" si="53"/>
        <v>2750000</v>
      </c>
      <c r="BT166" s="327">
        <f t="shared" si="53"/>
        <v>2750000</v>
      </c>
      <c r="BU166" s="327">
        <f t="shared" si="53"/>
        <v>2750000</v>
      </c>
      <c r="BV166" s="327">
        <f t="shared" si="53"/>
        <v>2750000</v>
      </c>
      <c r="BW166" s="327">
        <f t="shared" si="53"/>
        <v>2750000</v>
      </c>
      <c r="BX166" s="327" t="e">
        <f t="shared" si="53"/>
        <v>#VALUE!</v>
      </c>
      <c r="BY166" s="222"/>
      <c r="BZ166" s="222"/>
      <c r="CA166" s="222"/>
      <c r="CB166" s="222"/>
      <c r="CC166" s="222"/>
      <c r="CD166" s="222"/>
      <c r="CE166" s="222"/>
      <c r="CF166" s="222"/>
      <c r="CG166" s="222"/>
      <c r="CH166" s="222"/>
      <c r="CI166" s="222"/>
      <c r="CJ166" s="222"/>
      <c r="CK166" s="222"/>
      <c r="CL166" s="222"/>
      <c r="CM166" s="222"/>
      <c r="CN166" s="222"/>
      <c r="CO166" s="222"/>
      <c r="CP166" s="222"/>
      <c r="CQ166" s="222"/>
      <c r="CR166" s="222"/>
      <c r="CS166" s="222"/>
      <c r="CT166" s="222"/>
      <c r="CU166" s="222"/>
      <c r="CV166" s="222"/>
      <c r="CW166" s="222"/>
      <c r="CX166" s="222"/>
      <c r="CY166" s="222"/>
      <c r="CZ166" s="222"/>
      <c r="DA166" s="222"/>
      <c r="DB166" s="222"/>
      <c r="DC166" s="222"/>
      <c r="DD166" s="222"/>
      <c r="DE166" s="222"/>
      <c r="DF166" s="222"/>
      <c r="DG166" s="222"/>
      <c r="DH166" s="222"/>
      <c r="DI166" s="222"/>
      <c r="DJ166" s="222"/>
      <c r="DK166" s="222"/>
      <c r="DL166" s="222"/>
      <c r="DM166" s="222"/>
      <c r="DN166" s="222"/>
      <c r="DO166" s="222"/>
      <c r="DP166" s="222"/>
      <c r="DQ166" s="222"/>
      <c r="DR166" s="222"/>
      <c r="DS166" s="222"/>
      <c r="DT166" s="222"/>
      <c r="DU166" s="222"/>
      <c r="DV166" s="222"/>
      <c r="DW166" s="325"/>
      <c r="DX166" s="325"/>
      <c r="DY166" s="325"/>
      <c r="DZ166" s="325"/>
      <c r="EA166" s="325"/>
      <c r="EB166" s="325"/>
      <c r="EC166" s="325"/>
      <c r="ED166" s="325"/>
      <c r="EE166" s="325"/>
      <c r="EF166" s="325"/>
      <c r="EG166" s="325"/>
      <c r="EH166" s="325"/>
    </row>
    <row r="167" spans="1:138">
      <c r="A167" s="222"/>
      <c r="B167" s="318"/>
      <c r="C167" s="313" t="s">
        <v>292</v>
      </c>
      <c r="D167" s="322" t="e">
        <f>IRR(E165:BX165)*12</f>
        <v>#VALUE!</v>
      </c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222"/>
      <c r="AF167" s="222"/>
      <c r="AG167" s="222"/>
      <c r="AH167" s="222"/>
      <c r="AI167" s="222"/>
      <c r="AJ167" s="222"/>
      <c r="AK167" s="222"/>
      <c r="AL167" s="222"/>
      <c r="AM167" s="222"/>
      <c r="AN167" s="222"/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2"/>
      <c r="BN167" s="222"/>
      <c r="BO167" s="222"/>
      <c r="BP167" s="222"/>
      <c r="BQ167" s="222"/>
      <c r="BR167" s="222"/>
      <c r="BS167" s="222"/>
      <c r="BT167" s="222"/>
      <c r="BU167" s="222"/>
      <c r="BV167" s="222"/>
      <c r="BW167" s="222"/>
      <c r="BX167" s="222"/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  <c r="CJ167" s="222"/>
      <c r="CK167" s="222"/>
      <c r="CL167" s="222"/>
      <c r="CM167" s="222"/>
      <c r="CN167" s="222"/>
      <c r="CO167" s="222"/>
      <c r="CP167" s="222"/>
      <c r="CQ167" s="222"/>
      <c r="CR167" s="222"/>
      <c r="CS167" s="222"/>
      <c r="CT167" s="222"/>
      <c r="CU167" s="222"/>
      <c r="CV167" s="222"/>
      <c r="CW167" s="222"/>
      <c r="CX167" s="222"/>
      <c r="CY167" s="222"/>
      <c r="CZ167" s="222"/>
      <c r="DA167" s="222"/>
      <c r="DB167" s="222"/>
      <c r="DC167" s="222"/>
      <c r="DD167" s="222"/>
      <c r="DE167" s="222"/>
      <c r="DF167" s="222"/>
      <c r="DG167" s="222"/>
      <c r="DH167" s="222"/>
      <c r="DI167" s="222"/>
      <c r="DJ167" s="222"/>
      <c r="DK167" s="222"/>
      <c r="DL167" s="222"/>
      <c r="DM167" s="222"/>
      <c r="DN167" s="222"/>
      <c r="DO167" s="222"/>
      <c r="DP167" s="222"/>
      <c r="DQ167" s="222"/>
      <c r="DR167" s="222"/>
      <c r="DS167" s="222"/>
      <c r="DT167" s="222"/>
      <c r="DU167" s="222"/>
      <c r="DV167" s="222"/>
      <c r="DW167" s="325"/>
      <c r="DX167" s="325"/>
      <c r="DY167" s="325"/>
      <c r="DZ167" s="325"/>
      <c r="EA167" s="325"/>
      <c r="EB167" s="325"/>
      <c r="EC167" s="325"/>
      <c r="ED167" s="325"/>
      <c r="EE167" s="325"/>
      <c r="EF167" s="325"/>
      <c r="EG167" s="325"/>
      <c r="EH167" s="325"/>
    </row>
    <row r="168" spans="1:138">
      <c r="A168" s="222"/>
      <c r="B168" s="318"/>
      <c r="C168" s="323" t="s">
        <v>300</v>
      </c>
      <c r="D168" s="324">
        <f>-MIN(M166:BL166)-D169</f>
        <v>5341205.5</v>
      </c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222"/>
      <c r="AF168" s="222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222"/>
      <c r="AR168" s="222"/>
      <c r="AS168" s="222"/>
      <c r="AT168" s="222"/>
      <c r="AU168" s="222"/>
      <c r="AV168" s="222"/>
      <c r="AW168" s="222"/>
      <c r="AX168" s="222"/>
      <c r="AY168" s="222"/>
      <c r="AZ168" s="222"/>
      <c r="BA168" s="222"/>
      <c r="BB168" s="222"/>
      <c r="BC168" s="222"/>
      <c r="BD168" s="222"/>
      <c r="BE168" s="222"/>
      <c r="BF168" s="222"/>
      <c r="BG168" s="222"/>
      <c r="BH168" s="222"/>
      <c r="BI168" s="222"/>
      <c r="BJ168" s="222"/>
      <c r="BK168" s="222"/>
      <c r="BL168" s="222"/>
      <c r="BM168" s="222"/>
      <c r="BN168" s="222"/>
      <c r="BO168" s="222"/>
      <c r="BP168" s="222"/>
      <c r="BQ168" s="222"/>
      <c r="BR168" s="222"/>
      <c r="BS168" s="222"/>
      <c r="BT168" s="222"/>
      <c r="BU168" s="222"/>
      <c r="BV168" s="222"/>
      <c r="BW168" s="222"/>
      <c r="BX168" s="222"/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  <c r="CJ168" s="222"/>
      <c r="CK168" s="222"/>
      <c r="CL168" s="222"/>
      <c r="CM168" s="222"/>
      <c r="CN168" s="222"/>
      <c r="CO168" s="222"/>
      <c r="CP168" s="222"/>
      <c r="CQ168" s="222"/>
      <c r="CR168" s="222"/>
      <c r="CS168" s="222"/>
      <c r="CT168" s="222"/>
      <c r="CU168" s="222"/>
      <c r="CV168" s="222"/>
      <c r="CW168" s="222"/>
      <c r="CX168" s="222"/>
      <c r="CY168" s="222"/>
      <c r="CZ168" s="222"/>
      <c r="DA168" s="222"/>
      <c r="DB168" s="222"/>
      <c r="DC168" s="222"/>
      <c r="DD168" s="222"/>
      <c r="DE168" s="222"/>
      <c r="DF168" s="222"/>
      <c r="DG168" s="222"/>
      <c r="DH168" s="222"/>
      <c r="DI168" s="222"/>
      <c r="DJ168" s="222"/>
      <c r="DK168" s="222"/>
      <c r="DL168" s="222"/>
      <c r="DM168" s="222"/>
      <c r="DN168" s="222"/>
      <c r="DO168" s="222"/>
      <c r="DP168" s="222"/>
      <c r="DQ168" s="222"/>
      <c r="DR168" s="222"/>
      <c r="DS168" s="222"/>
      <c r="DT168" s="222"/>
      <c r="DU168" s="222"/>
      <c r="DV168" s="222"/>
      <c r="DW168" s="325"/>
      <c r="DX168" s="325"/>
      <c r="DY168" s="325"/>
      <c r="DZ168" s="325"/>
      <c r="EA168" s="325"/>
      <c r="EB168" s="325"/>
      <c r="EC168" s="325"/>
      <c r="ED168" s="325"/>
      <c r="EE168" s="325"/>
      <c r="EF168" s="325"/>
      <c r="EG168" s="325"/>
      <c r="EH168" s="325"/>
    </row>
    <row r="169" spans="1:138">
      <c r="A169" s="222"/>
      <c r="B169" s="318"/>
      <c r="C169" s="323" t="s">
        <v>301</v>
      </c>
      <c r="D169" s="324">
        <f>-SUM(M164:BB164)</f>
        <v>0</v>
      </c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222"/>
      <c r="AF169" s="222"/>
      <c r="AG169" s="222"/>
      <c r="AH169" s="222"/>
      <c r="AI169" s="222"/>
      <c r="AJ169" s="222"/>
      <c r="AK169" s="222"/>
      <c r="AL169" s="222"/>
      <c r="AM169" s="222"/>
      <c r="AN169" s="222"/>
      <c r="AO169" s="222"/>
      <c r="AP169" s="222"/>
      <c r="AQ169" s="222"/>
      <c r="AR169" s="222"/>
      <c r="AS169" s="222"/>
      <c r="AT169" s="222"/>
      <c r="AU169" s="222"/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222"/>
      <c r="BN169" s="222"/>
      <c r="BO169" s="222"/>
      <c r="BP169" s="222"/>
      <c r="BQ169" s="222"/>
      <c r="BR169" s="222"/>
      <c r="BS169" s="222"/>
      <c r="BT169" s="222"/>
      <c r="BU169" s="222"/>
      <c r="BV169" s="222"/>
      <c r="BW169" s="222"/>
      <c r="BX169" s="222"/>
      <c r="BY169" s="222"/>
      <c r="BZ169" s="222"/>
      <c r="CA169" s="222"/>
      <c r="CB169" s="222"/>
      <c r="CC169" s="222"/>
      <c r="CD169" s="222"/>
      <c r="CE169" s="222"/>
      <c r="CF169" s="222"/>
      <c r="CG169" s="222"/>
      <c r="CH169" s="222"/>
      <c r="CI169" s="222"/>
      <c r="CJ169" s="222"/>
      <c r="CK169" s="222"/>
      <c r="CL169" s="222"/>
      <c r="CM169" s="222"/>
      <c r="CN169" s="222"/>
      <c r="CO169" s="222"/>
      <c r="CP169" s="222"/>
      <c r="CQ169" s="222"/>
      <c r="CR169" s="222"/>
      <c r="CS169" s="222"/>
      <c r="CT169" s="222"/>
      <c r="CU169" s="222"/>
      <c r="CV169" s="222"/>
      <c r="CW169" s="222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2"/>
      <c r="DI169" s="222"/>
      <c r="DJ169" s="222"/>
      <c r="DK169" s="222"/>
      <c r="DL169" s="222"/>
      <c r="DM169" s="222"/>
      <c r="DN169" s="222"/>
      <c r="DO169" s="222"/>
      <c r="DP169" s="222"/>
      <c r="DQ169" s="222"/>
      <c r="DR169" s="222"/>
      <c r="DS169" s="222"/>
      <c r="DT169" s="222"/>
      <c r="DU169" s="222"/>
      <c r="DV169" s="222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</row>
    <row r="170" spans="1:138">
      <c r="A170" s="222"/>
      <c r="B170" s="318"/>
      <c r="C170" s="313" t="s">
        <v>302</v>
      </c>
      <c r="D170" s="326">
        <f>D169+D168</f>
        <v>5341205.5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  <c r="BQ170" s="222"/>
      <c r="BR170" s="222"/>
      <c r="BS170" s="222"/>
      <c r="BT170" s="222"/>
      <c r="BU170" s="222"/>
      <c r="BV170" s="222"/>
      <c r="BW170" s="222"/>
      <c r="BX170" s="222"/>
      <c r="BY170" s="222"/>
      <c r="BZ170" s="222"/>
      <c r="CA170" s="222"/>
      <c r="CB170" s="222"/>
      <c r="CC170" s="222"/>
      <c r="CD170" s="222"/>
      <c r="CE170" s="222"/>
      <c r="CF170" s="222"/>
      <c r="CG170" s="222"/>
      <c r="CH170" s="222"/>
      <c r="CI170" s="222"/>
      <c r="CJ170" s="222"/>
      <c r="CK170" s="222"/>
      <c r="CL170" s="222"/>
      <c r="CM170" s="222"/>
      <c r="CN170" s="222"/>
      <c r="CO170" s="222"/>
      <c r="CP170" s="222"/>
      <c r="CQ170" s="222"/>
      <c r="CR170" s="222"/>
      <c r="CS170" s="222"/>
      <c r="CT170" s="222"/>
      <c r="CU170" s="222"/>
      <c r="CV170" s="222"/>
      <c r="CW170" s="222"/>
      <c r="CX170" s="222"/>
      <c r="CY170" s="222"/>
      <c r="CZ170" s="222"/>
      <c r="DA170" s="222"/>
      <c r="DB170" s="222"/>
      <c r="DC170" s="222"/>
      <c r="DD170" s="222"/>
      <c r="DE170" s="222"/>
      <c r="DF170" s="222"/>
      <c r="DG170" s="222"/>
      <c r="DH170" s="222"/>
      <c r="DI170" s="222"/>
      <c r="DJ170" s="222"/>
      <c r="DK170" s="222"/>
      <c r="DL170" s="222"/>
      <c r="DM170" s="222"/>
      <c r="DN170" s="222"/>
      <c r="DO170" s="222"/>
      <c r="DP170" s="222"/>
      <c r="DQ170" s="222"/>
      <c r="DR170" s="222"/>
      <c r="DS170" s="222"/>
      <c r="DT170" s="222"/>
      <c r="DU170" s="222"/>
      <c r="DV170" s="222"/>
      <c r="DW170" s="325"/>
      <c r="DX170" s="325"/>
      <c r="DY170" s="325"/>
      <c r="DZ170" s="325"/>
      <c r="EA170" s="325"/>
      <c r="EB170" s="325"/>
      <c r="EC170" s="325"/>
      <c r="ED170" s="325"/>
      <c r="EE170" s="325"/>
      <c r="EF170" s="325"/>
      <c r="EG170" s="325"/>
      <c r="EH170" s="325"/>
    </row>
    <row r="171" spans="1:138">
      <c r="A171" s="222"/>
      <c r="B171" s="318"/>
      <c r="C171" s="313" t="s">
        <v>303</v>
      </c>
      <c r="D171" s="326" t="e">
        <f>BX162+BX163</f>
        <v>#VALUE!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  <c r="BQ171" s="222"/>
      <c r="BR171" s="222"/>
      <c r="BS171" s="222"/>
      <c r="BT171" s="222"/>
      <c r="BU171" s="222"/>
      <c r="BV171" s="222"/>
      <c r="BW171" s="222"/>
      <c r="BX171" s="222"/>
      <c r="BY171" s="222"/>
      <c r="BZ171" s="222"/>
      <c r="CA171" s="222"/>
      <c r="CB171" s="222"/>
      <c r="CC171" s="222"/>
      <c r="CD171" s="222"/>
      <c r="CE171" s="222"/>
      <c r="CF171" s="222"/>
      <c r="CG171" s="222"/>
      <c r="CH171" s="222"/>
      <c r="CI171" s="222"/>
      <c r="CJ171" s="222"/>
      <c r="CK171" s="222"/>
      <c r="CL171" s="222"/>
      <c r="CM171" s="222"/>
      <c r="CN171" s="222"/>
      <c r="CO171" s="222"/>
      <c r="CP171" s="222"/>
      <c r="CQ171" s="222"/>
      <c r="CR171" s="222"/>
      <c r="CS171" s="222"/>
      <c r="CT171" s="222"/>
      <c r="CU171" s="222"/>
      <c r="CV171" s="222"/>
      <c r="CW171" s="222"/>
      <c r="CX171" s="222"/>
      <c r="CY171" s="222"/>
      <c r="CZ171" s="222"/>
      <c r="DA171" s="222"/>
      <c r="DB171" s="222"/>
      <c r="DC171" s="222"/>
      <c r="DD171" s="222"/>
      <c r="DE171" s="222"/>
      <c r="DF171" s="222"/>
      <c r="DG171" s="222"/>
      <c r="DH171" s="222"/>
      <c r="DI171" s="222"/>
      <c r="DJ171" s="222"/>
      <c r="DK171" s="222"/>
      <c r="DL171" s="222"/>
      <c r="DM171" s="222"/>
      <c r="DN171" s="222"/>
      <c r="DO171" s="222"/>
      <c r="DP171" s="222"/>
      <c r="DQ171" s="222"/>
      <c r="DR171" s="222"/>
      <c r="DS171" s="222"/>
      <c r="DT171" s="222"/>
      <c r="DU171" s="222"/>
      <c r="DV171" s="222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</row>
    <row r="172" spans="1:138">
      <c r="A172" s="222"/>
      <c r="B172" s="318"/>
      <c r="C172" s="313" t="s">
        <v>147</v>
      </c>
      <c r="D172" s="322">
        <f>T163/T160</f>
        <v>0.51486504310684167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  <c r="BQ172" s="222"/>
      <c r="BR172" s="222"/>
      <c r="BS172" s="222"/>
      <c r="BT172" s="222"/>
      <c r="BU172" s="222"/>
      <c r="BV172" s="222"/>
      <c r="BW172" s="222"/>
      <c r="BX172" s="222"/>
      <c r="BY172" s="222"/>
      <c r="BZ172" s="222"/>
      <c r="CA172" s="222"/>
      <c r="CB172" s="222"/>
      <c r="CC172" s="222"/>
      <c r="CD172" s="222"/>
      <c r="CE172" s="222"/>
      <c r="CF172" s="222"/>
      <c r="CG172" s="222"/>
      <c r="CH172" s="222"/>
      <c r="CI172" s="222"/>
      <c r="CJ172" s="222"/>
      <c r="CK172" s="222"/>
      <c r="CL172" s="222"/>
      <c r="CM172" s="222"/>
      <c r="CN172" s="222"/>
      <c r="CO172" s="222"/>
      <c r="CP172" s="222"/>
      <c r="CQ172" s="222"/>
      <c r="CR172" s="222"/>
      <c r="CS172" s="222"/>
      <c r="CT172" s="222"/>
      <c r="CU172" s="222"/>
      <c r="CV172" s="222"/>
      <c r="CW172" s="222"/>
      <c r="CX172" s="222"/>
      <c r="CY172" s="222"/>
      <c r="CZ172" s="222"/>
      <c r="DA172" s="222"/>
      <c r="DB172" s="222"/>
      <c r="DC172" s="222"/>
      <c r="DD172" s="222"/>
      <c r="DE172" s="222"/>
      <c r="DF172" s="222"/>
      <c r="DG172" s="222"/>
      <c r="DH172" s="222"/>
      <c r="DI172" s="222"/>
      <c r="DJ172" s="222"/>
      <c r="DK172" s="222"/>
      <c r="DL172" s="222"/>
      <c r="DM172" s="222"/>
      <c r="DN172" s="222"/>
      <c r="DO172" s="222"/>
      <c r="DP172" s="222"/>
      <c r="DQ172" s="222"/>
      <c r="DR172" s="222"/>
      <c r="DS172" s="222"/>
      <c r="DT172" s="222"/>
      <c r="DU172" s="222"/>
      <c r="DV172" s="222"/>
      <c r="DW172" s="325"/>
      <c r="DX172" s="325"/>
      <c r="DY172" s="325"/>
      <c r="DZ172" s="325"/>
      <c r="EA172" s="325"/>
      <c r="EB172" s="325"/>
      <c r="EC172" s="325"/>
      <c r="ED172" s="325"/>
      <c r="EE172" s="325"/>
      <c r="EF172" s="325"/>
      <c r="EG172" s="325"/>
      <c r="EH172" s="325"/>
    </row>
    <row r="173" spans="1:138">
      <c r="A173" s="222"/>
      <c r="B173" s="318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/>
      <c r="BX173" s="222"/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  <c r="CJ173" s="222"/>
      <c r="CK173" s="222"/>
      <c r="CL173" s="222"/>
      <c r="CM173" s="222"/>
      <c r="CN173" s="222"/>
      <c r="CO173" s="222"/>
      <c r="CP173" s="222"/>
      <c r="CQ173" s="222"/>
      <c r="CR173" s="222"/>
      <c r="CS173" s="222"/>
      <c r="CT173" s="222"/>
      <c r="CU173" s="222"/>
      <c r="CV173" s="222"/>
      <c r="CW173" s="222"/>
      <c r="CX173" s="222"/>
      <c r="CY173" s="222"/>
      <c r="CZ173" s="222"/>
      <c r="DA173" s="222"/>
      <c r="DB173" s="222"/>
      <c r="DC173" s="222"/>
      <c r="DD173" s="222"/>
      <c r="DE173" s="222"/>
      <c r="DF173" s="222"/>
      <c r="DG173" s="222"/>
      <c r="DH173" s="222"/>
      <c r="DI173" s="222"/>
      <c r="DJ173" s="222"/>
      <c r="DK173" s="222"/>
      <c r="DL173" s="222"/>
      <c r="DM173" s="222"/>
      <c r="DN173" s="222"/>
      <c r="DO173" s="222"/>
      <c r="DP173" s="222"/>
      <c r="DQ173" s="222"/>
      <c r="DR173" s="222"/>
      <c r="DS173" s="222"/>
      <c r="DT173" s="222"/>
      <c r="DU173" s="222"/>
      <c r="DV173" s="222"/>
      <c r="DW173" s="325"/>
      <c r="DX173" s="325"/>
      <c r="DY173" s="325"/>
      <c r="DZ173" s="325"/>
      <c r="EA173" s="325"/>
      <c r="EB173" s="325"/>
      <c r="EC173" s="325"/>
      <c r="ED173" s="325"/>
      <c r="EE173" s="325"/>
      <c r="EF173" s="325"/>
      <c r="EG173" s="325"/>
      <c r="EH173" s="325"/>
    </row>
    <row r="174" spans="1:138">
      <c r="A174" s="222"/>
      <c r="B174" s="318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  <c r="BQ174" s="222"/>
      <c r="BR174" s="222"/>
      <c r="BS174" s="222"/>
      <c r="BT174" s="222"/>
      <c r="BU174" s="222"/>
      <c r="BV174" s="222"/>
      <c r="BW174" s="222"/>
      <c r="BX174" s="222"/>
      <c r="BY174" s="222"/>
      <c r="BZ174" s="222"/>
      <c r="CA174" s="222"/>
      <c r="CB174" s="222"/>
      <c r="CC174" s="222"/>
      <c r="CD174" s="222"/>
      <c r="CE174" s="222"/>
      <c r="CF174" s="222"/>
      <c r="CG174" s="222"/>
      <c r="CH174" s="222"/>
      <c r="CI174" s="222"/>
      <c r="CJ174" s="222"/>
      <c r="CK174" s="222"/>
      <c r="CL174" s="222"/>
      <c r="CM174" s="222"/>
      <c r="CN174" s="222"/>
      <c r="CO174" s="222"/>
      <c r="CP174" s="222"/>
      <c r="CQ174" s="222"/>
      <c r="CR174" s="222"/>
      <c r="CS174" s="222"/>
      <c r="CT174" s="222"/>
      <c r="CU174" s="222"/>
      <c r="CV174" s="222"/>
      <c r="CW174" s="222"/>
      <c r="CX174" s="222"/>
      <c r="CY174" s="222"/>
      <c r="CZ174" s="222"/>
      <c r="DA174" s="222"/>
      <c r="DB174" s="222"/>
      <c r="DC174" s="222"/>
      <c r="DD174" s="222"/>
      <c r="DE174" s="222"/>
      <c r="DF174" s="222"/>
      <c r="DG174" s="222"/>
      <c r="DH174" s="222"/>
      <c r="DI174" s="222"/>
      <c r="DJ174" s="222"/>
      <c r="DK174" s="222"/>
      <c r="DL174" s="222"/>
      <c r="DM174" s="222"/>
      <c r="DN174" s="222"/>
      <c r="DO174" s="222"/>
      <c r="DP174" s="222"/>
      <c r="DQ174" s="222"/>
      <c r="DR174" s="222"/>
      <c r="DS174" s="222"/>
      <c r="DT174" s="222"/>
      <c r="DU174" s="222"/>
      <c r="DV174" s="222"/>
      <c r="DW174" s="325"/>
      <c r="DX174" s="325"/>
      <c r="DY174" s="325"/>
      <c r="DZ174" s="325"/>
      <c r="EA174" s="325"/>
      <c r="EB174" s="325"/>
      <c r="EC174" s="325"/>
      <c r="ED174" s="325"/>
      <c r="EE174" s="325"/>
      <c r="EF174" s="325"/>
      <c r="EG174" s="325"/>
      <c r="EH174" s="325"/>
    </row>
    <row r="175" spans="1:138">
      <c r="A175" s="222"/>
      <c r="B175" s="318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  <c r="BQ175" s="222"/>
      <c r="BR175" s="222"/>
      <c r="BS175" s="222"/>
      <c r="BT175" s="222"/>
      <c r="BU175" s="222"/>
      <c r="BV175" s="222"/>
      <c r="BW175" s="222"/>
      <c r="BX175" s="222"/>
      <c r="BY175" s="222"/>
      <c r="BZ175" s="222"/>
      <c r="CA175" s="222"/>
      <c r="CB175" s="222"/>
      <c r="CC175" s="222"/>
      <c r="CD175" s="222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2"/>
      <c r="CV175" s="222"/>
      <c r="CW175" s="222"/>
      <c r="CX175" s="222"/>
      <c r="CY175" s="222"/>
      <c r="CZ175" s="222"/>
      <c r="DA175" s="222"/>
      <c r="DB175" s="222"/>
      <c r="DC175" s="222"/>
      <c r="DD175" s="222"/>
      <c r="DE175" s="222"/>
      <c r="DF175" s="222"/>
      <c r="DG175" s="222"/>
      <c r="DH175" s="222"/>
      <c r="DI175" s="222"/>
      <c r="DJ175" s="222"/>
      <c r="DK175" s="222"/>
      <c r="DL175" s="222"/>
      <c r="DM175" s="222"/>
      <c r="DN175" s="222"/>
      <c r="DO175" s="222"/>
      <c r="DP175" s="222"/>
      <c r="DQ175" s="222"/>
      <c r="DR175" s="222"/>
      <c r="DS175" s="222"/>
      <c r="DT175" s="222"/>
      <c r="DU175" s="222"/>
      <c r="DV175" s="222"/>
      <c r="DW175" s="325"/>
      <c r="DX175" s="325"/>
      <c r="DY175" s="325"/>
      <c r="DZ175" s="325"/>
      <c r="EA175" s="325"/>
      <c r="EB175" s="325"/>
      <c r="EC175" s="325"/>
      <c r="ED175" s="325"/>
      <c r="EE175" s="325"/>
      <c r="EF175" s="325"/>
      <c r="EG175" s="325"/>
      <c r="EH175" s="325"/>
    </row>
    <row r="176" spans="1:138">
      <c r="A176" s="222"/>
      <c r="B176" s="318"/>
      <c r="C176" s="310" t="s">
        <v>309</v>
      </c>
      <c r="D176" s="311"/>
      <c r="E176" s="312">
        <f t="shared" ref="E176:G176" si="54">-(E8+E92)</f>
        <v>0</v>
      </c>
      <c r="F176" s="312">
        <f t="shared" si="54"/>
        <v>0</v>
      </c>
      <c r="G176" s="312">
        <f t="shared" si="54"/>
        <v>0</v>
      </c>
      <c r="H176" s="311">
        <f>-5341205.5</f>
        <v>-5341205.5</v>
      </c>
      <c r="I176" s="311">
        <v>0</v>
      </c>
      <c r="J176" s="311">
        <v>0</v>
      </c>
      <c r="K176" s="311">
        <v>0</v>
      </c>
      <c r="L176" s="311">
        <v>0</v>
      </c>
      <c r="M176" s="311">
        <v>0</v>
      </c>
      <c r="N176" s="311">
        <v>0</v>
      </c>
      <c r="O176" s="311">
        <v>0</v>
      </c>
      <c r="P176" s="311">
        <v>0</v>
      </c>
      <c r="Q176" s="311">
        <v>0</v>
      </c>
      <c r="R176" s="311">
        <v>0</v>
      </c>
      <c r="S176" s="311">
        <v>0</v>
      </c>
      <c r="T176" s="311">
        <f>5341205.5</f>
        <v>5341205.5</v>
      </c>
      <c r="U176" s="312">
        <f t="shared" ref="U176:BX176" si="55">-(U8+U92)</f>
        <v>0</v>
      </c>
      <c r="V176" s="312">
        <f t="shared" si="55"/>
        <v>0</v>
      </c>
      <c r="W176" s="312">
        <f t="shared" si="55"/>
        <v>0</v>
      </c>
      <c r="X176" s="312">
        <f t="shared" si="55"/>
        <v>0</v>
      </c>
      <c r="Y176" s="312">
        <f t="shared" si="55"/>
        <v>0</v>
      </c>
      <c r="Z176" s="312">
        <f t="shared" si="55"/>
        <v>0</v>
      </c>
      <c r="AA176" s="312">
        <f t="shared" si="55"/>
        <v>0</v>
      </c>
      <c r="AB176" s="312">
        <f t="shared" si="55"/>
        <v>0</v>
      </c>
      <c r="AC176" s="312">
        <f t="shared" si="55"/>
        <v>0</v>
      </c>
      <c r="AD176" s="312">
        <f t="shared" si="55"/>
        <v>0</v>
      </c>
      <c r="AE176" s="312">
        <f t="shared" si="55"/>
        <v>0</v>
      </c>
      <c r="AF176" s="312">
        <f t="shared" si="55"/>
        <v>0</v>
      </c>
      <c r="AG176" s="312">
        <f t="shared" si="55"/>
        <v>0</v>
      </c>
      <c r="AH176" s="312">
        <f t="shared" si="55"/>
        <v>0</v>
      </c>
      <c r="AI176" s="312">
        <f t="shared" si="55"/>
        <v>0</v>
      </c>
      <c r="AJ176" s="312">
        <f t="shared" si="55"/>
        <v>0</v>
      </c>
      <c r="AK176" s="312">
        <f t="shared" si="55"/>
        <v>0</v>
      </c>
      <c r="AL176" s="312">
        <f t="shared" si="55"/>
        <v>0</v>
      </c>
      <c r="AM176" s="312">
        <f t="shared" si="55"/>
        <v>0</v>
      </c>
      <c r="AN176" s="312">
        <f t="shared" si="55"/>
        <v>0</v>
      </c>
      <c r="AO176" s="312">
        <f t="shared" si="55"/>
        <v>0</v>
      </c>
      <c r="AP176" s="312">
        <f t="shared" si="55"/>
        <v>0</v>
      </c>
      <c r="AQ176" s="312">
        <f t="shared" si="55"/>
        <v>0</v>
      </c>
      <c r="AR176" s="312">
        <f t="shared" si="55"/>
        <v>0</v>
      </c>
      <c r="AS176" s="312">
        <f t="shared" si="55"/>
        <v>0</v>
      </c>
      <c r="AT176" s="312">
        <f t="shared" si="55"/>
        <v>0</v>
      </c>
      <c r="AU176" s="312">
        <f t="shared" si="55"/>
        <v>0</v>
      </c>
      <c r="AV176" s="312">
        <f t="shared" si="55"/>
        <v>0</v>
      </c>
      <c r="AW176" s="312">
        <f t="shared" si="55"/>
        <v>0</v>
      </c>
      <c r="AX176" s="312">
        <f t="shared" si="55"/>
        <v>0</v>
      </c>
      <c r="AY176" s="312">
        <f t="shared" si="55"/>
        <v>0</v>
      </c>
      <c r="AZ176" s="312">
        <f t="shared" si="55"/>
        <v>0</v>
      </c>
      <c r="BA176" s="312">
        <f t="shared" si="55"/>
        <v>0</v>
      </c>
      <c r="BB176" s="312">
        <f t="shared" si="55"/>
        <v>0</v>
      </c>
      <c r="BC176" s="312">
        <f t="shared" si="55"/>
        <v>0</v>
      </c>
      <c r="BD176" s="312">
        <f t="shared" si="55"/>
        <v>0</v>
      </c>
      <c r="BE176" s="312">
        <f t="shared" si="55"/>
        <v>0</v>
      </c>
      <c r="BF176" s="312">
        <f t="shared" si="55"/>
        <v>0</v>
      </c>
      <c r="BG176" s="312">
        <f t="shared" si="55"/>
        <v>0</v>
      </c>
      <c r="BH176" s="312">
        <f t="shared" si="55"/>
        <v>0</v>
      </c>
      <c r="BI176" s="312">
        <f t="shared" si="55"/>
        <v>0</v>
      </c>
      <c r="BJ176" s="312">
        <f t="shared" si="55"/>
        <v>0</v>
      </c>
      <c r="BK176" s="312">
        <f t="shared" si="55"/>
        <v>0</v>
      </c>
      <c r="BL176" s="312">
        <f t="shared" si="55"/>
        <v>0</v>
      </c>
      <c r="BM176" s="312">
        <f t="shared" si="55"/>
        <v>0</v>
      </c>
      <c r="BN176" s="312">
        <f t="shared" si="55"/>
        <v>0</v>
      </c>
      <c r="BO176" s="312">
        <f t="shared" si="55"/>
        <v>0</v>
      </c>
      <c r="BP176" s="312">
        <f t="shared" si="55"/>
        <v>0</v>
      </c>
      <c r="BQ176" s="312">
        <f t="shared" si="55"/>
        <v>0</v>
      </c>
      <c r="BR176" s="312">
        <f t="shared" si="55"/>
        <v>0</v>
      </c>
      <c r="BS176" s="312">
        <f t="shared" si="55"/>
        <v>0</v>
      </c>
      <c r="BT176" s="312">
        <f t="shared" si="55"/>
        <v>0</v>
      </c>
      <c r="BU176" s="312">
        <f t="shared" si="55"/>
        <v>0</v>
      </c>
      <c r="BV176" s="312">
        <f t="shared" si="55"/>
        <v>0</v>
      </c>
      <c r="BW176" s="312">
        <f t="shared" si="55"/>
        <v>0</v>
      </c>
      <c r="BX176" s="312">
        <f t="shared" si="55"/>
        <v>0</v>
      </c>
      <c r="BY176" s="222"/>
      <c r="BZ176" s="222"/>
      <c r="CA176" s="222"/>
      <c r="CB176" s="222"/>
      <c r="CC176" s="222"/>
      <c r="CD176" s="222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2"/>
      <c r="CV176" s="222"/>
      <c r="CW176" s="222"/>
      <c r="CX176" s="222"/>
      <c r="CY176" s="222"/>
      <c r="CZ176" s="222"/>
      <c r="DA176" s="222"/>
      <c r="DB176" s="222"/>
      <c r="DC176" s="222"/>
      <c r="DD176" s="222"/>
      <c r="DE176" s="222"/>
      <c r="DF176" s="222"/>
      <c r="DG176" s="222"/>
      <c r="DH176" s="222"/>
      <c r="DI176" s="222"/>
      <c r="DJ176" s="222"/>
      <c r="DK176" s="222"/>
      <c r="DL176" s="222"/>
      <c r="DM176" s="222"/>
      <c r="DN176" s="222"/>
      <c r="DO176" s="222"/>
      <c r="DP176" s="222"/>
      <c r="DQ176" s="222"/>
      <c r="DR176" s="222"/>
      <c r="DS176" s="222"/>
      <c r="DT176" s="222"/>
      <c r="DU176" s="222"/>
      <c r="DV176" s="222"/>
      <c r="DW176" s="222"/>
      <c r="DX176" s="222"/>
      <c r="DY176" s="222"/>
      <c r="DZ176" s="222"/>
      <c r="EA176" s="222"/>
      <c r="EB176" s="222"/>
      <c r="EC176" s="222"/>
      <c r="ED176" s="222"/>
      <c r="EE176" s="222"/>
      <c r="EF176" s="222"/>
      <c r="EG176" s="222"/>
      <c r="EH176" s="222"/>
    </row>
    <row r="177" spans="1:138">
      <c r="A177" s="222"/>
      <c r="B177" s="318"/>
      <c r="C177" s="310" t="s">
        <v>305</v>
      </c>
      <c r="D177" s="319"/>
      <c r="E177" s="311"/>
      <c r="F177" s="311"/>
      <c r="G177" s="311"/>
      <c r="H177" s="311"/>
      <c r="I177" s="311"/>
      <c r="J177" s="311"/>
      <c r="K177" s="311"/>
      <c r="L177" s="311"/>
      <c r="M177" s="311"/>
      <c r="N177" s="311"/>
      <c r="O177" s="311"/>
      <c r="P177" s="311"/>
      <c r="Q177" s="311"/>
      <c r="R177" s="311"/>
      <c r="S177" s="311"/>
      <c r="T177" s="311"/>
      <c r="U177" s="311"/>
      <c r="V177" s="311"/>
      <c r="W177" s="311"/>
      <c r="X177" s="311"/>
      <c r="Y177" s="311"/>
      <c r="Z177" s="311"/>
      <c r="AA177" s="311"/>
      <c r="AB177" s="311"/>
      <c r="AC177" s="311"/>
      <c r="AD177" s="311"/>
      <c r="AE177" s="311"/>
      <c r="AF177" s="311"/>
      <c r="AG177" s="311"/>
      <c r="AH177" s="311"/>
      <c r="AI177" s="311"/>
      <c r="AJ177" s="311"/>
      <c r="AK177" s="311"/>
      <c r="AL177" s="311"/>
      <c r="AM177" s="311"/>
      <c r="AN177" s="311"/>
      <c r="AO177" s="311"/>
      <c r="AP177" s="311"/>
      <c r="AQ177" s="311"/>
      <c r="AR177" s="311"/>
      <c r="AS177" s="311"/>
      <c r="AT177" s="311"/>
      <c r="AU177" s="311"/>
      <c r="AV177" s="311"/>
      <c r="AW177" s="311"/>
      <c r="AX177" s="311"/>
      <c r="AY177" s="311"/>
      <c r="AZ177" s="311"/>
      <c r="BA177" s="311"/>
      <c r="BB177" s="311"/>
      <c r="BC177" s="312"/>
      <c r="BD177" s="311"/>
      <c r="BE177" s="311"/>
      <c r="BF177" s="311"/>
      <c r="BG177" s="311"/>
      <c r="BH177" s="311"/>
      <c r="BI177" s="311"/>
      <c r="BJ177" s="311"/>
      <c r="BK177" s="311"/>
      <c r="BL177" s="311"/>
      <c r="BM177" s="311"/>
      <c r="BN177" s="311"/>
      <c r="BO177" s="311"/>
      <c r="BP177" s="311"/>
      <c r="BQ177" s="311"/>
      <c r="BR177" s="311"/>
      <c r="BS177" s="311"/>
      <c r="BT177" s="311"/>
      <c r="BU177" s="311"/>
      <c r="BV177" s="311"/>
      <c r="BW177" s="311"/>
      <c r="BX177" s="311"/>
      <c r="BY177" s="307"/>
      <c r="BZ177" s="307"/>
      <c r="CA177" s="222"/>
      <c r="CB177" s="222"/>
      <c r="CC177" s="222"/>
      <c r="CD177" s="222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2"/>
      <c r="CV177" s="222"/>
      <c r="CW177" s="222"/>
      <c r="CX177" s="222"/>
      <c r="CY177" s="222"/>
      <c r="CZ177" s="222"/>
      <c r="DA177" s="222"/>
      <c r="DB177" s="222"/>
      <c r="DC177" s="222"/>
      <c r="DD177" s="222"/>
      <c r="DE177" s="222"/>
      <c r="DF177" s="222"/>
      <c r="DG177" s="222"/>
      <c r="DH177" s="222"/>
      <c r="DI177" s="222"/>
      <c r="DJ177" s="222"/>
      <c r="DK177" s="222"/>
      <c r="DL177" s="222"/>
      <c r="DM177" s="222"/>
      <c r="DN177" s="222"/>
      <c r="DO177" s="222"/>
      <c r="DP177" s="222"/>
      <c r="DQ177" s="222"/>
      <c r="DR177" s="222"/>
      <c r="DS177" s="222"/>
      <c r="DT177" s="222"/>
      <c r="DU177" s="222"/>
      <c r="DV177" s="222"/>
      <c r="DW177" s="222"/>
      <c r="DX177" s="222"/>
      <c r="DY177" s="222"/>
      <c r="DZ177" s="222"/>
      <c r="EA177" s="222"/>
      <c r="EB177" s="222"/>
      <c r="EC177" s="222"/>
      <c r="ED177" s="222"/>
      <c r="EE177" s="222"/>
      <c r="EF177" s="222"/>
      <c r="EG177" s="222"/>
      <c r="EH177" s="222"/>
    </row>
    <row r="178" spans="1:138">
      <c r="A178" s="222"/>
      <c r="B178" s="318"/>
      <c r="C178" s="310" t="s">
        <v>296</v>
      </c>
      <c r="D178" s="319"/>
      <c r="E178" s="311">
        <f t="shared" ref="E178:G178" si="56">-E57</f>
        <v>0</v>
      </c>
      <c r="F178" s="311">
        <f t="shared" si="56"/>
        <v>0</v>
      </c>
      <c r="G178" s="311">
        <f t="shared" si="56"/>
        <v>0</v>
      </c>
      <c r="H178" s="311">
        <f t="shared" ref="H178:T178" si="57">-H72</f>
        <v>0</v>
      </c>
      <c r="I178" s="311">
        <f t="shared" si="57"/>
        <v>0</v>
      </c>
      <c r="J178" s="311">
        <f t="shared" si="57"/>
        <v>0</v>
      </c>
      <c r="K178" s="311">
        <f t="shared" si="57"/>
        <v>0</v>
      </c>
      <c r="L178" s="311">
        <f t="shared" si="57"/>
        <v>0</v>
      </c>
      <c r="M178" s="311">
        <f t="shared" si="57"/>
        <v>0</v>
      </c>
      <c r="N178" s="311">
        <f t="shared" si="57"/>
        <v>0</v>
      </c>
      <c r="O178" s="311">
        <f t="shared" si="57"/>
        <v>0</v>
      </c>
      <c r="P178" s="311">
        <f t="shared" si="57"/>
        <v>0</v>
      </c>
      <c r="Q178" s="311">
        <f t="shared" si="57"/>
        <v>0</v>
      </c>
      <c r="R178" s="311">
        <f t="shared" si="57"/>
        <v>0</v>
      </c>
      <c r="S178" s="311">
        <f t="shared" si="57"/>
        <v>0</v>
      </c>
      <c r="T178" s="311">
        <f t="shared" si="57"/>
        <v>0</v>
      </c>
      <c r="U178" s="311">
        <f t="shared" ref="U178:BX178" si="58">-U57</f>
        <v>0</v>
      </c>
      <c r="V178" s="311">
        <f t="shared" si="58"/>
        <v>0</v>
      </c>
      <c r="W178" s="311">
        <f t="shared" si="58"/>
        <v>0</v>
      </c>
      <c r="X178" s="311">
        <f t="shared" si="58"/>
        <v>0</v>
      </c>
      <c r="Y178" s="311">
        <f t="shared" si="58"/>
        <v>0</v>
      </c>
      <c r="Z178" s="311">
        <f t="shared" si="58"/>
        <v>0</v>
      </c>
      <c r="AA178" s="311">
        <f t="shared" si="58"/>
        <v>0</v>
      </c>
      <c r="AB178" s="311">
        <f t="shared" si="58"/>
        <v>0</v>
      </c>
      <c r="AC178" s="311">
        <f t="shared" si="58"/>
        <v>0</v>
      </c>
      <c r="AD178" s="311">
        <f t="shared" si="58"/>
        <v>0</v>
      </c>
      <c r="AE178" s="311">
        <f t="shared" si="58"/>
        <v>0</v>
      </c>
      <c r="AF178" s="311">
        <f t="shared" si="58"/>
        <v>0</v>
      </c>
      <c r="AG178" s="311">
        <f t="shared" si="58"/>
        <v>0</v>
      </c>
      <c r="AH178" s="311">
        <f t="shared" si="58"/>
        <v>0</v>
      </c>
      <c r="AI178" s="311">
        <f t="shared" si="58"/>
        <v>0</v>
      </c>
      <c r="AJ178" s="311">
        <f t="shared" si="58"/>
        <v>0</v>
      </c>
      <c r="AK178" s="311">
        <f t="shared" si="58"/>
        <v>0</v>
      </c>
      <c r="AL178" s="311">
        <f t="shared" si="58"/>
        <v>0</v>
      </c>
      <c r="AM178" s="311">
        <f t="shared" si="58"/>
        <v>0</v>
      </c>
      <c r="AN178" s="311">
        <f t="shared" si="58"/>
        <v>0</v>
      </c>
      <c r="AO178" s="311">
        <f t="shared" si="58"/>
        <v>0</v>
      </c>
      <c r="AP178" s="311">
        <f t="shared" si="58"/>
        <v>0</v>
      </c>
      <c r="AQ178" s="311">
        <f t="shared" si="58"/>
        <v>0</v>
      </c>
      <c r="AR178" s="311">
        <f t="shared" si="58"/>
        <v>0</v>
      </c>
      <c r="AS178" s="311">
        <f t="shared" si="58"/>
        <v>0</v>
      </c>
      <c r="AT178" s="311">
        <f t="shared" si="58"/>
        <v>0</v>
      </c>
      <c r="AU178" s="311">
        <f t="shared" si="58"/>
        <v>0</v>
      </c>
      <c r="AV178" s="311">
        <f t="shared" si="58"/>
        <v>0</v>
      </c>
      <c r="AW178" s="311">
        <f t="shared" si="58"/>
        <v>0</v>
      </c>
      <c r="AX178" s="311">
        <f t="shared" si="58"/>
        <v>0</v>
      </c>
      <c r="AY178" s="311">
        <f t="shared" si="58"/>
        <v>0</v>
      </c>
      <c r="AZ178" s="311">
        <f t="shared" si="58"/>
        <v>0</v>
      </c>
      <c r="BA178" s="311">
        <f t="shared" si="58"/>
        <v>0</v>
      </c>
      <c r="BB178" s="311">
        <f t="shared" si="58"/>
        <v>0</v>
      </c>
      <c r="BC178" s="311">
        <f t="shared" si="58"/>
        <v>0</v>
      </c>
      <c r="BD178" s="311">
        <f t="shared" si="58"/>
        <v>0</v>
      </c>
      <c r="BE178" s="311">
        <f t="shared" si="58"/>
        <v>0</v>
      </c>
      <c r="BF178" s="311">
        <f t="shared" si="58"/>
        <v>0</v>
      </c>
      <c r="BG178" s="311">
        <f t="shared" si="58"/>
        <v>0</v>
      </c>
      <c r="BH178" s="311">
        <f t="shared" si="58"/>
        <v>0</v>
      </c>
      <c r="BI178" s="311">
        <f t="shared" si="58"/>
        <v>0</v>
      </c>
      <c r="BJ178" s="311">
        <f t="shared" si="58"/>
        <v>0</v>
      </c>
      <c r="BK178" s="311">
        <f t="shared" si="58"/>
        <v>0</v>
      </c>
      <c r="BL178" s="311">
        <f t="shared" si="58"/>
        <v>0</v>
      </c>
      <c r="BM178" s="311">
        <f t="shared" si="58"/>
        <v>0</v>
      </c>
      <c r="BN178" s="311">
        <f t="shared" si="58"/>
        <v>0</v>
      </c>
      <c r="BO178" s="311">
        <f t="shared" si="58"/>
        <v>0</v>
      </c>
      <c r="BP178" s="311">
        <f t="shared" si="58"/>
        <v>0</v>
      </c>
      <c r="BQ178" s="311">
        <f t="shared" si="58"/>
        <v>0</v>
      </c>
      <c r="BR178" s="311">
        <f t="shared" si="58"/>
        <v>0</v>
      </c>
      <c r="BS178" s="311">
        <f t="shared" si="58"/>
        <v>0</v>
      </c>
      <c r="BT178" s="311">
        <f t="shared" si="58"/>
        <v>0</v>
      </c>
      <c r="BU178" s="311">
        <f t="shared" si="58"/>
        <v>0</v>
      </c>
      <c r="BV178" s="311">
        <f t="shared" si="58"/>
        <v>0</v>
      </c>
      <c r="BW178" s="311">
        <f t="shared" si="58"/>
        <v>0</v>
      </c>
      <c r="BX178" s="311">
        <f t="shared" si="58"/>
        <v>0</v>
      </c>
      <c r="BY178" s="307"/>
      <c r="BZ178" s="307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  <c r="CP178" s="222"/>
      <c r="CQ178" s="222"/>
      <c r="CR178" s="222"/>
      <c r="CS178" s="222"/>
      <c r="CT178" s="222"/>
      <c r="CU178" s="222"/>
      <c r="CV178" s="222"/>
      <c r="CW178" s="222"/>
      <c r="CX178" s="222"/>
      <c r="CY178" s="222"/>
      <c r="CZ178" s="222"/>
      <c r="DA178" s="222"/>
      <c r="DB178" s="222"/>
      <c r="DC178" s="222"/>
      <c r="DD178" s="222"/>
      <c r="DE178" s="222"/>
      <c r="DF178" s="222"/>
      <c r="DG178" s="222"/>
      <c r="DH178" s="222"/>
      <c r="DI178" s="222"/>
      <c r="DJ178" s="222"/>
      <c r="DK178" s="222"/>
      <c r="DL178" s="222"/>
      <c r="DM178" s="222"/>
      <c r="DN178" s="222"/>
      <c r="DO178" s="222"/>
      <c r="DP178" s="222"/>
      <c r="DQ178" s="222"/>
      <c r="DR178" s="222"/>
      <c r="DS178" s="222"/>
      <c r="DT178" s="222"/>
      <c r="DU178" s="222"/>
      <c r="DV178" s="222"/>
      <c r="DW178" s="222"/>
      <c r="DX178" s="222"/>
      <c r="DY178" s="222"/>
      <c r="DZ178" s="222"/>
      <c r="EA178" s="222"/>
      <c r="EB178" s="222"/>
      <c r="EC178" s="222"/>
      <c r="ED178" s="222"/>
      <c r="EE178" s="222"/>
      <c r="EF178" s="222"/>
      <c r="EG178" s="222"/>
      <c r="EH178" s="222"/>
    </row>
    <row r="179" spans="1:138">
      <c r="A179" s="222"/>
      <c r="B179" s="318"/>
      <c r="C179" s="310" t="s">
        <v>297</v>
      </c>
      <c r="D179" s="319"/>
      <c r="E179" s="311"/>
      <c r="F179" s="311"/>
      <c r="G179" s="311"/>
      <c r="H179" s="311"/>
      <c r="I179" s="311"/>
      <c r="J179" s="311"/>
      <c r="K179" s="311"/>
      <c r="L179" s="311"/>
      <c r="M179" s="311"/>
      <c r="N179" s="311"/>
      <c r="O179" s="311"/>
      <c r="P179" s="311"/>
      <c r="Q179" s="311"/>
      <c r="R179" s="311"/>
      <c r="S179" s="311"/>
      <c r="T179" s="311">
        <v>2750000</v>
      </c>
      <c r="U179" s="311"/>
      <c r="V179" s="311"/>
      <c r="W179" s="311"/>
      <c r="X179" s="311"/>
      <c r="Y179" s="311"/>
      <c r="Z179" s="311"/>
      <c r="AA179" s="311"/>
      <c r="AB179" s="311"/>
      <c r="AC179" s="311"/>
      <c r="AD179" s="311"/>
      <c r="AE179" s="311"/>
      <c r="AF179" s="311"/>
      <c r="AG179" s="311"/>
      <c r="AH179" s="311"/>
      <c r="AI179" s="311"/>
      <c r="AJ179" s="311"/>
      <c r="AK179" s="311"/>
      <c r="AL179" s="311"/>
      <c r="AM179" s="311"/>
      <c r="AN179" s="311"/>
      <c r="AO179" s="311"/>
      <c r="AP179" s="311"/>
      <c r="AQ179" s="311"/>
      <c r="AR179" s="311"/>
      <c r="AS179" s="311"/>
      <c r="AT179" s="311"/>
      <c r="AU179" s="311"/>
      <c r="AV179" s="311"/>
      <c r="AW179" s="311"/>
      <c r="AX179" s="311"/>
      <c r="AY179" s="311"/>
      <c r="AZ179" s="311"/>
      <c r="BA179" s="311"/>
      <c r="BB179" s="311"/>
      <c r="BC179" s="312"/>
      <c r="BD179" s="311"/>
      <c r="BE179" s="311"/>
      <c r="BF179" s="311"/>
      <c r="BG179" s="311"/>
      <c r="BH179" s="311"/>
      <c r="BI179" s="311"/>
      <c r="BJ179" s="311"/>
      <c r="BK179" s="311"/>
      <c r="BL179" s="311"/>
      <c r="BM179" s="311"/>
      <c r="BN179" s="311"/>
      <c r="BO179" s="311"/>
      <c r="BP179" s="311"/>
      <c r="BQ179" s="311"/>
      <c r="BR179" s="311"/>
      <c r="BS179" s="311"/>
      <c r="BT179" s="311"/>
      <c r="BU179" s="311"/>
      <c r="BV179" s="311"/>
      <c r="BW179" s="311"/>
      <c r="BX179" s="311" t="e">
        <f>IF(D103&gt;0.25,(BX98-BX106)*D180,BX98*D180)</f>
        <v>#VALUE!</v>
      </c>
      <c r="BY179" s="307"/>
      <c r="BZ179" s="307"/>
      <c r="CA179" s="222"/>
      <c r="CB179" s="222"/>
      <c r="CC179" s="222"/>
      <c r="CD179" s="222"/>
      <c r="CE179" s="222"/>
      <c r="CF179" s="222"/>
      <c r="CG179" s="222"/>
      <c r="CH179" s="222"/>
      <c r="CI179" s="222"/>
      <c r="CJ179" s="222"/>
      <c r="CK179" s="222"/>
      <c r="CL179" s="222"/>
      <c r="CM179" s="222"/>
      <c r="CN179" s="222"/>
      <c r="CO179" s="222"/>
      <c r="CP179" s="222"/>
      <c r="CQ179" s="222"/>
      <c r="CR179" s="222"/>
      <c r="CS179" s="222"/>
      <c r="CT179" s="222"/>
      <c r="CU179" s="222"/>
      <c r="CV179" s="222"/>
      <c r="CW179" s="222"/>
      <c r="CX179" s="222"/>
      <c r="CY179" s="222"/>
      <c r="CZ179" s="222"/>
      <c r="DA179" s="222"/>
      <c r="DB179" s="222"/>
      <c r="DC179" s="222"/>
      <c r="DD179" s="222"/>
      <c r="DE179" s="222"/>
      <c r="DF179" s="222"/>
      <c r="DG179" s="222"/>
      <c r="DH179" s="222"/>
      <c r="DI179" s="222"/>
      <c r="DJ179" s="222"/>
      <c r="DK179" s="222"/>
      <c r="DL179" s="222"/>
      <c r="DM179" s="222"/>
      <c r="DN179" s="222"/>
      <c r="DO179" s="222"/>
      <c r="DP179" s="222"/>
      <c r="DQ179" s="222"/>
      <c r="DR179" s="222"/>
      <c r="DS179" s="222"/>
      <c r="DT179" s="222"/>
      <c r="DU179" s="222"/>
      <c r="DV179" s="222"/>
      <c r="DW179" s="222"/>
      <c r="DX179" s="222"/>
      <c r="DY179" s="222"/>
      <c r="DZ179" s="222"/>
      <c r="EA179" s="222"/>
      <c r="EB179" s="222"/>
      <c r="EC179" s="222"/>
      <c r="ED179" s="222"/>
      <c r="EE179" s="222"/>
      <c r="EF179" s="222"/>
      <c r="EG179" s="222"/>
      <c r="EH179" s="222"/>
    </row>
    <row r="180" spans="1:138">
      <c r="A180" s="222"/>
      <c r="B180" s="318"/>
      <c r="C180" s="313" t="s">
        <v>298</v>
      </c>
      <c r="D180" s="319">
        <v>0</v>
      </c>
      <c r="E180" s="311"/>
      <c r="F180" s="311"/>
      <c r="G180" s="311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311"/>
      <c r="V180" s="311"/>
      <c r="W180" s="311"/>
      <c r="X180" s="311"/>
      <c r="Y180" s="311"/>
      <c r="Z180" s="311"/>
      <c r="AA180" s="311"/>
      <c r="AB180" s="311"/>
      <c r="AC180" s="311"/>
      <c r="AD180" s="311"/>
      <c r="AE180" s="311"/>
      <c r="AF180" s="311"/>
      <c r="AG180" s="311"/>
      <c r="AH180" s="311"/>
      <c r="AI180" s="311"/>
      <c r="AJ180" s="311"/>
      <c r="AK180" s="311"/>
      <c r="AL180" s="311"/>
      <c r="AM180" s="311"/>
      <c r="AN180" s="311"/>
      <c r="AO180" s="311"/>
      <c r="AP180" s="311"/>
      <c r="AQ180" s="311"/>
      <c r="AR180" s="311"/>
      <c r="AS180" s="311"/>
      <c r="AT180" s="311"/>
      <c r="AU180" s="311"/>
      <c r="AV180" s="311"/>
      <c r="AW180" s="311"/>
      <c r="AX180" s="311"/>
      <c r="AY180" s="311"/>
      <c r="AZ180" s="311"/>
      <c r="BA180" s="311"/>
      <c r="BB180" s="311"/>
      <c r="BC180" s="312"/>
      <c r="BD180" s="311"/>
      <c r="BE180" s="311"/>
      <c r="BF180" s="311"/>
      <c r="BG180" s="311"/>
      <c r="BH180" s="311"/>
      <c r="BI180" s="311"/>
      <c r="BJ180" s="311"/>
      <c r="BK180" s="311"/>
      <c r="BL180" s="311"/>
      <c r="BM180" s="311"/>
      <c r="BN180" s="311"/>
      <c r="BO180" s="311"/>
      <c r="BP180" s="311"/>
      <c r="BQ180" s="311"/>
      <c r="BR180" s="311"/>
      <c r="BS180" s="311"/>
      <c r="BT180" s="311"/>
      <c r="BU180" s="311"/>
      <c r="BV180" s="311"/>
      <c r="BW180" s="311"/>
      <c r="BX180" s="311"/>
      <c r="BY180" s="307"/>
      <c r="BZ180" s="307"/>
      <c r="CA180" s="222"/>
      <c r="CB180" s="222"/>
      <c r="CC180" s="222"/>
      <c r="CD180" s="222"/>
      <c r="CE180" s="222"/>
      <c r="CF180" s="222"/>
      <c r="CG180" s="222"/>
      <c r="CH180" s="222"/>
      <c r="CI180" s="222"/>
      <c r="CJ180" s="222"/>
      <c r="CK180" s="222"/>
      <c r="CL180" s="222"/>
      <c r="CM180" s="222"/>
      <c r="CN180" s="222"/>
      <c r="CO180" s="222"/>
      <c r="CP180" s="222"/>
      <c r="CQ180" s="222"/>
      <c r="CR180" s="222"/>
      <c r="CS180" s="222"/>
      <c r="CT180" s="222"/>
      <c r="CU180" s="222"/>
      <c r="CV180" s="222"/>
      <c r="CW180" s="222"/>
      <c r="CX180" s="222"/>
      <c r="CY180" s="222"/>
      <c r="CZ180" s="222"/>
      <c r="DA180" s="222"/>
      <c r="DB180" s="222"/>
      <c r="DC180" s="222"/>
      <c r="DD180" s="222"/>
      <c r="DE180" s="222"/>
      <c r="DF180" s="222"/>
      <c r="DG180" s="222"/>
      <c r="DH180" s="222"/>
      <c r="DI180" s="222"/>
      <c r="DJ180" s="222"/>
      <c r="DK180" s="222"/>
      <c r="DL180" s="222"/>
      <c r="DM180" s="222"/>
      <c r="DN180" s="222"/>
      <c r="DO180" s="222"/>
      <c r="DP180" s="222"/>
      <c r="DQ180" s="222"/>
      <c r="DR180" s="222"/>
      <c r="DS180" s="222"/>
      <c r="DT180" s="222"/>
      <c r="DU180" s="222"/>
      <c r="DV180" s="222"/>
      <c r="DW180" s="222"/>
      <c r="DX180" s="222"/>
      <c r="DY180" s="222"/>
      <c r="DZ180" s="222"/>
      <c r="EA180" s="222"/>
      <c r="EB180" s="222"/>
      <c r="EC180" s="222"/>
      <c r="ED180" s="222"/>
      <c r="EE180" s="222"/>
      <c r="EF180" s="222"/>
      <c r="EG180" s="222"/>
      <c r="EH180" s="222"/>
    </row>
    <row r="181" spans="1:138">
      <c r="A181" s="222"/>
      <c r="B181" s="318"/>
      <c r="C181" s="310" t="s">
        <v>299</v>
      </c>
      <c r="D181" s="311"/>
      <c r="E181" s="321">
        <f t="shared" ref="E181:BX181" si="59">E176+E177+E178+E179+E180</f>
        <v>0</v>
      </c>
      <c r="F181" s="321">
        <f t="shared" si="59"/>
        <v>0</v>
      </c>
      <c r="G181" s="321">
        <f t="shared" si="59"/>
        <v>0</v>
      </c>
      <c r="H181" s="321">
        <f t="shared" si="59"/>
        <v>-5341205.5</v>
      </c>
      <c r="I181" s="321">
        <f t="shared" si="59"/>
        <v>0</v>
      </c>
      <c r="J181" s="321">
        <f t="shared" si="59"/>
        <v>0</v>
      </c>
      <c r="K181" s="321">
        <f t="shared" si="59"/>
        <v>0</v>
      </c>
      <c r="L181" s="321">
        <f t="shared" si="59"/>
        <v>0</v>
      </c>
      <c r="M181" s="321">
        <f t="shared" si="59"/>
        <v>0</v>
      </c>
      <c r="N181" s="321">
        <f t="shared" si="59"/>
        <v>0</v>
      </c>
      <c r="O181" s="321">
        <f t="shared" si="59"/>
        <v>0</v>
      </c>
      <c r="P181" s="321">
        <f t="shared" si="59"/>
        <v>0</v>
      </c>
      <c r="Q181" s="321">
        <f t="shared" si="59"/>
        <v>0</v>
      </c>
      <c r="R181" s="321">
        <f t="shared" si="59"/>
        <v>0</v>
      </c>
      <c r="S181" s="321">
        <f t="shared" si="59"/>
        <v>0</v>
      </c>
      <c r="T181" s="321">
        <f t="shared" si="59"/>
        <v>8091205.5</v>
      </c>
      <c r="U181" s="321">
        <f t="shared" si="59"/>
        <v>0</v>
      </c>
      <c r="V181" s="321">
        <f t="shared" si="59"/>
        <v>0</v>
      </c>
      <c r="W181" s="321">
        <f t="shared" si="59"/>
        <v>0</v>
      </c>
      <c r="X181" s="321">
        <f t="shared" si="59"/>
        <v>0</v>
      </c>
      <c r="Y181" s="321">
        <f t="shared" si="59"/>
        <v>0</v>
      </c>
      <c r="Z181" s="321">
        <f t="shared" si="59"/>
        <v>0</v>
      </c>
      <c r="AA181" s="321">
        <f t="shared" si="59"/>
        <v>0</v>
      </c>
      <c r="AB181" s="321">
        <f t="shared" si="59"/>
        <v>0</v>
      </c>
      <c r="AC181" s="321">
        <f t="shared" si="59"/>
        <v>0</v>
      </c>
      <c r="AD181" s="321">
        <f t="shared" si="59"/>
        <v>0</v>
      </c>
      <c r="AE181" s="321">
        <f t="shared" si="59"/>
        <v>0</v>
      </c>
      <c r="AF181" s="321">
        <f t="shared" si="59"/>
        <v>0</v>
      </c>
      <c r="AG181" s="321">
        <f t="shared" si="59"/>
        <v>0</v>
      </c>
      <c r="AH181" s="321">
        <f t="shared" si="59"/>
        <v>0</v>
      </c>
      <c r="AI181" s="321">
        <f t="shared" si="59"/>
        <v>0</v>
      </c>
      <c r="AJ181" s="321">
        <f t="shared" si="59"/>
        <v>0</v>
      </c>
      <c r="AK181" s="321">
        <f t="shared" si="59"/>
        <v>0</v>
      </c>
      <c r="AL181" s="321">
        <f t="shared" si="59"/>
        <v>0</v>
      </c>
      <c r="AM181" s="321">
        <f t="shared" si="59"/>
        <v>0</v>
      </c>
      <c r="AN181" s="321">
        <f t="shared" si="59"/>
        <v>0</v>
      </c>
      <c r="AO181" s="321">
        <f t="shared" si="59"/>
        <v>0</v>
      </c>
      <c r="AP181" s="321">
        <f t="shared" si="59"/>
        <v>0</v>
      </c>
      <c r="AQ181" s="321">
        <f t="shared" si="59"/>
        <v>0</v>
      </c>
      <c r="AR181" s="321">
        <f t="shared" si="59"/>
        <v>0</v>
      </c>
      <c r="AS181" s="321">
        <f t="shared" si="59"/>
        <v>0</v>
      </c>
      <c r="AT181" s="321">
        <f t="shared" si="59"/>
        <v>0</v>
      </c>
      <c r="AU181" s="321">
        <f t="shared" si="59"/>
        <v>0</v>
      </c>
      <c r="AV181" s="321">
        <f t="shared" si="59"/>
        <v>0</v>
      </c>
      <c r="AW181" s="321">
        <f t="shared" si="59"/>
        <v>0</v>
      </c>
      <c r="AX181" s="321">
        <f t="shared" si="59"/>
        <v>0</v>
      </c>
      <c r="AY181" s="321">
        <f t="shared" si="59"/>
        <v>0</v>
      </c>
      <c r="AZ181" s="321">
        <f t="shared" si="59"/>
        <v>0</v>
      </c>
      <c r="BA181" s="321">
        <f t="shared" si="59"/>
        <v>0</v>
      </c>
      <c r="BB181" s="321">
        <f t="shared" si="59"/>
        <v>0</v>
      </c>
      <c r="BC181" s="321">
        <f t="shared" si="59"/>
        <v>0</v>
      </c>
      <c r="BD181" s="321">
        <f t="shared" si="59"/>
        <v>0</v>
      </c>
      <c r="BE181" s="321">
        <f t="shared" si="59"/>
        <v>0</v>
      </c>
      <c r="BF181" s="321">
        <f t="shared" si="59"/>
        <v>0</v>
      </c>
      <c r="BG181" s="321">
        <f t="shared" si="59"/>
        <v>0</v>
      </c>
      <c r="BH181" s="321">
        <f t="shared" si="59"/>
        <v>0</v>
      </c>
      <c r="BI181" s="321">
        <f t="shared" si="59"/>
        <v>0</v>
      </c>
      <c r="BJ181" s="321">
        <f t="shared" si="59"/>
        <v>0</v>
      </c>
      <c r="BK181" s="321">
        <f t="shared" si="59"/>
        <v>0</v>
      </c>
      <c r="BL181" s="321">
        <f t="shared" si="59"/>
        <v>0</v>
      </c>
      <c r="BM181" s="321">
        <f t="shared" si="59"/>
        <v>0</v>
      </c>
      <c r="BN181" s="321">
        <f t="shared" si="59"/>
        <v>0</v>
      </c>
      <c r="BO181" s="321">
        <f t="shared" si="59"/>
        <v>0</v>
      </c>
      <c r="BP181" s="321">
        <f t="shared" si="59"/>
        <v>0</v>
      </c>
      <c r="BQ181" s="321">
        <f t="shared" si="59"/>
        <v>0</v>
      </c>
      <c r="BR181" s="321">
        <f t="shared" si="59"/>
        <v>0</v>
      </c>
      <c r="BS181" s="321">
        <f t="shared" si="59"/>
        <v>0</v>
      </c>
      <c r="BT181" s="321">
        <f t="shared" si="59"/>
        <v>0</v>
      </c>
      <c r="BU181" s="321">
        <f t="shared" si="59"/>
        <v>0</v>
      </c>
      <c r="BV181" s="321">
        <f t="shared" si="59"/>
        <v>0</v>
      </c>
      <c r="BW181" s="321">
        <f t="shared" si="59"/>
        <v>0</v>
      </c>
      <c r="BX181" s="321" t="e">
        <f t="shared" si="59"/>
        <v>#VALUE!</v>
      </c>
      <c r="BY181" s="222"/>
      <c r="BZ181" s="222"/>
      <c r="CA181" s="222"/>
      <c r="CB181" s="222"/>
      <c r="CC181" s="222"/>
      <c r="CD181" s="222"/>
      <c r="CE181" s="222"/>
      <c r="CF181" s="222"/>
      <c r="CG181" s="222"/>
      <c r="CH181" s="222"/>
      <c r="CI181" s="222"/>
      <c r="CJ181" s="222"/>
      <c r="CK181" s="222"/>
      <c r="CL181" s="222"/>
      <c r="CM181" s="222"/>
      <c r="CN181" s="222"/>
      <c r="CO181" s="222"/>
      <c r="CP181" s="222"/>
      <c r="CQ181" s="222"/>
      <c r="CR181" s="222"/>
      <c r="CS181" s="222"/>
      <c r="CT181" s="222"/>
      <c r="CU181" s="222"/>
      <c r="CV181" s="222"/>
      <c r="CW181" s="222"/>
      <c r="CX181" s="222"/>
      <c r="CY181" s="222"/>
      <c r="CZ181" s="222"/>
      <c r="DA181" s="222"/>
      <c r="DB181" s="222"/>
      <c r="DC181" s="222"/>
      <c r="DD181" s="222"/>
      <c r="DE181" s="222"/>
      <c r="DF181" s="222"/>
      <c r="DG181" s="222"/>
      <c r="DH181" s="222"/>
      <c r="DI181" s="222"/>
      <c r="DJ181" s="222"/>
      <c r="DK181" s="222"/>
      <c r="DL181" s="222"/>
      <c r="DM181" s="222"/>
      <c r="DN181" s="222"/>
      <c r="DO181" s="222"/>
      <c r="DP181" s="222"/>
      <c r="DQ181" s="222"/>
      <c r="DR181" s="222"/>
      <c r="DS181" s="222"/>
      <c r="DT181" s="222"/>
      <c r="DU181" s="222"/>
      <c r="DV181" s="222"/>
      <c r="DW181" s="222"/>
      <c r="DX181" s="222"/>
      <c r="DY181" s="222"/>
      <c r="DZ181" s="222"/>
      <c r="EA181" s="222"/>
      <c r="EB181" s="222"/>
      <c r="EC181" s="222"/>
      <c r="ED181" s="222"/>
      <c r="EE181" s="222"/>
      <c r="EF181" s="222"/>
      <c r="EG181" s="222"/>
      <c r="EH181" s="222"/>
    </row>
    <row r="182" spans="1:138">
      <c r="A182" s="222"/>
      <c r="B182" s="318"/>
      <c r="C182" s="314"/>
      <c r="D182" s="322" t="s">
        <v>306</v>
      </c>
      <c r="E182" s="327">
        <f>E181</f>
        <v>0</v>
      </c>
      <c r="F182" s="327">
        <f t="shared" ref="F182:BX182" si="60">E182+F181</f>
        <v>0</v>
      </c>
      <c r="G182" s="327">
        <f t="shared" si="60"/>
        <v>0</v>
      </c>
      <c r="H182" s="327">
        <f t="shared" si="60"/>
        <v>-5341205.5</v>
      </c>
      <c r="I182" s="327">
        <f t="shared" si="60"/>
        <v>-5341205.5</v>
      </c>
      <c r="J182" s="327">
        <f t="shared" si="60"/>
        <v>-5341205.5</v>
      </c>
      <c r="K182" s="327">
        <f t="shared" si="60"/>
        <v>-5341205.5</v>
      </c>
      <c r="L182" s="327">
        <f t="shared" si="60"/>
        <v>-5341205.5</v>
      </c>
      <c r="M182" s="327">
        <f t="shared" si="60"/>
        <v>-5341205.5</v>
      </c>
      <c r="N182" s="327">
        <f t="shared" si="60"/>
        <v>-5341205.5</v>
      </c>
      <c r="O182" s="327">
        <f t="shared" si="60"/>
        <v>-5341205.5</v>
      </c>
      <c r="P182" s="327">
        <f t="shared" si="60"/>
        <v>-5341205.5</v>
      </c>
      <c r="Q182" s="327">
        <f t="shared" si="60"/>
        <v>-5341205.5</v>
      </c>
      <c r="R182" s="327">
        <f t="shared" si="60"/>
        <v>-5341205.5</v>
      </c>
      <c r="S182" s="327">
        <f t="shared" si="60"/>
        <v>-5341205.5</v>
      </c>
      <c r="T182" s="327">
        <f t="shared" si="60"/>
        <v>2750000</v>
      </c>
      <c r="U182" s="327">
        <f t="shared" si="60"/>
        <v>2750000</v>
      </c>
      <c r="V182" s="328">
        <f t="shared" si="60"/>
        <v>2750000</v>
      </c>
      <c r="W182" s="328">
        <f t="shared" si="60"/>
        <v>2750000</v>
      </c>
      <c r="X182" s="328">
        <f t="shared" si="60"/>
        <v>2750000</v>
      </c>
      <c r="Y182" s="328">
        <f t="shared" si="60"/>
        <v>2750000</v>
      </c>
      <c r="Z182" s="328">
        <f t="shared" si="60"/>
        <v>2750000</v>
      </c>
      <c r="AA182" s="328">
        <f t="shared" si="60"/>
        <v>2750000</v>
      </c>
      <c r="AB182" s="328">
        <f t="shared" si="60"/>
        <v>2750000</v>
      </c>
      <c r="AC182" s="328">
        <f t="shared" si="60"/>
        <v>2750000</v>
      </c>
      <c r="AD182" s="328">
        <f t="shared" si="60"/>
        <v>2750000</v>
      </c>
      <c r="AE182" s="328">
        <f t="shared" si="60"/>
        <v>2750000</v>
      </c>
      <c r="AF182" s="328">
        <f t="shared" si="60"/>
        <v>2750000</v>
      </c>
      <c r="AG182" s="328">
        <f t="shared" si="60"/>
        <v>2750000</v>
      </c>
      <c r="AH182" s="328">
        <f t="shared" si="60"/>
        <v>2750000</v>
      </c>
      <c r="AI182" s="328">
        <f t="shared" si="60"/>
        <v>2750000</v>
      </c>
      <c r="AJ182" s="328">
        <f t="shared" si="60"/>
        <v>2750000</v>
      </c>
      <c r="AK182" s="328">
        <f t="shared" si="60"/>
        <v>2750000</v>
      </c>
      <c r="AL182" s="328">
        <f t="shared" si="60"/>
        <v>2750000</v>
      </c>
      <c r="AM182" s="328">
        <f t="shared" si="60"/>
        <v>2750000</v>
      </c>
      <c r="AN182" s="328">
        <f t="shared" si="60"/>
        <v>2750000</v>
      </c>
      <c r="AO182" s="328">
        <f t="shared" si="60"/>
        <v>2750000</v>
      </c>
      <c r="AP182" s="328">
        <f t="shared" si="60"/>
        <v>2750000</v>
      </c>
      <c r="AQ182" s="328">
        <f t="shared" si="60"/>
        <v>2750000</v>
      </c>
      <c r="AR182" s="328">
        <f t="shared" si="60"/>
        <v>2750000</v>
      </c>
      <c r="AS182" s="328">
        <f t="shared" si="60"/>
        <v>2750000</v>
      </c>
      <c r="AT182" s="328">
        <f t="shared" si="60"/>
        <v>2750000</v>
      </c>
      <c r="AU182" s="328">
        <f t="shared" si="60"/>
        <v>2750000</v>
      </c>
      <c r="AV182" s="328">
        <f t="shared" si="60"/>
        <v>2750000</v>
      </c>
      <c r="AW182" s="328">
        <f t="shared" si="60"/>
        <v>2750000</v>
      </c>
      <c r="AX182" s="328">
        <f t="shared" si="60"/>
        <v>2750000</v>
      </c>
      <c r="AY182" s="328">
        <f t="shared" si="60"/>
        <v>2750000</v>
      </c>
      <c r="AZ182" s="328">
        <f t="shared" si="60"/>
        <v>2750000</v>
      </c>
      <c r="BA182" s="328">
        <f t="shared" si="60"/>
        <v>2750000</v>
      </c>
      <c r="BB182" s="328">
        <f t="shared" si="60"/>
        <v>2750000</v>
      </c>
      <c r="BC182" s="327">
        <f t="shared" si="60"/>
        <v>2750000</v>
      </c>
      <c r="BD182" s="327">
        <f t="shared" si="60"/>
        <v>2750000</v>
      </c>
      <c r="BE182" s="327">
        <f t="shared" si="60"/>
        <v>2750000</v>
      </c>
      <c r="BF182" s="327">
        <f t="shared" si="60"/>
        <v>2750000</v>
      </c>
      <c r="BG182" s="327">
        <f t="shared" si="60"/>
        <v>2750000</v>
      </c>
      <c r="BH182" s="327">
        <f t="shared" si="60"/>
        <v>2750000</v>
      </c>
      <c r="BI182" s="327">
        <f t="shared" si="60"/>
        <v>2750000</v>
      </c>
      <c r="BJ182" s="327">
        <f t="shared" si="60"/>
        <v>2750000</v>
      </c>
      <c r="BK182" s="327">
        <f t="shared" si="60"/>
        <v>2750000</v>
      </c>
      <c r="BL182" s="327">
        <f t="shared" si="60"/>
        <v>2750000</v>
      </c>
      <c r="BM182" s="327">
        <f t="shared" si="60"/>
        <v>2750000</v>
      </c>
      <c r="BN182" s="327">
        <f t="shared" si="60"/>
        <v>2750000</v>
      </c>
      <c r="BO182" s="327">
        <f t="shared" si="60"/>
        <v>2750000</v>
      </c>
      <c r="BP182" s="327">
        <f t="shared" si="60"/>
        <v>2750000</v>
      </c>
      <c r="BQ182" s="327">
        <f t="shared" si="60"/>
        <v>2750000</v>
      </c>
      <c r="BR182" s="327">
        <f t="shared" si="60"/>
        <v>2750000</v>
      </c>
      <c r="BS182" s="327">
        <f t="shared" si="60"/>
        <v>2750000</v>
      </c>
      <c r="BT182" s="327">
        <f t="shared" si="60"/>
        <v>2750000</v>
      </c>
      <c r="BU182" s="327">
        <f t="shared" si="60"/>
        <v>2750000</v>
      </c>
      <c r="BV182" s="327">
        <f t="shared" si="60"/>
        <v>2750000</v>
      </c>
      <c r="BW182" s="327">
        <f t="shared" si="60"/>
        <v>2750000</v>
      </c>
      <c r="BX182" s="327" t="e">
        <f t="shared" si="60"/>
        <v>#VALUE!</v>
      </c>
      <c r="BY182" s="222"/>
      <c r="BZ182" s="222"/>
      <c r="CA182" s="222"/>
      <c r="CB182" s="222"/>
      <c r="CC182" s="222"/>
      <c r="CD182" s="222"/>
      <c r="CE182" s="222"/>
      <c r="CF182" s="222"/>
      <c r="CG182" s="222"/>
      <c r="CH182" s="222"/>
      <c r="CI182" s="222"/>
      <c r="CJ182" s="222"/>
      <c r="CK182" s="222"/>
      <c r="CL182" s="222"/>
      <c r="CM182" s="222"/>
      <c r="CN182" s="222"/>
      <c r="CO182" s="222"/>
      <c r="CP182" s="222"/>
      <c r="CQ182" s="222"/>
      <c r="CR182" s="222"/>
      <c r="CS182" s="222"/>
      <c r="CT182" s="222"/>
      <c r="CU182" s="222"/>
      <c r="CV182" s="222"/>
      <c r="CW182" s="222"/>
      <c r="CX182" s="222"/>
      <c r="CY182" s="222"/>
      <c r="CZ182" s="222"/>
      <c r="DA182" s="222"/>
      <c r="DB182" s="222"/>
      <c r="DC182" s="222"/>
      <c r="DD182" s="222"/>
      <c r="DE182" s="222"/>
      <c r="DF182" s="222"/>
      <c r="DG182" s="222"/>
      <c r="DH182" s="222"/>
      <c r="DI182" s="222"/>
      <c r="DJ182" s="222"/>
      <c r="DK182" s="222"/>
      <c r="DL182" s="222"/>
      <c r="DM182" s="222"/>
      <c r="DN182" s="222"/>
      <c r="DO182" s="222"/>
      <c r="DP182" s="222"/>
      <c r="DQ182" s="222"/>
      <c r="DR182" s="222"/>
      <c r="DS182" s="222"/>
      <c r="DT182" s="222"/>
      <c r="DU182" s="222"/>
      <c r="DV182" s="222"/>
      <c r="DW182" s="222"/>
      <c r="DX182" s="222"/>
      <c r="DY182" s="222"/>
      <c r="DZ182" s="222"/>
      <c r="EA182" s="222"/>
      <c r="EB182" s="222"/>
      <c r="EC182" s="222"/>
      <c r="ED182" s="222"/>
      <c r="EE182" s="222"/>
      <c r="EF182" s="222"/>
      <c r="EG182" s="222"/>
      <c r="EH182" s="222"/>
    </row>
    <row r="183" spans="1:138">
      <c r="A183" s="222"/>
      <c r="B183" s="318"/>
      <c r="C183" s="313" t="s">
        <v>292</v>
      </c>
      <c r="D183" s="322" t="e">
        <f>IRR(E181:BX181)*12</f>
        <v>#VALUE!</v>
      </c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222"/>
      <c r="AF183" s="222"/>
      <c r="AG183" s="222"/>
      <c r="AH183" s="222"/>
      <c r="AI183" s="222"/>
      <c r="AJ183" s="222"/>
      <c r="AK183" s="222"/>
      <c r="AL183" s="222"/>
      <c r="AM183" s="222"/>
      <c r="AN183" s="222"/>
      <c r="AO183" s="222"/>
      <c r="AP183" s="222"/>
      <c r="AQ183" s="222"/>
      <c r="AR183" s="222"/>
      <c r="AS183" s="222"/>
      <c r="AT183" s="222"/>
      <c r="AU183" s="222"/>
      <c r="AV183" s="222"/>
      <c r="AW183" s="222"/>
      <c r="AX183" s="222"/>
      <c r="AY183" s="222"/>
      <c r="AZ183" s="222"/>
      <c r="BA183" s="222"/>
      <c r="BB183" s="222"/>
      <c r="BC183" s="222"/>
      <c r="BD183" s="222"/>
      <c r="BE183" s="222"/>
      <c r="BF183" s="222"/>
      <c r="BG183" s="222"/>
      <c r="BH183" s="222"/>
      <c r="BI183" s="222"/>
      <c r="BJ183" s="222"/>
      <c r="BK183" s="222"/>
      <c r="BL183" s="222"/>
      <c r="BM183" s="222"/>
      <c r="BN183" s="222"/>
      <c r="BO183" s="222"/>
      <c r="BP183" s="222"/>
      <c r="BQ183" s="222"/>
      <c r="BR183" s="222"/>
      <c r="BS183" s="222"/>
      <c r="BT183" s="222"/>
      <c r="BU183" s="222"/>
      <c r="BV183" s="222"/>
      <c r="BW183" s="222"/>
      <c r="BX183" s="222"/>
      <c r="BY183" s="222"/>
      <c r="BZ183" s="222"/>
      <c r="CA183" s="222"/>
      <c r="CB183" s="222"/>
      <c r="CC183" s="222"/>
      <c r="CD183" s="222"/>
      <c r="CE183" s="222"/>
      <c r="CF183" s="222"/>
      <c r="CG183" s="222"/>
      <c r="CH183" s="222"/>
      <c r="CI183" s="222"/>
      <c r="CJ183" s="222"/>
      <c r="CK183" s="222"/>
      <c r="CL183" s="222"/>
      <c r="CM183" s="222"/>
      <c r="CN183" s="222"/>
      <c r="CO183" s="222"/>
      <c r="CP183" s="222"/>
      <c r="CQ183" s="222"/>
      <c r="CR183" s="222"/>
      <c r="CS183" s="222"/>
      <c r="CT183" s="222"/>
      <c r="CU183" s="222"/>
      <c r="CV183" s="222"/>
      <c r="CW183" s="222"/>
      <c r="CX183" s="222"/>
      <c r="CY183" s="222"/>
      <c r="CZ183" s="222"/>
      <c r="DA183" s="222"/>
      <c r="DB183" s="222"/>
      <c r="DC183" s="222"/>
      <c r="DD183" s="222"/>
      <c r="DE183" s="222"/>
      <c r="DF183" s="222"/>
      <c r="DG183" s="222"/>
      <c r="DH183" s="222"/>
      <c r="DI183" s="222"/>
      <c r="DJ183" s="222"/>
      <c r="DK183" s="222"/>
      <c r="DL183" s="222"/>
      <c r="DM183" s="222"/>
      <c r="DN183" s="222"/>
      <c r="DO183" s="222"/>
      <c r="DP183" s="222"/>
      <c r="DQ183" s="222"/>
      <c r="DR183" s="222"/>
      <c r="DS183" s="222"/>
      <c r="DT183" s="222"/>
      <c r="DU183" s="222"/>
      <c r="DV183" s="222"/>
      <c r="DW183" s="222"/>
      <c r="DX183" s="222"/>
      <c r="DY183" s="222"/>
      <c r="DZ183" s="222"/>
      <c r="EA183" s="222"/>
      <c r="EB183" s="222"/>
      <c r="EC183" s="222"/>
      <c r="ED183" s="222"/>
      <c r="EE183" s="222"/>
      <c r="EF183" s="222"/>
      <c r="EG183" s="222"/>
      <c r="EH183" s="222"/>
    </row>
    <row r="184" spans="1:138">
      <c r="A184" s="222"/>
      <c r="B184" s="318"/>
      <c r="C184" s="323" t="s">
        <v>300</v>
      </c>
      <c r="D184" s="324">
        <f>-MIN(M182:BL182)-D185</f>
        <v>5341205.5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222"/>
      <c r="AF184" s="222"/>
      <c r="AG184" s="222"/>
      <c r="AH184" s="222"/>
      <c r="AI184" s="222"/>
      <c r="AJ184" s="222"/>
      <c r="AK184" s="222"/>
      <c r="AL184" s="222"/>
      <c r="AM184" s="222"/>
      <c r="AN184" s="222"/>
      <c r="AO184" s="222"/>
      <c r="AP184" s="222"/>
      <c r="AQ184" s="222"/>
      <c r="AR184" s="222"/>
      <c r="AS184" s="222"/>
      <c r="AT184" s="222"/>
      <c r="AU184" s="222"/>
      <c r="AV184" s="222"/>
      <c r="AW184" s="222"/>
      <c r="AX184" s="222"/>
      <c r="AY184" s="222"/>
      <c r="AZ184" s="222"/>
      <c r="BA184" s="222"/>
      <c r="BB184" s="222"/>
      <c r="BC184" s="222"/>
      <c r="BD184" s="222"/>
      <c r="BE184" s="222"/>
      <c r="BF184" s="222"/>
      <c r="BG184" s="222"/>
      <c r="BH184" s="222"/>
      <c r="BI184" s="222"/>
      <c r="BJ184" s="222"/>
      <c r="BK184" s="222"/>
      <c r="BL184" s="222"/>
      <c r="BM184" s="222"/>
      <c r="BN184" s="222"/>
      <c r="BO184" s="222"/>
      <c r="BP184" s="222"/>
      <c r="BQ184" s="222"/>
      <c r="BR184" s="222"/>
      <c r="BS184" s="222"/>
      <c r="BT184" s="222"/>
      <c r="BU184" s="222"/>
      <c r="BV184" s="222"/>
      <c r="BW184" s="222"/>
      <c r="BX184" s="222"/>
      <c r="BY184" s="222"/>
      <c r="BZ184" s="222"/>
      <c r="CA184" s="222"/>
      <c r="CB184" s="222"/>
      <c r="CC184" s="222"/>
      <c r="CD184" s="222"/>
      <c r="CE184" s="222"/>
      <c r="CF184" s="222"/>
      <c r="CG184" s="222"/>
      <c r="CH184" s="222"/>
      <c r="CI184" s="222"/>
      <c r="CJ184" s="222"/>
      <c r="CK184" s="222"/>
      <c r="CL184" s="222"/>
      <c r="CM184" s="222"/>
      <c r="CN184" s="222"/>
      <c r="CO184" s="222"/>
      <c r="CP184" s="222"/>
      <c r="CQ184" s="222"/>
      <c r="CR184" s="222"/>
      <c r="CS184" s="222"/>
      <c r="CT184" s="222"/>
      <c r="CU184" s="222"/>
      <c r="CV184" s="222"/>
      <c r="CW184" s="222"/>
      <c r="CX184" s="222"/>
      <c r="CY184" s="222"/>
      <c r="CZ184" s="222"/>
      <c r="DA184" s="222"/>
      <c r="DB184" s="222"/>
      <c r="DC184" s="222"/>
      <c r="DD184" s="222"/>
      <c r="DE184" s="222"/>
      <c r="DF184" s="222"/>
      <c r="DG184" s="222"/>
      <c r="DH184" s="222"/>
      <c r="DI184" s="222"/>
      <c r="DJ184" s="222"/>
      <c r="DK184" s="222"/>
      <c r="DL184" s="222"/>
      <c r="DM184" s="222"/>
      <c r="DN184" s="222"/>
      <c r="DO184" s="222"/>
      <c r="DP184" s="222"/>
      <c r="DQ184" s="222"/>
      <c r="DR184" s="222"/>
      <c r="DS184" s="222"/>
      <c r="DT184" s="222"/>
      <c r="DU184" s="222"/>
      <c r="DV184" s="222"/>
      <c r="DW184" s="222"/>
      <c r="DX184" s="222"/>
      <c r="DY184" s="222"/>
      <c r="DZ184" s="222"/>
      <c r="EA184" s="222"/>
      <c r="EB184" s="222"/>
      <c r="EC184" s="222"/>
      <c r="ED184" s="222"/>
      <c r="EE184" s="222"/>
      <c r="EF184" s="222"/>
      <c r="EG184" s="222"/>
      <c r="EH184" s="222"/>
    </row>
    <row r="185" spans="1:138">
      <c r="A185" s="222"/>
      <c r="B185" s="318"/>
      <c r="C185" s="323" t="s">
        <v>301</v>
      </c>
      <c r="D185" s="324">
        <f>-SUM(M180:BB180)</f>
        <v>0</v>
      </c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22"/>
      <c r="AD185" s="222"/>
      <c r="AE185" s="222"/>
      <c r="AF185" s="222"/>
      <c r="AG185" s="222"/>
      <c r="AH185" s="222"/>
      <c r="AI185" s="222"/>
      <c r="AJ185" s="222"/>
      <c r="AK185" s="222"/>
      <c r="AL185" s="222"/>
      <c r="AM185" s="222"/>
      <c r="AN185" s="222"/>
      <c r="AO185" s="222"/>
      <c r="AP185" s="222"/>
      <c r="AQ185" s="222"/>
      <c r="AR185" s="222"/>
      <c r="AS185" s="222"/>
      <c r="AT185" s="222"/>
      <c r="AU185" s="222"/>
      <c r="AV185" s="222"/>
      <c r="AW185" s="222"/>
      <c r="AX185" s="222"/>
      <c r="AY185" s="222"/>
      <c r="AZ185" s="222"/>
      <c r="BA185" s="222"/>
      <c r="BB185" s="222"/>
      <c r="BC185" s="222"/>
      <c r="BD185" s="222"/>
      <c r="BE185" s="222"/>
      <c r="BF185" s="222"/>
      <c r="BG185" s="222"/>
      <c r="BH185" s="222"/>
      <c r="BI185" s="222"/>
      <c r="BJ185" s="222"/>
      <c r="BK185" s="222"/>
      <c r="BL185" s="222"/>
      <c r="BM185" s="222"/>
      <c r="BN185" s="222"/>
      <c r="BO185" s="222"/>
      <c r="BP185" s="222"/>
      <c r="BQ185" s="222"/>
      <c r="BR185" s="222"/>
      <c r="BS185" s="222"/>
      <c r="BT185" s="222"/>
      <c r="BU185" s="222"/>
      <c r="BV185" s="222"/>
      <c r="BW185" s="222"/>
      <c r="BX185" s="222"/>
      <c r="BY185" s="222"/>
      <c r="BZ185" s="222"/>
      <c r="CA185" s="222"/>
      <c r="CB185" s="222"/>
      <c r="CC185" s="222"/>
      <c r="CD185" s="222"/>
      <c r="CE185" s="222"/>
      <c r="CF185" s="222"/>
      <c r="CG185" s="222"/>
      <c r="CH185" s="222"/>
      <c r="CI185" s="222"/>
      <c r="CJ185" s="222"/>
      <c r="CK185" s="222"/>
      <c r="CL185" s="222"/>
      <c r="CM185" s="222"/>
      <c r="CN185" s="222"/>
      <c r="CO185" s="222"/>
      <c r="CP185" s="222"/>
      <c r="CQ185" s="222"/>
      <c r="CR185" s="222"/>
      <c r="CS185" s="222"/>
      <c r="CT185" s="222"/>
      <c r="CU185" s="222"/>
      <c r="CV185" s="222"/>
      <c r="CW185" s="222"/>
      <c r="CX185" s="222"/>
      <c r="CY185" s="222"/>
      <c r="CZ185" s="222"/>
      <c r="DA185" s="222"/>
      <c r="DB185" s="222"/>
      <c r="DC185" s="222"/>
      <c r="DD185" s="222"/>
      <c r="DE185" s="222"/>
      <c r="DF185" s="222"/>
      <c r="DG185" s="222"/>
      <c r="DH185" s="222"/>
      <c r="DI185" s="222"/>
      <c r="DJ185" s="222"/>
      <c r="DK185" s="222"/>
      <c r="DL185" s="222"/>
      <c r="DM185" s="222"/>
      <c r="DN185" s="222"/>
      <c r="DO185" s="222"/>
      <c r="DP185" s="222"/>
      <c r="DQ185" s="222"/>
      <c r="DR185" s="222"/>
      <c r="DS185" s="222"/>
      <c r="DT185" s="222"/>
      <c r="DU185" s="222"/>
      <c r="DV185" s="222"/>
      <c r="DW185" s="222"/>
      <c r="DX185" s="222"/>
      <c r="DY185" s="222"/>
      <c r="DZ185" s="222"/>
      <c r="EA185" s="222"/>
      <c r="EB185" s="222"/>
      <c r="EC185" s="222"/>
      <c r="ED185" s="222"/>
      <c r="EE185" s="222"/>
      <c r="EF185" s="222"/>
      <c r="EG185" s="222"/>
      <c r="EH185" s="222"/>
    </row>
    <row r="186" spans="1:138">
      <c r="A186" s="222"/>
      <c r="B186" s="318"/>
      <c r="C186" s="313" t="s">
        <v>302</v>
      </c>
      <c r="D186" s="326">
        <f>D185+D184</f>
        <v>5341205.5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2"/>
      <c r="AX186" s="222"/>
      <c r="AY186" s="222"/>
      <c r="AZ186" s="222"/>
      <c r="BA186" s="222"/>
      <c r="BB186" s="222"/>
      <c r="BC186" s="222"/>
      <c r="BD186" s="222"/>
      <c r="BE186" s="222"/>
      <c r="BF186" s="222"/>
      <c r="BG186" s="222"/>
      <c r="BH186" s="222"/>
      <c r="BI186" s="222"/>
      <c r="BJ186" s="222"/>
      <c r="BK186" s="222"/>
      <c r="BL186" s="222"/>
      <c r="BM186" s="222"/>
      <c r="BN186" s="222"/>
      <c r="BO186" s="222"/>
      <c r="BP186" s="222"/>
      <c r="BQ186" s="222"/>
      <c r="BR186" s="222"/>
      <c r="BS186" s="222"/>
      <c r="BT186" s="222"/>
      <c r="BU186" s="222"/>
      <c r="BV186" s="222"/>
      <c r="BW186" s="222"/>
      <c r="BX186" s="222"/>
      <c r="BY186" s="222"/>
      <c r="BZ186" s="222"/>
      <c r="CA186" s="222"/>
      <c r="CB186" s="222"/>
      <c r="CC186" s="222"/>
      <c r="CD186" s="222"/>
      <c r="CE186" s="222"/>
      <c r="CF186" s="222"/>
      <c r="CG186" s="222"/>
      <c r="CH186" s="222"/>
      <c r="CI186" s="222"/>
      <c r="CJ186" s="222"/>
      <c r="CK186" s="222"/>
      <c r="CL186" s="222"/>
      <c r="CM186" s="222"/>
      <c r="CN186" s="222"/>
      <c r="CO186" s="222"/>
      <c r="CP186" s="222"/>
      <c r="CQ186" s="222"/>
      <c r="CR186" s="222"/>
      <c r="CS186" s="222"/>
      <c r="CT186" s="222"/>
      <c r="CU186" s="222"/>
      <c r="CV186" s="222"/>
      <c r="CW186" s="222"/>
      <c r="CX186" s="222"/>
      <c r="CY186" s="222"/>
      <c r="CZ186" s="222"/>
      <c r="DA186" s="222"/>
      <c r="DB186" s="222"/>
      <c r="DC186" s="222"/>
      <c r="DD186" s="222"/>
      <c r="DE186" s="222"/>
      <c r="DF186" s="222"/>
      <c r="DG186" s="222"/>
      <c r="DH186" s="222"/>
      <c r="DI186" s="222"/>
      <c r="DJ186" s="222"/>
      <c r="DK186" s="222"/>
      <c r="DL186" s="222"/>
      <c r="DM186" s="222"/>
      <c r="DN186" s="222"/>
      <c r="DO186" s="222"/>
      <c r="DP186" s="222"/>
      <c r="DQ186" s="222"/>
      <c r="DR186" s="222"/>
      <c r="DS186" s="222"/>
      <c r="DT186" s="222"/>
      <c r="DU186" s="222"/>
      <c r="DV186" s="222"/>
      <c r="DW186" s="325"/>
      <c r="DX186" s="325"/>
      <c r="DY186" s="325"/>
      <c r="DZ186" s="325"/>
      <c r="EA186" s="325"/>
      <c r="EB186" s="325"/>
      <c r="EC186" s="325"/>
      <c r="ED186" s="325"/>
      <c r="EE186" s="325"/>
      <c r="EF186" s="325"/>
      <c r="EG186" s="325"/>
      <c r="EH186" s="325"/>
    </row>
    <row r="187" spans="1:138">
      <c r="A187" s="222"/>
      <c r="B187" s="318"/>
      <c r="C187" s="313" t="s">
        <v>303</v>
      </c>
      <c r="D187" s="326" t="e">
        <f>BX178+BX179</f>
        <v>#VALUE!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2"/>
      <c r="AX187" s="222"/>
      <c r="AY187" s="222"/>
      <c r="AZ187" s="222"/>
      <c r="BA187" s="222"/>
      <c r="BB187" s="222"/>
      <c r="BC187" s="222"/>
      <c r="BD187" s="222"/>
      <c r="BE187" s="222"/>
      <c r="BF187" s="222"/>
      <c r="BG187" s="222"/>
      <c r="BH187" s="222"/>
      <c r="BI187" s="222"/>
      <c r="BJ187" s="222"/>
      <c r="BK187" s="222"/>
      <c r="BL187" s="222"/>
      <c r="BM187" s="222"/>
      <c r="BN187" s="222"/>
      <c r="BO187" s="222"/>
      <c r="BP187" s="222"/>
      <c r="BQ187" s="222"/>
      <c r="BR187" s="222"/>
      <c r="BS187" s="222"/>
      <c r="BT187" s="222"/>
      <c r="BU187" s="222"/>
      <c r="BV187" s="222"/>
      <c r="BW187" s="222"/>
      <c r="BX187" s="222"/>
      <c r="BY187" s="222"/>
      <c r="BZ187" s="222"/>
      <c r="CA187" s="222"/>
      <c r="CB187" s="222"/>
      <c r="CC187" s="222"/>
      <c r="CD187" s="222"/>
      <c r="CE187" s="222"/>
      <c r="CF187" s="222"/>
      <c r="CG187" s="222"/>
      <c r="CH187" s="222"/>
      <c r="CI187" s="222"/>
      <c r="CJ187" s="222"/>
      <c r="CK187" s="222"/>
      <c r="CL187" s="222"/>
      <c r="CM187" s="222"/>
      <c r="CN187" s="222"/>
      <c r="CO187" s="222"/>
      <c r="CP187" s="222"/>
      <c r="CQ187" s="222"/>
      <c r="CR187" s="222"/>
      <c r="CS187" s="222"/>
      <c r="CT187" s="222"/>
      <c r="CU187" s="222"/>
      <c r="CV187" s="222"/>
      <c r="CW187" s="222"/>
      <c r="CX187" s="222"/>
      <c r="CY187" s="222"/>
      <c r="CZ187" s="222"/>
      <c r="DA187" s="222"/>
      <c r="DB187" s="222"/>
      <c r="DC187" s="222"/>
      <c r="DD187" s="222"/>
      <c r="DE187" s="222"/>
      <c r="DF187" s="222"/>
      <c r="DG187" s="222"/>
      <c r="DH187" s="222"/>
      <c r="DI187" s="222"/>
      <c r="DJ187" s="222"/>
      <c r="DK187" s="222"/>
      <c r="DL187" s="222"/>
      <c r="DM187" s="222"/>
      <c r="DN187" s="222"/>
      <c r="DO187" s="222"/>
      <c r="DP187" s="222"/>
      <c r="DQ187" s="222"/>
      <c r="DR187" s="222"/>
      <c r="DS187" s="222"/>
      <c r="DT187" s="222"/>
      <c r="DU187" s="222"/>
      <c r="DV187" s="222"/>
      <c r="DW187" s="325"/>
      <c r="DX187" s="325"/>
      <c r="DY187" s="325"/>
      <c r="DZ187" s="325"/>
      <c r="EA187" s="325"/>
      <c r="EB187" s="325"/>
      <c r="EC187" s="325"/>
      <c r="ED187" s="325"/>
      <c r="EE187" s="325"/>
      <c r="EF187" s="325"/>
      <c r="EG187" s="325"/>
      <c r="EH187" s="325"/>
    </row>
    <row r="188" spans="1:138">
      <c r="A188" s="222"/>
      <c r="B188" s="318"/>
      <c r="C188" s="313" t="s">
        <v>147</v>
      </c>
      <c r="D188" s="322">
        <f>T179/T176</f>
        <v>0.51486504310684167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2"/>
      <c r="BN188" s="222"/>
      <c r="BO188" s="222"/>
      <c r="BP188" s="222"/>
      <c r="BQ188" s="222"/>
      <c r="BR188" s="222"/>
      <c r="BS188" s="222"/>
      <c r="BT188" s="222"/>
      <c r="BU188" s="222"/>
      <c r="BV188" s="222"/>
      <c r="BW188" s="222"/>
      <c r="BX188" s="222"/>
      <c r="BY188" s="222"/>
      <c r="BZ188" s="222"/>
      <c r="CA188" s="222"/>
      <c r="CB188" s="222"/>
      <c r="CC188" s="222"/>
      <c r="CD188" s="222"/>
      <c r="CE188" s="222"/>
      <c r="CF188" s="222"/>
      <c r="CG188" s="222"/>
      <c r="CH188" s="222"/>
      <c r="CI188" s="222"/>
      <c r="CJ188" s="222"/>
      <c r="CK188" s="222"/>
      <c r="CL188" s="222"/>
      <c r="CM188" s="222"/>
      <c r="CN188" s="222"/>
      <c r="CO188" s="222"/>
      <c r="CP188" s="222"/>
      <c r="CQ188" s="222"/>
      <c r="CR188" s="222"/>
      <c r="CS188" s="222"/>
      <c r="CT188" s="222"/>
      <c r="CU188" s="222"/>
      <c r="CV188" s="222"/>
      <c r="CW188" s="222"/>
      <c r="CX188" s="222"/>
      <c r="CY188" s="222"/>
      <c r="CZ188" s="222"/>
      <c r="DA188" s="222"/>
      <c r="DB188" s="222"/>
      <c r="DC188" s="222"/>
      <c r="DD188" s="222"/>
      <c r="DE188" s="222"/>
      <c r="DF188" s="222"/>
      <c r="DG188" s="222"/>
      <c r="DH188" s="222"/>
      <c r="DI188" s="222"/>
      <c r="DJ188" s="222"/>
      <c r="DK188" s="222"/>
      <c r="DL188" s="222"/>
      <c r="DM188" s="222"/>
      <c r="DN188" s="222"/>
      <c r="DO188" s="222"/>
      <c r="DP188" s="222"/>
      <c r="DQ188" s="222"/>
      <c r="DR188" s="222"/>
      <c r="DS188" s="222"/>
      <c r="DT188" s="222"/>
      <c r="DU188" s="222"/>
      <c r="DV188" s="222"/>
      <c r="DW188" s="325"/>
      <c r="DX188" s="325"/>
      <c r="DY188" s="325"/>
      <c r="DZ188" s="325"/>
      <c r="EA188" s="325"/>
      <c r="EB188" s="325"/>
      <c r="EC188" s="325"/>
      <c r="ED188" s="325"/>
      <c r="EE188" s="325"/>
      <c r="EF188" s="325"/>
      <c r="EG188" s="325"/>
      <c r="EH188" s="325"/>
    </row>
    <row r="189" spans="1:138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2"/>
      <c r="BN189" s="222"/>
      <c r="BO189" s="222"/>
      <c r="BP189" s="222"/>
      <c r="BQ189" s="222"/>
      <c r="BR189" s="222"/>
      <c r="BS189" s="222"/>
      <c r="BT189" s="222"/>
      <c r="BU189" s="222"/>
      <c r="BV189" s="222"/>
      <c r="BW189" s="222"/>
      <c r="BX189" s="222"/>
      <c r="BY189" s="222"/>
      <c r="BZ189" s="238"/>
      <c r="CA189" s="222"/>
      <c r="CB189" s="222"/>
      <c r="CC189" s="222"/>
      <c r="CD189" s="222"/>
      <c r="CE189" s="222"/>
      <c r="CF189" s="222"/>
      <c r="CG189" s="222"/>
      <c r="CH189" s="222"/>
      <c r="CI189" s="222"/>
      <c r="CJ189" s="222"/>
      <c r="CK189" s="222"/>
      <c r="CL189" s="222"/>
      <c r="CM189" s="222"/>
      <c r="CN189" s="222"/>
      <c r="CO189" s="222"/>
      <c r="CP189" s="222"/>
      <c r="CQ189" s="222"/>
      <c r="CR189" s="222"/>
      <c r="CS189" s="222"/>
      <c r="CT189" s="222"/>
      <c r="CU189" s="222"/>
      <c r="CV189" s="222"/>
      <c r="CW189" s="222"/>
      <c r="CX189" s="222"/>
      <c r="CY189" s="222"/>
      <c r="CZ189" s="222"/>
      <c r="DA189" s="222"/>
      <c r="DB189" s="222"/>
      <c r="DC189" s="222"/>
      <c r="DD189" s="222"/>
      <c r="DE189" s="222"/>
      <c r="DF189" s="222"/>
      <c r="DG189" s="222"/>
      <c r="DH189" s="222"/>
      <c r="DI189" s="222"/>
      <c r="DJ189" s="222"/>
      <c r="DK189" s="222"/>
      <c r="DL189" s="222"/>
      <c r="DM189" s="222"/>
      <c r="DN189" s="222"/>
      <c r="DO189" s="222"/>
      <c r="DP189" s="222"/>
      <c r="DQ189" s="222"/>
      <c r="DR189" s="222"/>
      <c r="DS189" s="222"/>
      <c r="DT189" s="222"/>
      <c r="DU189" s="222"/>
      <c r="DV189" s="222"/>
      <c r="DW189" s="325"/>
      <c r="DX189" s="325"/>
      <c r="DY189" s="325"/>
      <c r="DZ189" s="325"/>
      <c r="EA189" s="325"/>
      <c r="EB189" s="325"/>
      <c r="EC189" s="325"/>
      <c r="ED189" s="325"/>
      <c r="EE189" s="325"/>
      <c r="EF189" s="325"/>
      <c r="EG189" s="325"/>
      <c r="EH189" s="325"/>
    </row>
  </sheetData>
  <mergeCells count="34">
    <mergeCell ref="S121:T121"/>
    <mergeCell ref="B2:C4"/>
    <mergeCell ref="B5:B8"/>
    <mergeCell ref="B9:B11"/>
    <mergeCell ref="B12:B15"/>
    <mergeCell ref="B16:C16"/>
    <mergeCell ref="B17:B95"/>
    <mergeCell ref="B96:C96"/>
    <mergeCell ref="B97:C97"/>
    <mergeCell ref="B98:C98"/>
    <mergeCell ref="D103:E103"/>
    <mergeCell ref="D106:BW106"/>
    <mergeCell ref="S120:T120"/>
    <mergeCell ref="BM2:BX2"/>
    <mergeCell ref="E2:P2"/>
    <mergeCell ref="Q2:AB2"/>
    <mergeCell ref="BY88:BZ88"/>
    <mergeCell ref="BZ89:BZ95"/>
    <mergeCell ref="BY96:BZ96"/>
    <mergeCell ref="BY97:BZ97"/>
    <mergeCell ref="BZ5:BZ8"/>
    <mergeCell ref="BZ9:BZ11"/>
    <mergeCell ref="BY16:BZ16"/>
    <mergeCell ref="BZ17:BZ87"/>
    <mergeCell ref="CC17:CC87"/>
    <mergeCell ref="CC5:CC8"/>
    <mergeCell ref="CC9:CC11"/>
    <mergeCell ref="CC12:CC15"/>
    <mergeCell ref="CB16:CC16"/>
    <mergeCell ref="AC2:AN2"/>
    <mergeCell ref="AO2:AZ2"/>
    <mergeCell ref="BA2:BL2"/>
    <mergeCell ref="BY2:BZ4"/>
    <mergeCell ref="BZ12:BZ15"/>
  </mergeCells>
  <conditionalFormatting sqref="E17:BX17 E23:BX23 E26:BX26 E34:BX34 E37:BX37 E47:BX47 E53:BX53 E61:BX61 E85:BX85 E88:BX88">
    <cfRule type="cellIs" dxfId="19" priority="1" operator="equal">
      <formula>0</formula>
    </cfRule>
  </conditionalFormatting>
  <conditionalFormatting sqref="F111:BS114 E112 BT112:BX112 E114 BT114:BX114 E128 F128:BX131 E130 E146:BX146 E160 M160:BX160 F160:L163 E162 M162:BX162 M176:T176 H176:L179 E178:G178 M178:BX178">
    <cfRule type="cellIs" dxfId="18" priority="2" operator="equal">
      <formula>0</formula>
    </cfRule>
  </conditionalFormatting>
  <dataValidations count="1">
    <dataValidation type="list" allowBlank="1" showErrorMessage="1" sqref="CB4" xr:uid="{00000000-0002-0000-0D00-000000000000}">
      <formula1>$D$3:$BX$3</formula1>
    </dataValidation>
  </dataValidations>
  <pageMargins left="0" right="0" top="0" bottom="0" header="0" footer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EH192"/>
  <sheetViews>
    <sheetView workbookViewId="0">
      <pane xSplit="3" ySplit="4" topLeftCell="D5" activePane="bottomRight" state="frozen"/>
      <selection pane="bottomRight" activeCell="D5" sqref="D5"/>
      <selection pane="bottomLeft" activeCell="A5" sqref="A5"/>
      <selection pane="topRight" activeCell="D1" sqref="D1"/>
    </sheetView>
  </sheetViews>
  <sheetFormatPr defaultColWidth="12.625" defaultRowHeight="15" customHeight="1" outlineLevelRow="2" outlineLevelCol="2"/>
  <cols>
    <col min="1" max="1" width="2.375" customWidth="1"/>
    <col min="3" max="3" width="40.125" customWidth="1"/>
    <col min="4" max="4" width="12.625" outlineLevel="1"/>
    <col min="5" max="5" width="10.875" customWidth="1" outlineLevel="1"/>
    <col min="6" max="16" width="10.875" customWidth="1" outlineLevel="2"/>
    <col min="17" max="17" width="10.875" customWidth="1" outlineLevel="1"/>
    <col min="18" max="20" width="10.875" customWidth="1" outlineLevel="2"/>
    <col min="21" max="21" width="9.125" customWidth="1" outlineLevel="2"/>
    <col min="22" max="28" width="12.625" customWidth="1" outlineLevel="2"/>
    <col min="29" max="29" width="9.875" customWidth="1" outlineLevel="1" collapsed="1"/>
    <col min="30" max="40" width="6.5" hidden="1" customWidth="1" outlineLevel="2"/>
    <col min="41" max="41" width="6.5" customWidth="1" outlineLevel="1" collapsed="1"/>
    <col min="42" max="52" width="6.5" hidden="1" customWidth="1" outlineLevel="2"/>
    <col min="53" max="53" width="6.5" customWidth="1" outlineLevel="1" collapsed="1"/>
    <col min="54" max="64" width="6.5" hidden="1" customWidth="1" outlineLevel="2"/>
    <col min="65" max="65" width="6.5" customWidth="1" outlineLevel="1" collapsed="1"/>
    <col min="66" max="76" width="6.5" hidden="1" customWidth="1" outlineLevel="2"/>
    <col min="79" max="79" width="12.625" collapsed="1"/>
    <col min="80" max="82" width="12.625" hidden="1" outlineLevel="1"/>
  </cols>
  <sheetData>
    <row r="1" spans="1:138">
      <c r="A1" s="222"/>
      <c r="B1" s="357" t="s">
        <v>199</v>
      </c>
      <c r="C1" s="358">
        <v>45595</v>
      </c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</row>
    <row r="2" spans="1:138">
      <c r="A2" s="505"/>
      <c r="B2" s="567" t="s">
        <v>200</v>
      </c>
      <c r="C2" s="597"/>
      <c r="D2" s="505"/>
      <c r="E2" s="559">
        <v>45292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9"/>
      <c r="Q2" s="558">
        <v>2025</v>
      </c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9"/>
      <c r="AC2" s="558">
        <v>2026</v>
      </c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9"/>
      <c r="AO2" s="559">
        <v>46388</v>
      </c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9"/>
      <c r="BA2" s="559">
        <v>46753</v>
      </c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9"/>
      <c r="BM2" s="559">
        <v>47119</v>
      </c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9"/>
      <c r="BY2" s="560" t="s">
        <v>201</v>
      </c>
      <c r="BZ2" s="597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</row>
    <row r="3" spans="1:138">
      <c r="A3" s="505"/>
      <c r="B3" s="588"/>
      <c r="C3" s="597"/>
      <c r="D3" s="505"/>
      <c r="E3" s="226" t="str">
        <f>IFERROR(VLOOKUP(TEXT(E4,"mm.yyyy"),HMG!$B$2:$C$1001, 2, FALSE),"")</f>
        <v>zapis KS</v>
      </c>
      <c r="F3" s="226" t="str">
        <f>IFERROR(VLOOKUP(TEXT(F4,"mm.yyyy"),HMG!$B$2:$C$1001, 2, FALSE),"")</f>
        <v/>
      </c>
      <c r="G3" s="226" t="str">
        <f>IFERROR(VLOOKUP(TEXT(G4,"mm.yyyy"),HMG!$B$2:$C$1001, 2, FALSE),"")</f>
        <v/>
      </c>
      <c r="H3" s="226" t="str">
        <f>IFERROR(VLOOKUP(TEXT(H4,"mm.yyyy"),HMG!$B$2:$C$1001, 2, FALSE),"")</f>
        <v/>
      </c>
      <c r="I3" s="226" t="str">
        <f>IFERROR(VLOOKUP(TEXT(I4,"mm.yyyy"),HMG!$B$2:$C$1001, 2, FALSE),"")</f>
        <v/>
      </c>
      <c r="J3" s="226" t="str">
        <f>IFERROR(VLOOKUP(TEXT(J4,"mm.yyyy"),HMG!$B$2:$C$1001, 2, FALSE),"")</f>
        <v/>
      </c>
      <c r="K3" s="226" t="str">
        <f>IFERROR(VLOOKUP(TEXT(K4,"mm.yyyy"),HMG!$B$2:$C$1001, 2, FALSE),"")</f>
        <v/>
      </c>
      <c r="L3" s="226" t="str">
        <f>IFERROR(VLOOKUP(TEXT(L4,"mm.yyyy"),HMG!$B$2:$C$1001, 2, FALSE),"")</f>
        <v/>
      </c>
      <c r="M3" s="226" t="str">
        <f>IFERROR(VLOOKUP(TEXT(M4,"mm.yyyy"),HMG!$B$2:$C$1001, 2, FALSE),"")</f>
        <v/>
      </c>
      <c r="N3" s="226" t="str">
        <f>IFERROR(VLOOKUP(TEXT(N4,"mm.yyyy"),HMG!$B$2:$C$1001, 2, FALSE),"")</f>
        <v/>
      </c>
      <c r="O3" s="226" t="str">
        <f>IFERROR(VLOOKUP(TEXT(O4,"mm.yyyy"),HMG!$B$2:$C$1001, 2, FALSE),"")</f>
        <v/>
      </c>
      <c r="P3" s="226" t="str">
        <f>IFERROR(VLOOKUP(TEXT(P4,"mm.yyyy"),HMG!$B$2:$C$1001, 2, FALSE),"")</f>
        <v/>
      </c>
      <c r="Q3" s="226" t="str">
        <f>IFERROR(VLOOKUP(TEXT(Q4,"mm.yyyy"),HMG!$B$2:$C$1001, 2, FALSE),"")</f>
        <v>zapis KS</v>
      </c>
      <c r="R3" s="226" t="str">
        <f>IFERROR(VLOOKUP(TEXT(R4,"mm.yyyy"),HMG!$B$2:$C$1001, 2, FALSE),"")</f>
        <v/>
      </c>
      <c r="S3" s="226" t="str">
        <f>IFERROR(VLOOKUP(TEXT(S4,"mm.yyyy"),HMG!$B$2:$C$1001, 2, FALSE),"")</f>
        <v/>
      </c>
      <c r="T3" s="226" t="str">
        <f>IFERROR(VLOOKUP(TEXT(T4,"mm.yyyy"),HMG!$B$2:$C$1001, 2, FALSE),"")</f>
        <v/>
      </c>
      <c r="U3" s="226" t="str">
        <f>IFERROR(VLOOKUP(TEXT(U4,"mm.yyyy"),HMG!$B$2:$C$1001, 2, FALSE),"")</f>
        <v/>
      </c>
      <c r="V3" s="226" t="str">
        <f>IFERROR(VLOOKUP(TEXT(V4,"mm.yyyy"),HMG!$B$2:$C$1001, 2, FALSE),"")</f>
        <v/>
      </c>
      <c r="W3" s="226" t="str">
        <f>IFERROR(VLOOKUP(TEXT(W4,"mm.yyyy"),HMG!$B$2:$C$1001, 2, FALSE),"")</f>
        <v/>
      </c>
      <c r="X3" s="226" t="str">
        <f>IFERROR(VLOOKUP(TEXT(X4,"mm.yyyy"),HMG!$B$2:$C$1001, 2, FALSE),"")</f>
        <v/>
      </c>
      <c r="Y3" s="226" t="str">
        <f>IFERROR(VLOOKUP(TEXT(Y4,"mm.yyyy"),HMG!$B$2:$C$1001, 2, FALSE),"")</f>
        <v/>
      </c>
      <c r="Z3" s="226" t="str">
        <f>IFERROR(VLOOKUP(TEXT(Z4,"mm.yyyy"),HMG!$B$2:$C$1001, 2, FALSE),"")</f>
        <v/>
      </c>
      <c r="AA3" s="226" t="str">
        <f>IFERROR(VLOOKUP(TEXT(AA4,"mm.yyyy"),HMG!$B$2:$C$1001, 2, FALSE),"")</f>
        <v/>
      </c>
      <c r="AB3" s="226" t="str">
        <f>IFERROR(VLOOKUP(TEXT(AB4,"mm.yyyy"),HMG!$B$2:$C$1001, 2, FALSE),"")</f>
        <v/>
      </c>
      <c r="AC3" s="226" t="str">
        <f>IFERROR(VLOOKUP(TEXT(AC4,"mm.yyyy"),HMG!$B$2:$C$1001, 2, FALSE),"")</f>
        <v>zapis KS</v>
      </c>
      <c r="AD3" s="226" t="str">
        <f>IFERROR(VLOOKUP(TEXT(AD4,"mm.yyyy"),HMG!$B$2:$C$1001, 2, FALSE),"")</f>
        <v/>
      </c>
      <c r="AE3" s="226" t="str">
        <f>IFERROR(VLOOKUP(TEXT(AE4,"mm.yyyy"),HMG!$B$2:$C$1001, 2, FALSE),"")</f>
        <v/>
      </c>
      <c r="AF3" s="226" t="str">
        <f>IFERROR(VLOOKUP(TEXT(AF4,"mm.yyyy"),HMG!$B$2:$C$1001, 2, FALSE),"")</f>
        <v/>
      </c>
      <c r="AG3" s="226" t="str">
        <f>IFERROR(VLOOKUP(TEXT(AG4,"mm.yyyy"),HMG!$B$2:$C$1001, 2, FALSE),"")</f>
        <v/>
      </c>
      <c r="AH3" s="226" t="str">
        <f>IFERROR(VLOOKUP(TEXT(AH4,"mm.yyyy"),HMG!$B$2:$C$1001, 2, FALSE),"")</f>
        <v/>
      </c>
      <c r="AI3" s="226" t="str">
        <f>IFERROR(VLOOKUP(TEXT(AI4,"mm.yyyy"),HMG!$B$2:$C$1001, 2, FALSE),"")</f>
        <v/>
      </c>
      <c r="AJ3" s="226" t="str">
        <f>IFERROR(VLOOKUP(TEXT(AJ4,"mm.yyyy"),HMG!$B$2:$C$1001, 2, FALSE),"")</f>
        <v/>
      </c>
      <c r="AK3" s="226" t="str">
        <f>IFERROR(VLOOKUP(TEXT(AK4,"mm.yyyy"),HMG!$B$2:$C$1001, 2, FALSE),"")</f>
        <v/>
      </c>
      <c r="AL3" s="226" t="str">
        <f>IFERROR(VLOOKUP(TEXT(AL4,"mm.yyyy"),HMG!$B$2:$C$1001, 2, FALSE),"")</f>
        <v/>
      </c>
      <c r="AM3" s="226" t="str">
        <f>IFERROR(VLOOKUP(TEXT(AM4,"mm.yyyy"),HMG!$B$2:$C$1001, 2, FALSE),"")</f>
        <v/>
      </c>
      <c r="AN3" s="226" t="str">
        <f>IFERROR(VLOOKUP(TEXT(AN4,"mm.yyyy"),HMG!$B$2:$C$1001, 2, FALSE),"")</f>
        <v/>
      </c>
      <c r="AO3" s="226" t="str">
        <f>IFERROR(VLOOKUP(TEXT(AO4,"mm.yyyy"),HMG!$B$2:$C$1001, 2, FALSE),"")</f>
        <v>zapis KS</v>
      </c>
      <c r="AP3" s="226" t="str">
        <f>IFERROR(VLOOKUP(TEXT(AP4,"mm.yyyy"),HMG!$B$2:$C$1001, 2, FALSE),"")</f>
        <v/>
      </c>
      <c r="AQ3" s="226" t="str">
        <f>IFERROR(VLOOKUP(TEXT(AQ4,"mm.yyyy"),HMG!$B$2:$C$1001, 2, FALSE),"")</f>
        <v/>
      </c>
      <c r="AR3" s="226" t="str">
        <f>IFERROR(VLOOKUP(TEXT(AR4,"mm.yyyy"),HMG!$B$2:$C$1001, 2, FALSE),"")</f>
        <v/>
      </c>
      <c r="AS3" s="226" t="str">
        <f>IFERROR(VLOOKUP(TEXT(AS4,"mm.yyyy"),HMG!$B$2:$C$1001, 2, FALSE),"")</f>
        <v/>
      </c>
      <c r="AT3" s="226" t="str">
        <f>IFERROR(VLOOKUP(TEXT(AT4,"mm.yyyy"),HMG!$B$2:$C$1001, 2, FALSE),"")</f>
        <v/>
      </c>
      <c r="AU3" s="226" t="str">
        <f>IFERROR(VLOOKUP(TEXT(AU4,"mm.yyyy"),HMG!$B$2:$C$1001, 2, FALSE),"")</f>
        <v/>
      </c>
      <c r="AV3" s="226" t="str">
        <f>IFERROR(VLOOKUP(TEXT(AV4,"mm.yyyy"),HMG!$B$2:$C$1001, 2, FALSE),"")</f>
        <v/>
      </c>
      <c r="AW3" s="226" t="str">
        <f>IFERROR(VLOOKUP(TEXT(AW4,"mm.yyyy"),HMG!$B$2:$C$1001, 2, FALSE),"")</f>
        <v/>
      </c>
      <c r="AX3" s="226" t="str">
        <f>IFERROR(VLOOKUP(TEXT(AX4,"mm.yyyy"),HMG!$B$2:$C$1001, 2, FALSE),"")</f>
        <v/>
      </c>
      <c r="AY3" s="226" t="str">
        <f>IFERROR(VLOOKUP(TEXT(AY4,"mm.yyyy"),HMG!$B$2:$C$1001, 2, FALSE),"")</f>
        <v/>
      </c>
      <c r="AZ3" s="226" t="str">
        <f>IFERROR(VLOOKUP(TEXT(AZ4,"mm.yyyy"),HMG!$B$2:$C$1001, 2, FALSE),"")</f>
        <v/>
      </c>
      <c r="BA3" s="226" t="str">
        <f>IFERROR(VLOOKUP(TEXT(BA4,"mm.yyyy"),HMG!$B$2:$C$1001, 2, FALSE),"")</f>
        <v>zapis KS</v>
      </c>
      <c r="BB3" s="226" t="str">
        <f>IFERROR(VLOOKUP(TEXT(BB4,"mm.yyyy"),HMG!$B$2:$C$1001, 2, FALSE),"")</f>
        <v/>
      </c>
      <c r="BC3" s="226" t="str">
        <f>IFERROR(VLOOKUP(TEXT(BC4,"mm.yyyy"),HMG!$B$2:$C$1001, 2, FALSE),"")</f>
        <v/>
      </c>
      <c r="BD3" s="226" t="str">
        <f>IFERROR(VLOOKUP(TEXT(BD4,"mm.yyyy"),HMG!$B$2:$C$1001, 2, FALSE),"")</f>
        <v/>
      </c>
      <c r="BE3" s="226" t="str">
        <f>IFERROR(VLOOKUP(TEXT(BE4,"mm.yyyy"),HMG!$B$2:$C$1001, 2, FALSE),"")</f>
        <v/>
      </c>
      <c r="BF3" s="226" t="str">
        <f>IFERROR(VLOOKUP(TEXT(BF4,"mm.yyyy"),HMG!$B$2:$C$1001, 2, FALSE),"")</f>
        <v/>
      </c>
      <c r="BG3" s="226" t="str">
        <f>IFERROR(VLOOKUP(TEXT(BG4,"mm.yyyy"),HMG!$B$2:$C$1001, 2, FALSE),"")</f>
        <v/>
      </c>
      <c r="BH3" s="226" t="str">
        <f>IFERROR(VLOOKUP(TEXT(BH4,"mm.yyyy"),HMG!$B$2:$C$1001, 2, FALSE),"")</f>
        <v/>
      </c>
      <c r="BI3" s="226" t="str">
        <f>IFERROR(VLOOKUP(TEXT(BI4,"mm.yyyy"),HMG!$B$2:$C$1001, 2, FALSE),"")</f>
        <v/>
      </c>
      <c r="BJ3" s="226" t="str">
        <f>IFERROR(VLOOKUP(TEXT(BJ4,"mm.yyyy"),HMG!$B$2:$C$1001, 2, FALSE),"")</f>
        <v/>
      </c>
      <c r="BK3" s="226" t="str">
        <f>IFERROR(VLOOKUP(TEXT(BK4,"mm.yyyy"),HMG!$B$2:$C$1001, 2, FALSE),"")</f>
        <v/>
      </c>
      <c r="BL3" s="226" t="str">
        <f>IFERROR(VLOOKUP(TEXT(BL4,"mm.yyyy"),HMG!$B$2:$C$1001, 2, FALSE),"")</f>
        <v/>
      </c>
      <c r="BM3" s="226" t="str">
        <f>IFERROR(VLOOKUP(TEXT(BM4,"mm.yyyy"),HMG!$B$2:$C$1001, 2, FALSE),"")</f>
        <v>zapis KS</v>
      </c>
      <c r="BN3" s="226" t="str">
        <f>IFERROR(VLOOKUP(TEXT(BN4,"mm.yyyy"),HMG!$B$2:$C$1001, 2, FALSE),"")</f>
        <v/>
      </c>
      <c r="BO3" s="226" t="str">
        <f>IFERROR(VLOOKUP(TEXT(BO4,"mm.yyyy"),HMG!$B$2:$C$1001, 2, FALSE),"")</f>
        <v/>
      </c>
      <c r="BP3" s="226" t="str">
        <f>IFERROR(VLOOKUP(TEXT(BP4,"mm.yyyy"),HMG!$B$2:$C$1001, 2, FALSE),"")</f>
        <v/>
      </c>
      <c r="BQ3" s="226" t="str">
        <f>IFERROR(VLOOKUP(TEXT(BQ4,"mm.yyyy"),HMG!$B$2:$C$1001, 2, FALSE),"")</f>
        <v/>
      </c>
      <c r="BR3" s="226" t="str">
        <f>IFERROR(VLOOKUP(TEXT(BR4,"mm.yyyy"),HMG!$B$2:$C$1001, 2, FALSE),"")</f>
        <v/>
      </c>
      <c r="BS3" s="226" t="str">
        <f>IFERROR(VLOOKUP(TEXT(BS4,"mm.yyyy"),HMG!$B$2:$C$1001, 2, FALSE),"")</f>
        <v/>
      </c>
      <c r="BT3" s="226" t="str">
        <f>IFERROR(VLOOKUP(TEXT(BT4,"mm.yyyy"),HMG!$B$2:$C$1001, 2, FALSE),"")</f>
        <v/>
      </c>
      <c r="BU3" s="226" t="str">
        <f>IFERROR(VLOOKUP(TEXT(BU4,"mm.yyyy"),HMG!$B$2:$C$1001, 2, FALSE),"")</f>
        <v/>
      </c>
      <c r="BV3" s="226" t="str">
        <f>IFERROR(VLOOKUP(TEXT(BV4,"mm.yyyy"),HMG!$B$2:$C$1001, 2, FALSE),"")</f>
        <v/>
      </c>
      <c r="BW3" s="226" t="str">
        <f>IFERROR(VLOOKUP(TEXT(BW4,"mm.yyyy"),HMG!$B$2:$C$1001, 2, FALSE),"")</f>
        <v/>
      </c>
      <c r="BX3" s="226" t="str">
        <f>IFERROR(VLOOKUP(TEXT(BX4,"mm.yyyy"),HMG!$B$2:$C$1001, 2, FALSE),"")</f>
        <v/>
      </c>
      <c r="BY3" s="588"/>
      <c r="BZ3" s="597"/>
      <c r="CA3" s="222"/>
      <c r="CB3" s="222" t="s">
        <v>202</v>
      </c>
      <c r="CC3" s="222" t="s">
        <v>203</v>
      </c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2"/>
      <c r="CV3" s="222"/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</row>
    <row r="4" spans="1:138">
      <c r="A4" s="505"/>
      <c r="B4" s="591"/>
      <c r="C4" s="592"/>
      <c r="D4" s="506"/>
      <c r="E4" s="227">
        <v>45292</v>
      </c>
      <c r="F4" s="227">
        <v>45323</v>
      </c>
      <c r="G4" s="227">
        <v>45352</v>
      </c>
      <c r="H4" s="227">
        <v>45383</v>
      </c>
      <c r="I4" s="227">
        <v>45413</v>
      </c>
      <c r="J4" s="227">
        <v>45444</v>
      </c>
      <c r="K4" s="227">
        <v>45474</v>
      </c>
      <c r="L4" s="227">
        <v>45505</v>
      </c>
      <c r="M4" s="227">
        <v>45536</v>
      </c>
      <c r="N4" s="227">
        <v>45566</v>
      </c>
      <c r="O4" s="359">
        <v>45597</v>
      </c>
      <c r="P4" s="227">
        <v>45627</v>
      </c>
      <c r="Q4" s="227">
        <v>45658</v>
      </c>
      <c r="R4" s="227">
        <v>45689</v>
      </c>
      <c r="S4" s="227">
        <v>45717</v>
      </c>
      <c r="T4" s="227">
        <v>45748</v>
      </c>
      <c r="U4" s="227">
        <v>45778</v>
      </c>
      <c r="V4" s="227">
        <v>45809</v>
      </c>
      <c r="W4" s="227">
        <v>45839</v>
      </c>
      <c r="X4" s="227">
        <v>45870</v>
      </c>
      <c r="Y4" s="227">
        <v>45901</v>
      </c>
      <c r="Z4" s="227">
        <v>45931</v>
      </c>
      <c r="AA4" s="227">
        <v>45962</v>
      </c>
      <c r="AB4" s="227">
        <v>45992</v>
      </c>
      <c r="AC4" s="227">
        <v>46023</v>
      </c>
      <c r="AD4" s="227">
        <v>46054</v>
      </c>
      <c r="AE4" s="227">
        <v>46082</v>
      </c>
      <c r="AF4" s="227">
        <v>46113</v>
      </c>
      <c r="AG4" s="227">
        <v>46143</v>
      </c>
      <c r="AH4" s="227">
        <v>46174</v>
      </c>
      <c r="AI4" s="227">
        <v>46204</v>
      </c>
      <c r="AJ4" s="227">
        <v>46235</v>
      </c>
      <c r="AK4" s="227">
        <v>46266</v>
      </c>
      <c r="AL4" s="227">
        <v>46296</v>
      </c>
      <c r="AM4" s="227">
        <v>46327</v>
      </c>
      <c r="AN4" s="227">
        <v>46357</v>
      </c>
      <c r="AO4" s="227">
        <v>46388</v>
      </c>
      <c r="AP4" s="227">
        <v>46419</v>
      </c>
      <c r="AQ4" s="227">
        <v>46447</v>
      </c>
      <c r="AR4" s="227">
        <v>46478</v>
      </c>
      <c r="AS4" s="227">
        <v>46508</v>
      </c>
      <c r="AT4" s="227">
        <v>46539</v>
      </c>
      <c r="AU4" s="227">
        <v>46569</v>
      </c>
      <c r="AV4" s="227">
        <v>46600</v>
      </c>
      <c r="AW4" s="227">
        <v>46631</v>
      </c>
      <c r="AX4" s="227">
        <v>46661</v>
      </c>
      <c r="AY4" s="227">
        <v>46692</v>
      </c>
      <c r="AZ4" s="227">
        <v>46722</v>
      </c>
      <c r="BA4" s="227">
        <v>46753</v>
      </c>
      <c r="BB4" s="227">
        <v>46784</v>
      </c>
      <c r="BC4" s="227">
        <v>46813</v>
      </c>
      <c r="BD4" s="227">
        <v>46844</v>
      </c>
      <c r="BE4" s="227">
        <v>46874</v>
      </c>
      <c r="BF4" s="227">
        <v>46905</v>
      </c>
      <c r="BG4" s="227">
        <v>46935</v>
      </c>
      <c r="BH4" s="227">
        <v>46966</v>
      </c>
      <c r="BI4" s="227">
        <v>46997</v>
      </c>
      <c r="BJ4" s="227">
        <v>47027</v>
      </c>
      <c r="BK4" s="227">
        <v>47058</v>
      </c>
      <c r="BL4" s="227">
        <v>47088</v>
      </c>
      <c r="BM4" s="227">
        <v>47119</v>
      </c>
      <c r="BN4" s="227">
        <v>47150</v>
      </c>
      <c r="BO4" s="227">
        <v>47178</v>
      </c>
      <c r="BP4" s="227">
        <v>47209</v>
      </c>
      <c r="BQ4" s="227">
        <v>47239</v>
      </c>
      <c r="BR4" s="227">
        <v>47270</v>
      </c>
      <c r="BS4" s="227">
        <v>47300</v>
      </c>
      <c r="BT4" s="227">
        <v>47331</v>
      </c>
      <c r="BU4" s="227">
        <v>47362</v>
      </c>
      <c r="BV4" s="227">
        <v>47392</v>
      </c>
      <c r="BW4" s="227">
        <v>47423</v>
      </c>
      <c r="BX4" s="227">
        <v>47453</v>
      </c>
      <c r="BY4" s="591"/>
      <c r="BZ4" s="592"/>
      <c r="CA4" s="222"/>
      <c r="CB4" s="222" t="s">
        <v>63</v>
      </c>
      <c r="CC4" s="222"/>
      <c r="CD4" s="222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2"/>
      <c r="CV4" s="222"/>
      <c r="CW4" s="222"/>
      <c r="CX4" s="222"/>
      <c r="CY4" s="222"/>
      <c r="CZ4" s="222"/>
      <c r="DA4" s="222"/>
      <c r="DB4" s="222"/>
      <c r="DC4" s="222"/>
      <c r="DD4" s="222"/>
      <c r="DE4" s="222"/>
      <c r="DF4" s="222"/>
      <c r="DG4" s="222"/>
      <c r="DH4" s="222"/>
      <c r="DI4" s="222"/>
      <c r="DJ4" s="222"/>
      <c r="DK4" s="222"/>
      <c r="DL4" s="222"/>
      <c r="DM4" s="222"/>
      <c r="DN4" s="222"/>
      <c r="DO4" s="222"/>
      <c r="DP4" s="222"/>
      <c r="DQ4" s="222"/>
      <c r="DR4" s="222"/>
      <c r="DS4" s="222"/>
      <c r="DT4" s="222"/>
      <c r="DU4" s="222"/>
      <c r="DV4" s="222"/>
      <c r="DW4" s="222"/>
      <c r="DX4" s="222"/>
      <c r="DY4" s="222"/>
      <c r="DZ4" s="222"/>
      <c r="EA4" s="222"/>
      <c r="EB4" s="222"/>
      <c r="EC4" s="222"/>
      <c r="ED4" s="222"/>
      <c r="EE4" s="222"/>
      <c r="EF4" s="222"/>
      <c r="EG4" s="222"/>
      <c r="EH4" s="222"/>
    </row>
    <row r="5" spans="1:138">
      <c r="A5" s="505"/>
      <c r="B5" s="568" t="s">
        <v>204</v>
      </c>
      <c r="C5" s="228" t="s">
        <v>205</v>
      </c>
      <c r="D5" s="229" t="s">
        <v>206</v>
      </c>
      <c r="E5" s="230"/>
      <c r="F5" s="231"/>
      <c r="G5" s="231"/>
      <c r="H5" s="231">
        <f>16365002</f>
        <v>16365002</v>
      </c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2"/>
      <c r="BY5" s="233">
        <f t="shared" ref="BY5:BY15" si="0">SUM(E5:BX5)</f>
        <v>16365002</v>
      </c>
      <c r="BZ5" s="561">
        <f>SUM(BY5:BY8)</f>
        <v>24250002</v>
      </c>
      <c r="CA5" s="222"/>
      <c r="CB5" s="233">
        <f t="shared" ref="CB5:CB15" si="1">SUM(H5:CA5)</f>
        <v>56980006</v>
      </c>
      <c r="CC5" s="561">
        <f>SUM(CB5:CB8)</f>
        <v>134070673</v>
      </c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</row>
    <row r="6" spans="1:138">
      <c r="A6" s="505"/>
      <c r="B6" s="600"/>
      <c r="C6" s="228" t="s">
        <v>207</v>
      </c>
      <c r="D6" s="229" t="s">
        <v>206</v>
      </c>
      <c r="E6" s="231"/>
      <c r="F6" s="231"/>
      <c r="G6" s="231"/>
      <c r="H6" s="231"/>
      <c r="I6" s="231"/>
      <c r="J6" s="231"/>
      <c r="K6" s="231">
        <v>885000</v>
      </c>
      <c r="L6" s="231">
        <f>1640000+300000</f>
        <v>1940000</v>
      </c>
      <c r="M6" s="231">
        <f>4260000</f>
        <v>4260000</v>
      </c>
      <c r="N6" s="231"/>
      <c r="O6" s="231"/>
      <c r="P6" s="231">
        <f>800000</f>
        <v>800000</v>
      </c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28"/>
      <c r="BY6" s="233">
        <f t="shared" si="0"/>
        <v>7885000</v>
      </c>
      <c r="BZ6" s="597"/>
      <c r="CA6" s="222">
        <f>9870667</f>
        <v>9870667</v>
      </c>
      <c r="CB6" s="233">
        <f t="shared" si="1"/>
        <v>25640667</v>
      </c>
      <c r="CC6" s="597"/>
      <c r="CD6" s="222"/>
      <c r="CE6" s="222"/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</row>
    <row r="7" spans="1:138">
      <c r="A7" s="505"/>
      <c r="B7" s="600"/>
      <c r="C7" s="234" t="s">
        <v>208</v>
      </c>
      <c r="D7" s="229" t="s">
        <v>206</v>
      </c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28"/>
      <c r="BY7" s="233">
        <f t="shared" si="0"/>
        <v>0</v>
      </c>
      <c r="BZ7" s="597"/>
      <c r="CA7" s="222">
        <f>2100000*24.5</f>
        <v>51450000</v>
      </c>
      <c r="CB7" s="233">
        <f t="shared" si="1"/>
        <v>51450000</v>
      </c>
      <c r="CC7" s="597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</row>
    <row r="8" spans="1:138">
      <c r="A8" s="505"/>
      <c r="B8" s="601"/>
      <c r="C8" s="234" t="s">
        <v>209</v>
      </c>
      <c r="D8" s="235" t="s">
        <v>206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4"/>
      <c r="BY8" s="237">
        <f t="shared" si="0"/>
        <v>0</v>
      </c>
      <c r="BZ8" s="592"/>
      <c r="CA8" s="222"/>
      <c r="CB8" s="237">
        <f t="shared" si="1"/>
        <v>0</v>
      </c>
      <c r="CC8" s="592"/>
      <c r="CD8" s="222"/>
      <c r="CE8" s="222"/>
      <c r="CF8" s="222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</row>
    <row r="9" spans="1:138">
      <c r="A9" s="505"/>
      <c r="B9" s="568" t="s">
        <v>210</v>
      </c>
      <c r="C9" s="232" t="s">
        <v>211</v>
      </c>
      <c r="D9" s="229" t="s">
        <v>206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2"/>
      <c r="BY9" s="233">
        <f t="shared" si="0"/>
        <v>0</v>
      </c>
      <c r="BZ9" s="561">
        <f>SUM(BY9:BY11)</f>
        <v>70252749</v>
      </c>
      <c r="CA9" s="222"/>
      <c r="CB9" s="233">
        <f t="shared" si="1"/>
        <v>70252749</v>
      </c>
      <c r="CC9" s="561">
        <f>SUM(CB9:CB11)</f>
        <v>210758247</v>
      </c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</row>
    <row r="10" spans="1:138">
      <c r="A10" s="505"/>
      <c r="B10" s="600"/>
      <c r="C10" s="232" t="s">
        <v>212</v>
      </c>
      <c r="D10" s="229" t="s">
        <v>206</v>
      </c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>
        <f t="shared" ref="T10:Z10" si="2">24400000/7</f>
        <v>3485714.2857142859</v>
      </c>
      <c r="U10" s="231">
        <f t="shared" si="2"/>
        <v>3485714.2857142859</v>
      </c>
      <c r="V10" s="231">
        <f t="shared" si="2"/>
        <v>3485714.2857142859</v>
      </c>
      <c r="W10" s="231">
        <f t="shared" si="2"/>
        <v>3485714.2857142859</v>
      </c>
      <c r="X10" s="231">
        <f t="shared" si="2"/>
        <v>3485714.2857142859</v>
      </c>
      <c r="Y10" s="231">
        <f t="shared" si="2"/>
        <v>3485714.2857142859</v>
      </c>
      <c r="Z10" s="231">
        <f t="shared" si="2"/>
        <v>3485714.2857142859</v>
      </c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28"/>
      <c r="BY10" s="233">
        <f t="shared" si="0"/>
        <v>24400000.000000004</v>
      </c>
      <c r="BZ10" s="597"/>
      <c r="CA10" s="222"/>
      <c r="CB10" s="233">
        <f t="shared" si="1"/>
        <v>48800000.000000007</v>
      </c>
      <c r="CC10" s="597"/>
      <c r="CD10" s="222"/>
      <c r="CE10" s="222">
        <f>BY5+BY11</f>
        <v>62217751</v>
      </c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</row>
    <row r="11" spans="1:138">
      <c r="A11" s="505"/>
      <c r="B11" s="599"/>
      <c r="C11" s="234" t="s">
        <v>213</v>
      </c>
      <c r="D11" s="235" t="s">
        <v>206</v>
      </c>
      <c r="E11" s="236"/>
      <c r="F11" s="236"/>
      <c r="G11" s="236"/>
      <c r="H11" s="236"/>
      <c r="I11" s="236"/>
      <c r="J11" s="236"/>
      <c r="K11" s="236"/>
      <c r="L11" s="236"/>
      <c r="M11" s="236">
        <f>6449487.53+48944.52</f>
        <v>6498432.0499999998</v>
      </c>
      <c r="N11" s="236">
        <f>19937831.95</f>
        <v>19937831.949999999</v>
      </c>
      <c r="O11" s="236">
        <f>9600000+271833</f>
        <v>9871833</v>
      </c>
      <c r="P11" s="236">
        <f>1400000+280000+3170000+50000+4644652</f>
        <v>9544652</v>
      </c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9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4"/>
      <c r="BY11" s="237">
        <f t="shared" si="0"/>
        <v>45852749</v>
      </c>
      <c r="BZ11" s="602"/>
      <c r="CA11" s="241"/>
      <c r="CB11" s="237">
        <f t="shared" si="1"/>
        <v>91705498</v>
      </c>
      <c r="CC11" s="602"/>
      <c r="CD11" s="241"/>
      <c r="CE11" s="241">
        <f>BY11/CE10</f>
        <v>0.73697213838539422</v>
      </c>
      <c r="CF11" s="241">
        <f>BY11/2100000</f>
        <v>21.834642380952381</v>
      </c>
      <c r="CG11" s="241"/>
      <c r="CH11" s="241" t="e">
        <f ca="1">su</f>
        <v>#NAME?</v>
      </c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</row>
    <row r="12" spans="1:138">
      <c r="A12" s="505"/>
      <c r="B12" s="568" t="s">
        <v>214</v>
      </c>
      <c r="C12" s="228" t="s">
        <v>215</v>
      </c>
      <c r="D12" s="229" t="s">
        <v>206</v>
      </c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>
        <f>SUM(Rentroll!$M$2:$M$10)</f>
        <v>1065607.4044666667</v>
      </c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2"/>
      <c r="BY12" s="233">
        <f t="shared" si="0"/>
        <v>1065607.4044666667</v>
      </c>
      <c r="BZ12" s="561">
        <f>SUM(BY12:BY15)</f>
        <v>150793131.16244841</v>
      </c>
      <c r="CA12" s="222"/>
      <c r="CB12" s="233">
        <f t="shared" si="1"/>
        <v>152924345.97138175</v>
      </c>
      <c r="CC12" s="561">
        <f>SUM(CB12:CB15)</f>
        <v>452379393.48734522</v>
      </c>
      <c r="CD12" s="222"/>
      <c r="CE12" s="238">
        <f>BY5/CE10</f>
        <v>0.26302786161460578</v>
      </c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</row>
    <row r="13" spans="1:138">
      <c r="A13" s="505"/>
      <c r="B13" s="600"/>
      <c r="C13" s="228" t="s">
        <v>216</v>
      </c>
      <c r="D13" s="229" t="s">
        <v>206</v>
      </c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>
        <f>Businessplan_prodej!J25</f>
        <v>138882598.15999994</v>
      </c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2"/>
      <c r="BY13" s="233">
        <f t="shared" si="0"/>
        <v>138882598.15999994</v>
      </c>
      <c r="BZ13" s="597"/>
      <c r="CA13" s="222"/>
      <c r="CB13" s="233">
        <f t="shared" si="1"/>
        <v>277765196.31999987</v>
      </c>
      <c r="CC13" s="597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</row>
    <row r="14" spans="1:138">
      <c r="A14" s="505"/>
      <c r="B14" s="600"/>
      <c r="C14" s="228" t="s">
        <v>7</v>
      </c>
      <c r="D14" s="229" t="s">
        <v>217</v>
      </c>
      <c r="E14" s="231"/>
      <c r="F14" s="231"/>
      <c r="G14" s="231"/>
      <c r="H14" s="231"/>
      <c r="I14" s="231">
        <v>6227</v>
      </c>
      <c r="J14" s="231">
        <v>14588</v>
      </c>
      <c r="K14" s="231">
        <f>457468</f>
        <v>457468</v>
      </c>
      <c r="L14" s="231">
        <v>57517</v>
      </c>
      <c r="M14" s="231">
        <f>60362</f>
        <v>60362</v>
      </c>
      <c r="N14" s="231">
        <v>56101</v>
      </c>
      <c r="O14" s="231">
        <f t="shared" ref="O14:Q14" si="3">-(SUM(M23,M37)-SUM(M23,M37)/1.21)</f>
        <v>115754.88446280989</v>
      </c>
      <c r="P14" s="231">
        <f t="shared" si="3"/>
        <v>4397.6776859504134</v>
      </c>
      <c r="Q14" s="231">
        <f t="shared" si="3"/>
        <v>147063.07867768593</v>
      </c>
      <c r="R14" s="231">
        <f>IF(P12&gt;0,-(SUM(Rentroll!$H$2:$H$4)+Rentroll!$K$2),0)-(SUM(P23,P37)-SUM(P23,P37)/1.21)</f>
        <v>191135.66569421487</v>
      </c>
      <c r="S14" s="231">
        <f>IF(Q12&gt;0,-(SUM(Rentroll!$H$2:$H$4)+Rentroll!$K$2),0)-(SUM(Q23,Q37)-SUM(Q23,Q37)/1.21)</f>
        <v>103817.90479338844</v>
      </c>
      <c r="T14" s="231">
        <f>IF(R12&gt;0,-(SUM(Rentroll!$H$2:$H$4)+Rentroll!$K$2),0)-(SUM(R23,R37)-SUM(R23,R37)/1.21)</f>
        <v>107712.87719008263</v>
      </c>
      <c r="U14" s="231">
        <f>IF(S12&gt;0,-(SUM(Rentroll!$H$2:$H$4)+Rentroll!$K$2),0)-(SUM(S23,S37)-SUM(S23,S37)/1.21)</f>
        <v>131784.1229900826</v>
      </c>
      <c r="V14" s="231">
        <f>IF(T12&gt;0,-(SUM(Rentroll!$H$2:$H$4)+Rentroll!$K$2),0)-(SUM(T23,T37)-SUM(T23,T37)/1.21)</f>
        <v>47718.250537190092</v>
      </c>
      <c r="W14" s="231">
        <f>IF(U12&gt;0,-(SUM(Rentroll!$H$2:$H$4)+Rentroll!$K$2),0)-(SUM(U23,U37)-SUM(U23,U37)/1.21)</f>
        <v>42607.627190082625</v>
      </c>
      <c r="X14" s="231">
        <f>IF(V12&gt;0,-(SUM(Rentroll!$H$2:$H$4)+Rentroll!$K$2),0)-(SUM(V23,V37)-SUM(V23,V37)/1.21)</f>
        <v>42607.627190082625</v>
      </c>
      <c r="Y14" s="231">
        <f>IF(W12&gt;0,-(SUM(Rentroll!$H$2:$H$4)+Rentroll!$K$2),0)-(SUM(W23,W37)-SUM(W23,W37)/1.21)</f>
        <v>53947.627190082625</v>
      </c>
      <c r="Z14" s="231">
        <f>IF(X12&gt;0,-(SUM(Rentroll!$H$2:$H$4)+Rentroll!$K$2),0)-(SUM(X23,X37)-SUM(X23,X37)/1.21)</f>
        <v>42607.627190082625</v>
      </c>
      <c r="AA14" s="231">
        <f>IF(Y12&gt;0,-(SUM(Rentroll!$H$2:$H$4)+Rentroll!$K$2),0)-(SUM(Y23,Y37)-SUM(Y23,Y37)/1.21)</f>
        <v>61507.627190082625</v>
      </c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28"/>
      <c r="BY14" s="233">
        <f t="shared" si="0"/>
        <v>1744925.5979818178</v>
      </c>
      <c r="BZ14" s="597"/>
      <c r="CA14" s="222"/>
      <c r="CB14" s="233">
        <f t="shared" si="1"/>
        <v>3489851.1959636356</v>
      </c>
      <c r="CC14" s="597"/>
      <c r="CD14" s="222"/>
      <c r="CE14" s="222">
        <f>51450000</f>
        <v>51450000</v>
      </c>
      <c r="CF14" s="222">
        <f>BY11/24.5</f>
        <v>1871540.775510204</v>
      </c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</row>
    <row r="15" spans="1:138">
      <c r="A15" s="505"/>
      <c r="B15" s="599"/>
      <c r="C15" s="234" t="s">
        <v>218</v>
      </c>
      <c r="D15" s="235" t="s">
        <v>217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360">
        <f>9100000</f>
        <v>9100000</v>
      </c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4"/>
      <c r="BY15" s="237">
        <f t="shared" si="0"/>
        <v>9100000</v>
      </c>
      <c r="BZ15" s="602"/>
      <c r="CA15" s="222"/>
      <c r="CB15" s="237">
        <f t="shared" si="1"/>
        <v>18200000</v>
      </c>
      <c r="CC15" s="602"/>
      <c r="CD15" s="222"/>
      <c r="CE15" s="222">
        <f>CE14/24.5</f>
        <v>2100000</v>
      </c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</row>
    <row r="16" spans="1:138" ht="15.95">
      <c r="A16" s="505"/>
      <c r="B16" s="569" t="s">
        <v>219</v>
      </c>
      <c r="C16" s="592"/>
      <c r="D16" s="242"/>
      <c r="E16" s="243">
        <f t="shared" ref="E16:BX16" si="4">SUM(E5:E15)</f>
        <v>0</v>
      </c>
      <c r="F16" s="243">
        <f t="shared" si="4"/>
        <v>0</v>
      </c>
      <c r="G16" s="243">
        <f t="shared" si="4"/>
        <v>0</v>
      </c>
      <c r="H16" s="243">
        <f t="shared" si="4"/>
        <v>16365002</v>
      </c>
      <c r="I16" s="243">
        <f t="shared" si="4"/>
        <v>6227</v>
      </c>
      <c r="J16" s="243">
        <f t="shared" si="4"/>
        <v>14588</v>
      </c>
      <c r="K16" s="243">
        <f t="shared" si="4"/>
        <v>1342468</v>
      </c>
      <c r="L16" s="243">
        <f t="shared" si="4"/>
        <v>1997517</v>
      </c>
      <c r="M16" s="243">
        <f t="shared" si="4"/>
        <v>10818794.050000001</v>
      </c>
      <c r="N16" s="243">
        <f t="shared" si="4"/>
        <v>19993932.949999999</v>
      </c>
      <c r="O16" s="243">
        <f t="shared" si="4"/>
        <v>9987587.8844628092</v>
      </c>
      <c r="P16" s="243">
        <f t="shared" si="4"/>
        <v>19449049.67768595</v>
      </c>
      <c r="Q16" s="243">
        <f t="shared" si="4"/>
        <v>147063.07867768593</v>
      </c>
      <c r="R16" s="243">
        <f t="shared" si="4"/>
        <v>191135.66569421487</v>
      </c>
      <c r="S16" s="243">
        <f t="shared" si="4"/>
        <v>103817.90479338844</v>
      </c>
      <c r="T16" s="243">
        <f t="shared" si="4"/>
        <v>3593427.1629043687</v>
      </c>
      <c r="U16" s="243">
        <f t="shared" si="4"/>
        <v>3617498.4087043684</v>
      </c>
      <c r="V16" s="243">
        <f t="shared" si="4"/>
        <v>3533432.536251476</v>
      </c>
      <c r="W16" s="243">
        <f t="shared" si="4"/>
        <v>3528321.9129043687</v>
      </c>
      <c r="X16" s="243">
        <f t="shared" si="4"/>
        <v>3528321.9129043687</v>
      </c>
      <c r="Y16" s="243">
        <f t="shared" si="4"/>
        <v>3539661.9129043687</v>
      </c>
      <c r="Z16" s="243">
        <f t="shared" si="4"/>
        <v>3528321.9129043687</v>
      </c>
      <c r="AA16" s="243">
        <f t="shared" si="4"/>
        <v>140009713.19165668</v>
      </c>
      <c r="AB16" s="243">
        <f t="shared" si="4"/>
        <v>0</v>
      </c>
      <c r="AC16" s="243">
        <f t="shared" si="4"/>
        <v>0</v>
      </c>
      <c r="AD16" s="243">
        <f t="shared" si="4"/>
        <v>0</v>
      </c>
      <c r="AE16" s="243">
        <f t="shared" si="4"/>
        <v>0</v>
      </c>
      <c r="AF16" s="243">
        <f t="shared" si="4"/>
        <v>0</v>
      </c>
      <c r="AG16" s="243">
        <f t="shared" si="4"/>
        <v>0</v>
      </c>
      <c r="AH16" s="243">
        <f t="shared" si="4"/>
        <v>0</v>
      </c>
      <c r="AI16" s="243">
        <f t="shared" si="4"/>
        <v>0</v>
      </c>
      <c r="AJ16" s="243">
        <f t="shared" si="4"/>
        <v>0</v>
      </c>
      <c r="AK16" s="243">
        <f t="shared" si="4"/>
        <v>0</v>
      </c>
      <c r="AL16" s="243">
        <f t="shared" si="4"/>
        <v>0</v>
      </c>
      <c r="AM16" s="243">
        <f t="shared" si="4"/>
        <v>0</v>
      </c>
      <c r="AN16" s="243">
        <f t="shared" si="4"/>
        <v>0</v>
      </c>
      <c r="AO16" s="243">
        <f t="shared" si="4"/>
        <v>0</v>
      </c>
      <c r="AP16" s="243">
        <f t="shared" si="4"/>
        <v>0</v>
      </c>
      <c r="AQ16" s="243">
        <f t="shared" si="4"/>
        <v>0</v>
      </c>
      <c r="AR16" s="243">
        <f t="shared" si="4"/>
        <v>0</v>
      </c>
      <c r="AS16" s="243">
        <f t="shared" si="4"/>
        <v>0</v>
      </c>
      <c r="AT16" s="243">
        <f t="shared" si="4"/>
        <v>0</v>
      </c>
      <c r="AU16" s="243">
        <f t="shared" si="4"/>
        <v>0</v>
      </c>
      <c r="AV16" s="243">
        <f t="shared" si="4"/>
        <v>0</v>
      </c>
      <c r="AW16" s="243">
        <f t="shared" si="4"/>
        <v>0</v>
      </c>
      <c r="AX16" s="243">
        <f t="shared" si="4"/>
        <v>0</v>
      </c>
      <c r="AY16" s="243">
        <f t="shared" si="4"/>
        <v>0</v>
      </c>
      <c r="AZ16" s="243">
        <f t="shared" si="4"/>
        <v>0</v>
      </c>
      <c r="BA16" s="243">
        <f t="shared" si="4"/>
        <v>0</v>
      </c>
      <c r="BB16" s="243">
        <f t="shared" si="4"/>
        <v>0</v>
      </c>
      <c r="BC16" s="243">
        <f t="shared" si="4"/>
        <v>0</v>
      </c>
      <c r="BD16" s="243">
        <f t="shared" si="4"/>
        <v>0</v>
      </c>
      <c r="BE16" s="243">
        <f t="shared" si="4"/>
        <v>0</v>
      </c>
      <c r="BF16" s="243">
        <f t="shared" si="4"/>
        <v>0</v>
      </c>
      <c r="BG16" s="243">
        <f t="shared" si="4"/>
        <v>0</v>
      </c>
      <c r="BH16" s="243">
        <f t="shared" si="4"/>
        <v>0</v>
      </c>
      <c r="BI16" s="243">
        <f t="shared" si="4"/>
        <v>0</v>
      </c>
      <c r="BJ16" s="243">
        <f t="shared" si="4"/>
        <v>0</v>
      </c>
      <c r="BK16" s="243">
        <f t="shared" si="4"/>
        <v>0</v>
      </c>
      <c r="BL16" s="243">
        <f t="shared" si="4"/>
        <v>0</v>
      </c>
      <c r="BM16" s="243">
        <f t="shared" si="4"/>
        <v>0</v>
      </c>
      <c r="BN16" s="243">
        <f t="shared" si="4"/>
        <v>0</v>
      </c>
      <c r="BO16" s="243">
        <f t="shared" si="4"/>
        <v>0</v>
      </c>
      <c r="BP16" s="243">
        <f t="shared" si="4"/>
        <v>0</v>
      </c>
      <c r="BQ16" s="243">
        <f t="shared" si="4"/>
        <v>0</v>
      </c>
      <c r="BR16" s="243">
        <f t="shared" si="4"/>
        <v>0</v>
      </c>
      <c r="BS16" s="243">
        <f t="shared" si="4"/>
        <v>0</v>
      </c>
      <c r="BT16" s="243">
        <f t="shared" si="4"/>
        <v>0</v>
      </c>
      <c r="BU16" s="243">
        <f t="shared" si="4"/>
        <v>0</v>
      </c>
      <c r="BV16" s="243">
        <f t="shared" si="4"/>
        <v>0</v>
      </c>
      <c r="BW16" s="243">
        <f t="shared" si="4"/>
        <v>0</v>
      </c>
      <c r="BX16" s="243">
        <f t="shared" si="4"/>
        <v>0</v>
      </c>
      <c r="BY16" s="563">
        <f>BZ5+BZ9+BZ12</f>
        <v>245295882.16244841</v>
      </c>
      <c r="BZ16" s="592"/>
      <c r="CA16" s="222"/>
      <c r="CB16" s="563">
        <f>CC5+CC9+CC12</f>
        <v>797208313.48734522</v>
      </c>
      <c r="CC16" s="59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</row>
    <row r="17" spans="1:138" ht="15.95" collapsed="1">
      <c r="A17" s="505"/>
      <c r="B17" s="570" t="s">
        <v>220</v>
      </c>
      <c r="C17" s="244" t="s">
        <v>221</v>
      </c>
      <c r="D17" s="245"/>
      <c r="E17" s="246">
        <f t="shared" ref="E17:BY17" si="5">SUM(E18:E22)</f>
        <v>0</v>
      </c>
      <c r="F17" s="246">
        <f t="shared" si="5"/>
        <v>0</v>
      </c>
      <c r="G17" s="246">
        <f t="shared" si="5"/>
        <v>0</v>
      </c>
      <c r="H17" s="246">
        <f t="shared" si="5"/>
        <v>-10620712</v>
      </c>
      <c r="I17" s="246">
        <f t="shared" si="5"/>
        <v>0</v>
      </c>
      <c r="J17" s="246">
        <f t="shared" si="5"/>
        <v>-808333</v>
      </c>
      <c r="K17" s="246">
        <f t="shared" si="5"/>
        <v>0</v>
      </c>
      <c r="L17" s="246">
        <f t="shared" si="5"/>
        <v>0</v>
      </c>
      <c r="M17" s="246">
        <f t="shared" si="5"/>
        <v>0</v>
      </c>
      <c r="N17" s="246">
        <f t="shared" si="5"/>
        <v>0</v>
      </c>
      <c r="O17" s="246">
        <f t="shared" si="5"/>
        <v>0</v>
      </c>
      <c r="P17" s="246">
        <f t="shared" si="5"/>
        <v>0</v>
      </c>
      <c r="Q17" s="246">
        <f t="shared" si="5"/>
        <v>0</v>
      </c>
      <c r="R17" s="246">
        <f t="shared" si="5"/>
        <v>0</v>
      </c>
      <c r="S17" s="246">
        <f t="shared" si="5"/>
        <v>0</v>
      </c>
      <c r="T17" s="246">
        <f t="shared" si="5"/>
        <v>0</v>
      </c>
      <c r="U17" s="246">
        <f t="shared" si="5"/>
        <v>0</v>
      </c>
      <c r="V17" s="246">
        <f t="shared" si="5"/>
        <v>0</v>
      </c>
      <c r="W17" s="246">
        <f t="shared" si="5"/>
        <v>0</v>
      </c>
      <c r="X17" s="246">
        <f t="shared" si="5"/>
        <v>0</v>
      </c>
      <c r="Y17" s="246">
        <f t="shared" si="5"/>
        <v>0</v>
      </c>
      <c r="Z17" s="246">
        <f t="shared" si="5"/>
        <v>0</v>
      </c>
      <c r="AA17" s="246">
        <f t="shared" si="5"/>
        <v>0</v>
      </c>
      <c r="AB17" s="246">
        <f t="shared" si="5"/>
        <v>0</v>
      </c>
      <c r="AC17" s="246">
        <f t="shared" si="5"/>
        <v>0</v>
      </c>
      <c r="AD17" s="246">
        <f t="shared" si="5"/>
        <v>0</v>
      </c>
      <c r="AE17" s="246">
        <f t="shared" si="5"/>
        <v>0</v>
      </c>
      <c r="AF17" s="246">
        <f t="shared" si="5"/>
        <v>0</v>
      </c>
      <c r="AG17" s="246">
        <f t="shared" si="5"/>
        <v>0</v>
      </c>
      <c r="AH17" s="246">
        <f t="shared" si="5"/>
        <v>0</v>
      </c>
      <c r="AI17" s="246">
        <f t="shared" si="5"/>
        <v>0</v>
      </c>
      <c r="AJ17" s="246">
        <f t="shared" si="5"/>
        <v>0</v>
      </c>
      <c r="AK17" s="246">
        <f t="shared" si="5"/>
        <v>0</v>
      </c>
      <c r="AL17" s="246">
        <f t="shared" si="5"/>
        <v>0</v>
      </c>
      <c r="AM17" s="246">
        <f t="shared" si="5"/>
        <v>0</v>
      </c>
      <c r="AN17" s="246">
        <f t="shared" si="5"/>
        <v>0</v>
      </c>
      <c r="AO17" s="246">
        <f t="shared" si="5"/>
        <v>0</v>
      </c>
      <c r="AP17" s="246">
        <f t="shared" si="5"/>
        <v>0</v>
      </c>
      <c r="AQ17" s="246">
        <f t="shared" si="5"/>
        <v>0</v>
      </c>
      <c r="AR17" s="246">
        <f t="shared" si="5"/>
        <v>0</v>
      </c>
      <c r="AS17" s="246">
        <f t="shared" si="5"/>
        <v>0</v>
      </c>
      <c r="AT17" s="246">
        <f t="shared" si="5"/>
        <v>0</v>
      </c>
      <c r="AU17" s="246">
        <f t="shared" si="5"/>
        <v>0</v>
      </c>
      <c r="AV17" s="246">
        <f t="shared" si="5"/>
        <v>0</v>
      </c>
      <c r="AW17" s="246">
        <f t="shared" si="5"/>
        <v>0</v>
      </c>
      <c r="AX17" s="246">
        <f t="shared" si="5"/>
        <v>0</v>
      </c>
      <c r="AY17" s="246">
        <f t="shared" si="5"/>
        <v>0</v>
      </c>
      <c r="AZ17" s="246">
        <f t="shared" si="5"/>
        <v>0</v>
      </c>
      <c r="BA17" s="246">
        <f t="shared" si="5"/>
        <v>0</v>
      </c>
      <c r="BB17" s="246">
        <f t="shared" si="5"/>
        <v>0</v>
      </c>
      <c r="BC17" s="246">
        <f t="shared" si="5"/>
        <v>0</v>
      </c>
      <c r="BD17" s="246">
        <f t="shared" si="5"/>
        <v>0</v>
      </c>
      <c r="BE17" s="246">
        <f t="shared" si="5"/>
        <v>0</v>
      </c>
      <c r="BF17" s="246">
        <f t="shared" si="5"/>
        <v>0</v>
      </c>
      <c r="BG17" s="246">
        <f t="shared" si="5"/>
        <v>0</v>
      </c>
      <c r="BH17" s="246">
        <f t="shared" si="5"/>
        <v>0</v>
      </c>
      <c r="BI17" s="246">
        <f t="shared" si="5"/>
        <v>0</v>
      </c>
      <c r="BJ17" s="246">
        <f t="shared" si="5"/>
        <v>0</v>
      </c>
      <c r="BK17" s="246">
        <f t="shared" si="5"/>
        <v>0</v>
      </c>
      <c r="BL17" s="246">
        <f t="shared" si="5"/>
        <v>0</v>
      </c>
      <c r="BM17" s="246">
        <f t="shared" si="5"/>
        <v>0</v>
      </c>
      <c r="BN17" s="246">
        <f t="shared" si="5"/>
        <v>0</v>
      </c>
      <c r="BO17" s="246">
        <f t="shared" si="5"/>
        <v>0</v>
      </c>
      <c r="BP17" s="246">
        <f t="shared" si="5"/>
        <v>0</v>
      </c>
      <c r="BQ17" s="246">
        <f t="shared" si="5"/>
        <v>0</v>
      </c>
      <c r="BR17" s="246">
        <f t="shared" si="5"/>
        <v>0</v>
      </c>
      <c r="BS17" s="246">
        <f t="shared" si="5"/>
        <v>0</v>
      </c>
      <c r="BT17" s="246">
        <f t="shared" si="5"/>
        <v>0</v>
      </c>
      <c r="BU17" s="246">
        <f t="shared" si="5"/>
        <v>0</v>
      </c>
      <c r="BV17" s="246">
        <f t="shared" si="5"/>
        <v>0</v>
      </c>
      <c r="BW17" s="246">
        <f t="shared" si="5"/>
        <v>0</v>
      </c>
      <c r="BX17" s="246">
        <f t="shared" si="5"/>
        <v>0</v>
      </c>
      <c r="BY17" s="247">
        <f t="shared" si="5"/>
        <v>-11429045</v>
      </c>
      <c r="BZ17" s="562">
        <f>BY17+BY23+BY26+BY34+BY37+BY49+BY55+BY63+BY87</f>
        <v>-118361216.17743331</v>
      </c>
      <c r="CA17" s="222"/>
      <c r="CB17" s="248"/>
      <c r="CC17" s="56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</row>
    <row r="18" spans="1:138" ht="15.95" hidden="1" outlineLevel="1">
      <c r="A18" s="505"/>
      <c r="B18" s="600"/>
      <c r="C18" s="249" t="s">
        <v>222</v>
      </c>
      <c r="D18" s="250" t="s">
        <v>223</v>
      </c>
      <c r="E18" s="251"/>
      <c r="F18" s="251"/>
      <c r="G18" s="251"/>
      <c r="H18" s="252">
        <f>-8458812-2161900</f>
        <v>-10620712</v>
      </c>
      <c r="I18" s="252"/>
      <c r="J18" s="252">
        <f>-657296-151037</f>
        <v>-808333</v>
      </c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3">
        <f t="shared" ref="BY18:BY22" si="6">SUM(E18:BX18)</f>
        <v>-11429045</v>
      </c>
      <c r="BZ18" s="597"/>
      <c r="CA18" s="222"/>
      <c r="CB18" s="248"/>
      <c r="CC18" s="597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</row>
    <row r="19" spans="1:138" ht="15.95" hidden="1" outlineLevel="1">
      <c r="A19" s="505"/>
      <c r="B19" s="600"/>
      <c r="C19" s="249" t="s">
        <v>224</v>
      </c>
      <c r="D19" s="250" t="s">
        <v>223</v>
      </c>
      <c r="E19" s="251"/>
      <c r="F19" s="251"/>
      <c r="G19" s="251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3">
        <f t="shared" si="6"/>
        <v>0</v>
      </c>
      <c r="BZ19" s="597"/>
      <c r="CA19" s="222"/>
      <c r="CB19" s="248"/>
      <c r="CC19" s="597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</row>
    <row r="20" spans="1:138" ht="15.95" hidden="1" outlineLevel="1">
      <c r="A20" s="505"/>
      <c r="B20" s="600"/>
      <c r="C20" s="249" t="s">
        <v>225</v>
      </c>
      <c r="D20" s="250" t="s">
        <v>223</v>
      </c>
      <c r="E20" s="251"/>
      <c r="F20" s="251"/>
      <c r="G20" s="251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3">
        <f t="shared" si="6"/>
        <v>0</v>
      </c>
      <c r="BZ20" s="597"/>
      <c r="CA20" s="222"/>
      <c r="CB20" s="248"/>
      <c r="CC20" s="597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</row>
    <row r="21" spans="1:138" ht="15.95" hidden="1" outlineLevel="1">
      <c r="A21" s="505"/>
      <c r="B21" s="600"/>
      <c r="C21" s="249" t="s">
        <v>226</v>
      </c>
      <c r="D21" s="250" t="s">
        <v>223</v>
      </c>
      <c r="E21" s="251"/>
      <c r="F21" s="251"/>
      <c r="G21" s="251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3">
        <f t="shared" si="6"/>
        <v>0</v>
      </c>
      <c r="BZ21" s="597"/>
      <c r="CA21" s="222"/>
      <c r="CB21" s="248"/>
      <c r="CC21" s="597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</row>
    <row r="22" spans="1:138" ht="15.95" hidden="1" outlineLevel="1">
      <c r="A22" s="505"/>
      <c r="B22" s="600"/>
      <c r="C22" s="249" t="s">
        <v>227</v>
      </c>
      <c r="D22" s="254" t="s">
        <v>223</v>
      </c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3">
        <f t="shared" si="6"/>
        <v>0</v>
      </c>
      <c r="BZ22" s="597"/>
      <c r="CA22" s="222"/>
      <c r="CB22" s="248"/>
      <c r="CC22" s="597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</row>
    <row r="23" spans="1:138" ht="15.95">
      <c r="A23" s="505"/>
      <c r="B23" s="600"/>
      <c r="C23" s="244" t="s">
        <v>228</v>
      </c>
      <c r="D23" s="245"/>
      <c r="E23" s="246">
        <f t="shared" ref="E23:BY23" si="7">SUM(E24:E25)</f>
        <v>0</v>
      </c>
      <c r="F23" s="246">
        <f t="shared" si="7"/>
        <v>0</v>
      </c>
      <c r="G23" s="246">
        <f t="shared" si="7"/>
        <v>0</v>
      </c>
      <c r="H23" s="246">
        <f t="shared" si="7"/>
        <v>0</v>
      </c>
      <c r="I23" s="246">
        <f t="shared" si="7"/>
        <v>-366025</v>
      </c>
      <c r="J23" s="246">
        <f t="shared" si="7"/>
        <v>0</v>
      </c>
      <c r="K23" s="246">
        <f t="shared" si="7"/>
        <v>0</v>
      </c>
      <c r="L23" s="246">
        <f t="shared" si="7"/>
        <v>-15913.92</v>
      </c>
      <c r="M23" s="246">
        <f t="shared" si="7"/>
        <v>0</v>
      </c>
      <c r="N23" s="246">
        <f t="shared" si="7"/>
        <v>0</v>
      </c>
      <c r="O23" s="246">
        <f t="shared" si="7"/>
        <v>-184525</v>
      </c>
      <c r="P23" s="246">
        <f t="shared" si="7"/>
        <v>-433310.68000000005</v>
      </c>
      <c r="Q23" s="246">
        <f t="shared" si="7"/>
        <v>-393250</v>
      </c>
      <c r="R23" s="246">
        <f t="shared" si="7"/>
        <v>-393250</v>
      </c>
      <c r="S23" s="246">
        <f t="shared" si="7"/>
        <v>0</v>
      </c>
      <c r="T23" s="246">
        <f t="shared" si="7"/>
        <v>0</v>
      </c>
      <c r="U23" s="246">
        <f t="shared" si="7"/>
        <v>0</v>
      </c>
      <c r="V23" s="246">
        <f t="shared" si="7"/>
        <v>0</v>
      </c>
      <c r="W23" s="246">
        <f t="shared" si="7"/>
        <v>0</v>
      </c>
      <c r="X23" s="246">
        <f t="shared" si="7"/>
        <v>0</v>
      </c>
      <c r="Y23" s="246">
        <f t="shared" si="7"/>
        <v>0</v>
      </c>
      <c r="Z23" s="246">
        <f t="shared" si="7"/>
        <v>0</v>
      </c>
      <c r="AA23" s="246">
        <f t="shared" si="7"/>
        <v>0</v>
      </c>
      <c r="AB23" s="246">
        <f t="shared" si="7"/>
        <v>0</v>
      </c>
      <c r="AC23" s="246">
        <f t="shared" si="7"/>
        <v>0</v>
      </c>
      <c r="AD23" s="246">
        <f t="shared" si="7"/>
        <v>0</v>
      </c>
      <c r="AE23" s="246">
        <f t="shared" si="7"/>
        <v>0</v>
      </c>
      <c r="AF23" s="246">
        <f t="shared" si="7"/>
        <v>0</v>
      </c>
      <c r="AG23" s="246">
        <f t="shared" si="7"/>
        <v>0</v>
      </c>
      <c r="AH23" s="246">
        <f t="shared" si="7"/>
        <v>0</v>
      </c>
      <c r="AI23" s="246">
        <f t="shared" si="7"/>
        <v>0</v>
      </c>
      <c r="AJ23" s="246">
        <f t="shared" si="7"/>
        <v>0</v>
      </c>
      <c r="AK23" s="246">
        <f t="shared" si="7"/>
        <v>0</v>
      </c>
      <c r="AL23" s="246">
        <f t="shared" si="7"/>
        <v>0</v>
      </c>
      <c r="AM23" s="246">
        <f t="shared" si="7"/>
        <v>0</v>
      </c>
      <c r="AN23" s="246">
        <f t="shared" si="7"/>
        <v>0</v>
      </c>
      <c r="AO23" s="246">
        <f t="shared" si="7"/>
        <v>0</v>
      </c>
      <c r="AP23" s="246">
        <f t="shared" si="7"/>
        <v>0</v>
      </c>
      <c r="AQ23" s="246">
        <f t="shared" si="7"/>
        <v>0</v>
      </c>
      <c r="AR23" s="246">
        <f t="shared" si="7"/>
        <v>0</v>
      </c>
      <c r="AS23" s="246">
        <f t="shared" si="7"/>
        <v>0</v>
      </c>
      <c r="AT23" s="246">
        <f t="shared" si="7"/>
        <v>0</v>
      </c>
      <c r="AU23" s="246">
        <f t="shared" si="7"/>
        <v>0</v>
      </c>
      <c r="AV23" s="246">
        <f t="shared" si="7"/>
        <v>0</v>
      </c>
      <c r="AW23" s="246">
        <f t="shared" si="7"/>
        <v>0</v>
      </c>
      <c r="AX23" s="246">
        <f t="shared" si="7"/>
        <v>0</v>
      </c>
      <c r="AY23" s="246">
        <f t="shared" si="7"/>
        <v>0</v>
      </c>
      <c r="AZ23" s="246">
        <f t="shared" si="7"/>
        <v>0</v>
      </c>
      <c r="BA23" s="246">
        <f t="shared" si="7"/>
        <v>0</v>
      </c>
      <c r="BB23" s="246">
        <f t="shared" si="7"/>
        <v>0</v>
      </c>
      <c r="BC23" s="246">
        <f t="shared" si="7"/>
        <v>0</v>
      </c>
      <c r="BD23" s="246">
        <f t="shared" si="7"/>
        <v>0</v>
      </c>
      <c r="BE23" s="246">
        <f t="shared" si="7"/>
        <v>0</v>
      </c>
      <c r="BF23" s="246">
        <f t="shared" si="7"/>
        <v>0</v>
      </c>
      <c r="BG23" s="246">
        <f t="shared" si="7"/>
        <v>0</v>
      </c>
      <c r="BH23" s="246">
        <f t="shared" si="7"/>
        <v>0</v>
      </c>
      <c r="BI23" s="246">
        <f t="shared" si="7"/>
        <v>0</v>
      </c>
      <c r="BJ23" s="246">
        <f t="shared" si="7"/>
        <v>0</v>
      </c>
      <c r="BK23" s="246">
        <f t="shared" si="7"/>
        <v>0</v>
      </c>
      <c r="BL23" s="246">
        <f t="shared" si="7"/>
        <v>0</v>
      </c>
      <c r="BM23" s="246">
        <f t="shared" si="7"/>
        <v>0</v>
      </c>
      <c r="BN23" s="246">
        <f t="shared" si="7"/>
        <v>0</v>
      </c>
      <c r="BO23" s="246">
        <f t="shared" si="7"/>
        <v>0</v>
      </c>
      <c r="BP23" s="246">
        <f t="shared" si="7"/>
        <v>0</v>
      </c>
      <c r="BQ23" s="246">
        <f t="shared" si="7"/>
        <v>0</v>
      </c>
      <c r="BR23" s="246">
        <f t="shared" si="7"/>
        <v>0</v>
      </c>
      <c r="BS23" s="246">
        <f t="shared" si="7"/>
        <v>0</v>
      </c>
      <c r="BT23" s="246">
        <f t="shared" si="7"/>
        <v>0</v>
      </c>
      <c r="BU23" s="246">
        <f t="shared" si="7"/>
        <v>0</v>
      </c>
      <c r="BV23" s="246">
        <f t="shared" si="7"/>
        <v>0</v>
      </c>
      <c r="BW23" s="246">
        <f t="shared" si="7"/>
        <v>0</v>
      </c>
      <c r="BX23" s="246">
        <f t="shared" si="7"/>
        <v>0</v>
      </c>
      <c r="BY23" s="247">
        <f t="shared" si="7"/>
        <v>-1786274.6</v>
      </c>
      <c r="BZ23" s="597"/>
      <c r="CA23" s="222">
        <f>BY23/1.21</f>
        <v>-1476260.0000000002</v>
      </c>
      <c r="CB23" s="248"/>
      <c r="CC23" s="597"/>
      <c r="CD23" s="222"/>
      <c r="CE23" s="222">
        <f>7000000*1.21</f>
        <v>8470000</v>
      </c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</row>
    <row r="24" spans="1:138" ht="15.95" outlineLevel="1">
      <c r="A24" s="505"/>
      <c r="B24" s="600"/>
      <c r="C24" s="249" t="s">
        <v>229</v>
      </c>
      <c r="D24" s="254" t="s">
        <v>223</v>
      </c>
      <c r="E24" s="255"/>
      <c r="F24" s="255"/>
      <c r="G24" s="255"/>
      <c r="H24" s="256"/>
      <c r="I24" s="256">
        <f>-302500*1.21</f>
        <v>-366025</v>
      </c>
      <c r="J24" s="256"/>
      <c r="K24" s="256"/>
      <c r="L24" s="256">
        <f>-15913.92</f>
        <v>-15913.92</v>
      </c>
      <c r="M24" s="256"/>
      <c r="N24" s="256"/>
      <c r="O24" s="256">
        <f>-152500*1.21</f>
        <v>-184525</v>
      </c>
      <c r="P24" s="256">
        <f>(-675000-SUM(I24:O24)/1.21)*1.21</f>
        <v>-250286.08000000007</v>
      </c>
      <c r="Q24" s="256">
        <f>-Businessplan_prodej!$F$21*0.5*1.21</f>
        <v>-393250</v>
      </c>
      <c r="R24" s="256">
        <f>-Businessplan_prodej!$F$21*0.5*1.21</f>
        <v>-393250</v>
      </c>
      <c r="S24" s="256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7">
        <f t="shared" ref="BY24:BY25" si="8">SUM(E24:BX24)</f>
        <v>-1603250</v>
      </c>
      <c r="BZ24" s="597"/>
      <c r="CA24" s="222"/>
      <c r="CB24" s="248"/>
      <c r="CC24" s="597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</row>
    <row r="25" spans="1:138" ht="15.95" outlineLevel="1">
      <c r="A25" s="505"/>
      <c r="B25" s="600"/>
      <c r="C25" s="249" t="s">
        <v>230</v>
      </c>
      <c r="D25" s="254" t="s">
        <v>223</v>
      </c>
      <c r="E25" s="255"/>
      <c r="F25" s="255"/>
      <c r="G25" s="255"/>
      <c r="H25" s="256"/>
      <c r="I25" s="256"/>
      <c r="J25" s="256"/>
      <c r="K25" s="256"/>
      <c r="L25" s="256"/>
      <c r="M25" s="256"/>
      <c r="N25" s="256"/>
      <c r="O25" s="256"/>
      <c r="P25" s="256">
        <f>-Businessplan_prodej!$F$22*1.21</f>
        <v>-183024.6</v>
      </c>
      <c r="Q25" s="256"/>
      <c r="R25" s="256"/>
      <c r="S25" s="256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7">
        <f t="shared" si="8"/>
        <v>-183024.6</v>
      </c>
      <c r="BZ25" s="597"/>
      <c r="CA25" s="222"/>
      <c r="CB25" s="248"/>
      <c r="CC25" s="597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</row>
    <row r="26" spans="1:138" ht="15.95">
      <c r="A26" s="505"/>
      <c r="B26" s="600"/>
      <c r="C26" s="244" t="s">
        <v>231</v>
      </c>
      <c r="D26" s="245"/>
      <c r="E26" s="246">
        <f t="shared" ref="E26:BX26" si="9">SUM(E27:E33)</f>
        <v>0</v>
      </c>
      <c r="F26" s="246">
        <f t="shared" si="9"/>
        <v>0</v>
      </c>
      <c r="G26" s="246">
        <f t="shared" si="9"/>
        <v>0</v>
      </c>
      <c r="H26" s="246">
        <f t="shared" si="9"/>
        <v>-2420</v>
      </c>
      <c r="I26" s="246">
        <f t="shared" si="9"/>
        <v>-1081909</v>
      </c>
      <c r="J26" s="246">
        <f t="shared" si="9"/>
        <v>0</v>
      </c>
      <c r="K26" s="246">
        <f t="shared" si="9"/>
        <v>0</v>
      </c>
      <c r="L26" s="246">
        <f t="shared" si="9"/>
        <v>-4688041</v>
      </c>
      <c r="M26" s="246">
        <f t="shared" si="9"/>
        <v>-10044501.530000001</v>
      </c>
      <c r="N26" s="246">
        <f t="shared" si="9"/>
        <v>-19919080.57</v>
      </c>
      <c r="O26" s="246">
        <f t="shared" si="9"/>
        <v>-11929159</v>
      </c>
      <c r="P26" s="246">
        <f t="shared" si="9"/>
        <v>-14390496.899999999</v>
      </c>
      <c r="Q26" s="246">
        <f t="shared" si="9"/>
        <v>0</v>
      </c>
      <c r="R26" s="246">
        <f t="shared" si="9"/>
        <v>0</v>
      </c>
      <c r="S26" s="246">
        <f t="shared" si="9"/>
        <v>-3274700</v>
      </c>
      <c r="T26" s="246">
        <f t="shared" si="9"/>
        <v>-3274700</v>
      </c>
      <c r="U26" s="246">
        <f t="shared" si="9"/>
        <v>-3274700</v>
      </c>
      <c r="V26" s="246">
        <f t="shared" si="9"/>
        <v>-3274700</v>
      </c>
      <c r="W26" s="246">
        <f t="shared" si="9"/>
        <v>-3274700</v>
      </c>
      <c r="X26" s="246">
        <f t="shared" si="9"/>
        <v>-3274700</v>
      </c>
      <c r="Y26" s="246">
        <f t="shared" si="9"/>
        <v>-3274700</v>
      </c>
      <c r="Z26" s="246">
        <f t="shared" si="9"/>
        <v>-3274700</v>
      </c>
      <c r="AA26" s="246">
        <f t="shared" si="9"/>
        <v>0</v>
      </c>
      <c r="AB26" s="246">
        <f t="shared" si="9"/>
        <v>0</v>
      </c>
      <c r="AC26" s="246">
        <f t="shared" si="9"/>
        <v>0</v>
      </c>
      <c r="AD26" s="246">
        <f t="shared" si="9"/>
        <v>0</v>
      </c>
      <c r="AE26" s="246">
        <f t="shared" si="9"/>
        <v>0</v>
      </c>
      <c r="AF26" s="246">
        <f t="shared" si="9"/>
        <v>0</v>
      </c>
      <c r="AG26" s="246">
        <f t="shared" si="9"/>
        <v>0</v>
      </c>
      <c r="AH26" s="246">
        <f t="shared" si="9"/>
        <v>0</v>
      </c>
      <c r="AI26" s="246">
        <f t="shared" si="9"/>
        <v>0</v>
      </c>
      <c r="AJ26" s="246">
        <f t="shared" si="9"/>
        <v>0</v>
      </c>
      <c r="AK26" s="246">
        <f t="shared" si="9"/>
        <v>0</v>
      </c>
      <c r="AL26" s="246">
        <f t="shared" si="9"/>
        <v>0</v>
      </c>
      <c r="AM26" s="246">
        <f t="shared" si="9"/>
        <v>0</v>
      </c>
      <c r="AN26" s="246">
        <f t="shared" si="9"/>
        <v>0</v>
      </c>
      <c r="AO26" s="246">
        <f t="shared" si="9"/>
        <v>0</v>
      </c>
      <c r="AP26" s="246">
        <f t="shared" si="9"/>
        <v>0</v>
      </c>
      <c r="AQ26" s="246">
        <f t="shared" si="9"/>
        <v>0</v>
      </c>
      <c r="AR26" s="246">
        <f t="shared" si="9"/>
        <v>0</v>
      </c>
      <c r="AS26" s="246">
        <f t="shared" si="9"/>
        <v>0</v>
      </c>
      <c r="AT26" s="246">
        <f t="shared" si="9"/>
        <v>0</v>
      </c>
      <c r="AU26" s="246">
        <f t="shared" si="9"/>
        <v>0</v>
      </c>
      <c r="AV26" s="246">
        <f t="shared" si="9"/>
        <v>0</v>
      </c>
      <c r="AW26" s="246">
        <f t="shared" si="9"/>
        <v>0</v>
      </c>
      <c r="AX26" s="246">
        <f t="shared" si="9"/>
        <v>0</v>
      </c>
      <c r="AY26" s="246">
        <f t="shared" si="9"/>
        <v>0</v>
      </c>
      <c r="AZ26" s="246">
        <f t="shared" si="9"/>
        <v>0</v>
      </c>
      <c r="BA26" s="246">
        <f t="shared" si="9"/>
        <v>0</v>
      </c>
      <c r="BB26" s="246">
        <f t="shared" si="9"/>
        <v>0</v>
      </c>
      <c r="BC26" s="246">
        <f t="shared" si="9"/>
        <v>0</v>
      </c>
      <c r="BD26" s="246">
        <f t="shared" si="9"/>
        <v>0</v>
      </c>
      <c r="BE26" s="246">
        <f t="shared" si="9"/>
        <v>0</v>
      </c>
      <c r="BF26" s="246">
        <f t="shared" si="9"/>
        <v>0</v>
      </c>
      <c r="BG26" s="246">
        <f t="shared" si="9"/>
        <v>0</v>
      </c>
      <c r="BH26" s="246">
        <f t="shared" si="9"/>
        <v>0</v>
      </c>
      <c r="BI26" s="246">
        <f t="shared" si="9"/>
        <v>0</v>
      </c>
      <c r="BJ26" s="246">
        <f t="shared" si="9"/>
        <v>0</v>
      </c>
      <c r="BK26" s="246">
        <f t="shared" si="9"/>
        <v>0</v>
      </c>
      <c r="BL26" s="246">
        <f t="shared" si="9"/>
        <v>0</v>
      </c>
      <c r="BM26" s="246">
        <f t="shared" si="9"/>
        <v>0</v>
      </c>
      <c r="BN26" s="246">
        <f t="shared" si="9"/>
        <v>0</v>
      </c>
      <c r="BO26" s="246">
        <f t="shared" si="9"/>
        <v>0</v>
      </c>
      <c r="BP26" s="246">
        <f t="shared" si="9"/>
        <v>0</v>
      </c>
      <c r="BQ26" s="246">
        <f t="shared" si="9"/>
        <v>0</v>
      </c>
      <c r="BR26" s="246">
        <f t="shared" si="9"/>
        <v>0</v>
      </c>
      <c r="BS26" s="246">
        <f t="shared" si="9"/>
        <v>0</v>
      </c>
      <c r="BT26" s="246">
        <f t="shared" si="9"/>
        <v>0</v>
      </c>
      <c r="BU26" s="246">
        <f t="shared" si="9"/>
        <v>0</v>
      </c>
      <c r="BV26" s="246">
        <f t="shared" si="9"/>
        <v>0</v>
      </c>
      <c r="BW26" s="246">
        <f t="shared" si="9"/>
        <v>0</v>
      </c>
      <c r="BX26" s="246">
        <f t="shared" si="9"/>
        <v>0</v>
      </c>
      <c r="BY26" s="248">
        <f>SUM(BY27:BY33)</f>
        <v>-88253208</v>
      </c>
      <c r="BZ26" s="597"/>
      <c r="CA26" s="222"/>
      <c r="CB26" s="248"/>
      <c r="CC26" s="597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</row>
    <row r="27" spans="1:138" ht="15.95" outlineLevel="1">
      <c r="A27" s="505"/>
      <c r="B27" s="600"/>
      <c r="C27" s="249" t="s">
        <v>232</v>
      </c>
      <c r="D27" s="250" t="s">
        <v>223</v>
      </c>
      <c r="E27" s="251"/>
      <c r="F27" s="251"/>
      <c r="G27" s="251"/>
      <c r="H27" s="252"/>
      <c r="I27" s="252"/>
      <c r="J27" s="252"/>
      <c r="K27" s="252"/>
      <c r="L27" s="252">
        <f>-4688041</f>
        <v>-4688041</v>
      </c>
      <c r="M27" s="252">
        <f>-3615000-6429501.53</f>
        <v>-10044501.530000001</v>
      </c>
      <c r="N27" s="252">
        <f>-19909473.57</f>
        <v>-19909473.57</v>
      </c>
      <c r="O27" s="252">
        <f>-2929659-2929659-2929659-1171570-1100112</f>
        <v>-11060659</v>
      </c>
      <c r="P27" s="252">
        <f>-(58593172+SUM(L27:O27))-1500000</f>
        <v>-14390496.899999999</v>
      </c>
      <c r="Q27" s="252"/>
      <c r="R27" s="252"/>
      <c r="S27" s="252">
        <f>-(Businessplan_prodej!$F$31)/8</f>
        <v>-2960750</v>
      </c>
      <c r="T27" s="252">
        <f>-(Businessplan_prodej!$F$31)/8</f>
        <v>-2960750</v>
      </c>
      <c r="U27" s="252">
        <f>-(Businessplan_prodej!$F$31)/8</f>
        <v>-2960750</v>
      </c>
      <c r="V27" s="252">
        <f>-(Businessplan_prodej!$F$31)/8</f>
        <v>-2960750</v>
      </c>
      <c r="W27" s="252">
        <f>-(Businessplan_prodej!$F$31)/8</f>
        <v>-2960750</v>
      </c>
      <c r="X27" s="252">
        <f>-(Businessplan_prodej!$F$31)/8</f>
        <v>-2960750</v>
      </c>
      <c r="Y27" s="252">
        <f>-(Businessplan_prodej!$F$31)/8</f>
        <v>-2960750</v>
      </c>
      <c r="Z27" s="252">
        <f>-(Businessplan_prodej!$F$31)/8</f>
        <v>-2960750</v>
      </c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60"/>
      <c r="BY27" s="261">
        <f t="shared" ref="BY27:BY33" si="10">SUM(E27:BX27)</f>
        <v>-83779172</v>
      </c>
      <c r="BZ27" s="597"/>
      <c r="CA27" s="222"/>
      <c r="CB27" s="248"/>
      <c r="CC27" s="597"/>
      <c r="CD27" s="222"/>
      <c r="CE27" s="222"/>
      <c r="CF27" s="222"/>
      <c r="CG27" s="222"/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</row>
    <row r="28" spans="1:138" ht="15.95" outlineLevel="1">
      <c r="A28" s="505"/>
      <c r="B28" s="600"/>
      <c r="C28" s="249" t="s">
        <v>233</v>
      </c>
      <c r="D28" s="250" t="s">
        <v>223</v>
      </c>
      <c r="E28" s="251"/>
      <c r="F28" s="251"/>
      <c r="G28" s="251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60"/>
      <c r="BY28" s="262">
        <f t="shared" si="10"/>
        <v>0</v>
      </c>
      <c r="BZ28" s="597"/>
      <c r="CA28" s="222"/>
      <c r="CB28" s="248"/>
      <c r="CC28" s="597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</row>
    <row r="29" spans="1:138" ht="15.95" outlineLevel="1">
      <c r="A29" s="505"/>
      <c r="B29" s="600"/>
      <c r="C29" s="249" t="s">
        <v>234</v>
      </c>
      <c r="D29" s="250" t="s">
        <v>223</v>
      </c>
      <c r="E29" s="251"/>
      <c r="F29" s="251"/>
      <c r="G29" s="251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60"/>
      <c r="BY29" s="262">
        <f t="shared" si="10"/>
        <v>0</v>
      </c>
      <c r="BZ29" s="597"/>
      <c r="CA29" s="222"/>
      <c r="CB29" s="248"/>
      <c r="CC29" s="597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</row>
    <row r="30" spans="1:138" ht="15.95" outlineLevel="1">
      <c r="A30" s="505"/>
      <c r="B30" s="600"/>
      <c r="C30" s="249" t="s">
        <v>235</v>
      </c>
      <c r="D30" s="250" t="s">
        <v>223</v>
      </c>
      <c r="E30" s="251"/>
      <c r="F30" s="251"/>
      <c r="G30" s="251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>
        <f>-Businessplan_prodej!$F$37*0.5</f>
        <v>0</v>
      </c>
      <c r="S30" s="252">
        <f>-Businessplan_prodej!$F$37*0.3</f>
        <v>0</v>
      </c>
      <c r="T30" s="252">
        <f>-Businessplan_prodej!$F$37*0.2</f>
        <v>0</v>
      </c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60"/>
      <c r="BY30" s="262">
        <f t="shared" si="10"/>
        <v>0</v>
      </c>
      <c r="BZ30" s="597"/>
      <c r="CA30" s="222"/>
      <c r="CB30" s="248"/>
      <c r="CC30" s="597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</row>
    <row r="31" spans="1:138" ht="15.95" outlineLevel="1">
      <c r="A31" s="505"/>
      <c r="B31" s="600"/>
      <c r="C31" s="249" t="s">
        <v>236</v>
      </c>
      <c r="D31" s="250" t="s">
        <v>223</v>
      </c>
      <c r="E31" s="251"/>
      <c r="F31" s="251"/>
      <c r="G31" s="251"/>
      <c r="H31" s="252">
        <f>-2420</f>
        <v>-2420</v>
      </c>
      <c r="I31" s="252"/>
      <c r="J31" s="252"/>
      <c r="K31" s="252"/>
      <c r="L31" s="252"/>
      <c r="M31" s="252"/>
      <c r="N31" s="252">
        <f>-500-9107</f>
        <v>-9607</v>
      </c>
      <c r="O31" s="252"/>
      <c r="P31" s="252"/>
      <c r="Q31" s="252"/>
      <c r="R31" s="252"/>
      <c r="S31" s="252">
        <f>-Businessplan_prodej!$F$38/8</f>
        <v>-16250</v>
      </c>
      <c r="T31" s="252">
        <f>-Businessplan_prodej!$F$38/8</f>
        <v>-16250</v>
      </c>
      <c r="U31" s="252">
        <f>-Businessplan_prodej!$F$38/8</f>
        <v>-16250</v>
      </c>
      <c r="V31" s="252">
        <f>-Businessplan_prodej!$F$38/8</f>
        <v>-16250</v>
      </c>
      <c r="W31" s="252">
        <f>-Businessplan_prodej!$F$38/8</f>
        <v>-16250</v>
      </c>
      <c r="X31" s="252">
        <f>-Businessplan_prodej!$F$38/8</f>
        <v>-16250</v>
      </c>
      <c r="Y31" s="252">
        <f>-Businessplan_prodej!$F$38/8</f>
        <v>-16250</v>
      </c>
      <c r="Z31" s="252">
        <f>-Businessplan_prodej!$F$38/8</f>
        <v>-16250</v>
      </c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60"/>
      <c r="BY31" s="262">
        <f t="shared" si="10"/>
        <v>-142027</v>
      </c>
      <c r="BZ31" s="597"/>
      <c r="CA31" s="222"/>
      <c r="CB31" s="248"/>
      <c r="CC31" s="597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</row>
    <row r="32" spans="1:138" ht="15.95" outlineLevel="1">
      <c r="A32" s="505"/>
      <c r="B32" s="600"/>
      <c r="C32" s="263" t="s">
        <v>237</v>
      </c>
      <c r="D32" s="250" t="s">
        <v>223</v>
      </c>
      <c r="E32" s="251"/>
      <c r="F32" s="251"/>
      <c r="G32" s="251"/>
      <c r="H32" s="252"/>
      <c r="I32" s="252">
        <f>-1081909</f>
        <v>-1081909</v>
      </c>
      <c r="J32" s="252"/>
      <c r="K32" s="252"/>
      <c r="L32" s="252"/>
      <c r="M32" s="252"/>
      <c r="N32" s="252"/>
      <c r="O32" s="252">
        <f>-868500</f>
        <v>-868500</v>
      </c>
      <c r="P32" s="252"/>
      <c r="Q32" s="252"/>
      <c r="R32" s="252"/>
      <c r="S32" s="252"/>
      <c r="T32" s="252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60"/>
      <c r="BY32" s="262">
        <f t="shared" si="10"/>
        <v>-1950409</v>
      </c>
      <c r="BZ32" s="597"/>
      <c r="CA32" s="222"/>
      <c r="CB32" s="248"/>
      <c r="CC32" s="597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</row>
    <row r="33" spans="1:138" ht="15.95" outlineLevel="1">
      <c r="A33" s="505"/>
      <c r="B33" s="600"/>
      <c r="C33" s="249" t="s">
        <v>238</v>
      </c>
      <c r="D33" s="254" t="s">
        <v>223</v>
      </c>
      <c r="E33" s="251"/>
      <c r="F33" s="251"/>
      <c r="G33" s="251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>
        <f>-Businessplan_prodej!$F$41/8</f>
        <v>-297700</v>
      </c>
      <c r="T33" s="252">
        <f>-Businessplan_prodej!$F$41/8</f>
        <v>-297700</v>
      </c>
      <c r="U33" s="252">
        <f>-Businessplan_prodej!$F$41/8</f>
        <v>-297700</v>
      </c>
      <c r="V33" s="252">
        <f>-Businessplan_prodej!$F$41/8</f>
        <v>-297700</v>
      </c>
      <c r="W33" s="252">
        <f>-Businessplan_prodej!$F$41/8</f>
        <v>-297700</v>
      </c>
      <c r="X33" s="252">
        <f>-Businessplan_prodej!$F$41/8</f>
        <v>-297700</v>
      </c>
      <c r="Y33" s="252">
        <f>-Businessplan_prodej!$F$41/8</f>
        <v>-297700</v>
      </c>
      <c r="Z33" s="252">
        <f>-Businessplan_prodej!$F$41/8</f>
        <v>-297700</v>
      </c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60"/>
      <c r="BY33" s="264">
        <f t="shared" si="10"/>
        <v>-2381600</v>
      </c>
      <c r="BZ33" s="597"/>
      <c r="CA33" s="222"/>
      <c r="CB33" s="248"/>
      <c r="CC33" s="597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</row>
    <row r="34" spans="1:138" ht="15.95">
      <c r="A34" s="505"/>
      <c r="B34" s="600"/>
      <c r="C34" s="244" t="s">
        <v>239</v>
      </c>
      <c r="D34" s="245"/>
      <c r="E34" s="246">
        <f t="shared" ref="E34:BX34" si="11">SUM(E35:E36)</f>
        <v>0</v>
      </c>
      <c r="F34" s="246">
        <f t="shared" si="11"/>
        <v>0</v>
      </c>
      <c r="G34" s="246">
        <f t="shared" si="11"/>
        <v>0</v>
      </c>
      <c r="H34" s="246">
        <f t="shared" si="11"/>
        <v>0</v>
      </c>
      <c r="I34" s="246">
        <f t="shared" si="11"/>
        <v>0</v>
      </c>
      <c r="J34" s="246">
        <f t="shared" si="11"/>
        <v>0</v>
      </c>
      <c r="K34" s="246">
        <f t="shared" si="11"/>
        <v>0</v>
      </c>
      <c r="L34" s="246">
        <f t="shared" si="11"/>
        <v>0</v>
      </c>
      <c r="M34" s="246">
        <f t="shared" si="11"/>
        <v>0</v>
      </c>
      <c r="N34" s="246">
        <f t="shared" si="11"/>
        <v>0</v>
      </c>
      <c r="O34" s="246">
        <f t="shared" si="11"/>
        <v>0</v>
      </c>
      <c r="P34" s="246">
        <f t="shared" si="11"/>
        <v>0</v>
      </c>
      <c r="Q34" s="246">
        <f t="shared" si="11"/>
        <v>0</v>
      </c>
      <c r="R34" s="246">
        <f t="shared" si="11"/>
        <v>0</v>
      </c>
      <c r="S34" s="246">
        <f t="shared" si="11"/>
        <v>-539250</v>
      </c>
      <c r="T34" s="246">
        <f t="shared" si="11"/>
        <v>-539250</v>
      </c>
      <c r="U34" s="246">
        <f t="shared" si="11"/>
        <v>-539250</v>
      </c>
      <c r="V34" s="246">
        <f t="shared" si="11"/>
        <v>-539250</v>
      </c>
      <c r="W34" s="246">
        <f t="shared" si="11"/>
        <v>-539250</v>
      </c>
      <c r="X34" s="246">
        <f t="shared" si="11"/>
        <v>-539250</v>
      </c>
      <c r="Y34" s="246">
        <f t="shared" si="11"/>
        <v>-539250</v>
      </c>
      <c r="Z34" s="246">
        <f t="shared" si="11"/>
        <v>-539250</v>
      </c>
      <c r="AA34" s="246">
        <f t="shared" si="11"/>
        <v>0</v>
      </c>
      <c r="AB34" s="246">
        <f t="shared" si="11"/>
        <v>0</v>
      </c>
      <c r="AC34" s="246">
        <f t="shared" si="11"/>
        <v>0</v>
      </c>
      <c r="AD34" s="246">
        <f t="shared" si="11"/>
        <v>0</v>
      </c>
      <c r="AE34" s="246">
        <f t="shared" si="11"/>
        <v>0</v>
      </c>
      <c r="AF34" s="246">
        <f t="shared" si="11"/>
        <v>0</v>
      </c>
      <c r="AG34" s="246">
        <f t="shared" si="11"/>
        <v>0</v>
      </c>
      <c r="AH34" s="246">
        <f t="shared" si="11"/>
        <v>0</v>
      </c>
      <c r="AI34" s="246">
        <f t="shared" si="11"/>
        <v>0</v>
      </c>
      <c r="AJ34" s="246">
        <f t="shared" si="11"/>
        <v>0</v>
      </c>
      <c r="AK34" s="246">
        <f t="shared" si="11"/>
        <v>0</v>
      </c>
      <c r="AL34" s="246">
        <f t="shared" si="11"/>
        <v>0</v>
      </c>
      <c r="AM34" s="246">
        <f t="shared" si="11"/>
        <v>0</v>
      </c>
      <c r="AN34" s="246">
        <f t="shared" si="11"/>
        <v>0</v>
      </c>
      <c r="AO34" s="246">
        <f t="shared" si="11"/>
        <v>0</v>
      </c>
      <c r="AP34" s="246">
        <f t="shared" si="11"/>
        <v>0</v>
      </c>
      <c r="AQ34" s="246">
        <f t="shared" si="11"/>
        <v>0</v>
      </c>
      <c r="AR34" s="246">
        <f t="shared" si="11"/>
        <v>0</v>
      </c>
      <c r="AS34" s="246">
        <f t="shared" si="11"/>
        <v>0</v>
      </c>
      <c r="AT34" s="246">
        <f t="shared" si="11"/>
        <v>0</v>
      </c>
      <c r="AU34" s="246">
        <f t="shared" si="11"/>
        <v>0</v>
      </c>
      <c r="AV34" s="246">
        <f t="shared" si="11"/>
        <v>0</v>
      </c>
      <c r="AW34" s="246">
        <f t="shared" si="11"/>
        <v>0</v>
      </c>
      <c r="AX34" s="246">
        <f t="shared" si="11"/>
        <v>0</v>
      </c>
      <c r="AY34" s="246">
        <f t="shared" si="11"/>
        <v>0</v>
      </c>
      <c r="AZ34" s="246">
        <f t="shared" si="11"/>
        <v>0</v>
      </c>
      <c r="BA34" s="246">
        <f t="shared" si="11"/>
        <v>0</v>
      </c>
      <c r="BB34" s="246">
        <f t="shared" si="11"/>
        <v>0</v>
      </c>
      <c r="BC34" s="246">
        <f t="shared" si="11"/>
        <v>0</v>
      </c>
      <c r="BD34" s="246">
        <f t="shared" si="11"/>
        <v>0</v>
      </c>
      <c r="BE34" s="246">
        <f t="shared" si="11"/>
        <v>0</v>
      </c>
      <c r="BF34" s="246">
        <f t="shared" si="11"/>
        <v>0</v>
      </c>
      <c r="BG34" s="246">
        <f t="shared" si="11"/>
        <v>0</v>
      </c>
      <c r="BH34" s="246">
        <f t="shared" si="11"/>
        <v>0</v>
      </c>
      <c r="BI34" s="246">
        <f t="shared" si="11"/>
        <v>0</v>
      </c>
      <c r="BJ34" s="246">
        <f t="shared" si="11"/>
        <v>0</v>
      </c>
      <c r="BK34" s="246">
        <f t="shared" si="11"/>
        <v>0</v>
      </c>
      <c r="BL34" s="246">
        <f t="shared" si="11"/>
        <v>0</v>
      </c>
      <c r="BM34" s="246">
        <f t="shared" si="11"/>
        <v>0</v>
      </c>
      <c r="BN34" s="246">
        <f t="shared" si="11"/>
        <v>0</v>
      </c>
      <c r="BO34" s="246">
        <f t="shared" si="11"/>
        <v>0</v>
      </c>
      <c r="BP34" s="246">
        <f t="shared" si="11"/>
        <v>0</v>
      </c>
      <c r="BQ34" s="246">
        <f t="shared" si="11"/>
        <v>0</v>
      </c>
      <c r="BR34" s="246">
        <f t="shared" si="11"/>
        <v>0</v>
      </c>
      <c r="BS34" s="246">
        <f t="shared" si="11"/>
        <v>0</v>
      </c>
      <c r="BT34" s="246">
        <f t="shared" si="11"/>
        <v>0</v>
      </c>
      <c r="BU34" s="246">
        <f t="shared" si="11"/>
        <v>0</v>
      </c>
      <c r="BV34" s="246">
        <f t="shared" si="11"/>
        <v>0</v>
      </c>
      <c r="BW34" s="246">
        <f t="shared" si="11"/>
        <v>0</v>
      </c>
      <c r="BX34" s="246">
        <f t="shared" si="11"/>
        <v>0</v>
      </c>
      <c r="BY34" s="248">
        <f>SUM(BY35:BY36)</f>
        <v>-4314000</v>
      </c>
      <c r="BZ34" s="597"/>
      <c r="CA34" s="222"/>
      <c r="CB34" s="248"/>
      <c r="CC34" s="597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</row>
    <row r="35" spans="1:138" ht="15.95" outlineLevel="1">
      <c r="A35" s="505"/>
      <c r="B35" s="600"/>
      <c r="C35" s="249" t="s">
        <v>240</v>
      </c>
      <c r="D35" s="250" t="s">
        <v>223</v>
      </c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66">
        <f>-Businessplan_prodej!$C$51/8</f>
        <v>-539250</v>
      </c>
      <c r="T35" s="266">
        <f>-Businessplan_prodej!$C$51/8</f>
        <v>-539250</v>
      </c>
      <c r="U35" s="266">
        <f>-Businessplan_prodej!$C$51/8</f>
        <v>-539250</v>
      </c>
      <c r="V35" s="266">
        <f>-Businessplan_prodej!$C$51/8</f>
        <v>-539250</v>
      </c>
      <c r="W35" s="266">
        <f>-Businessplan_prodej!$C$51/8</f>
        <v>-539250</v>
      </c>
      <c r="X35" s="266">
        <f>-Businessplan_prodej!$C$51/8</f>
        <v>-539250</v>
      </c>
      <c r="Y35" s="266">
        <f>-Businessplan_prodej!$C$51/8</f>
        <v>-539250</v>
      </c>
      <c r="Z35" s="266">
        <f>-Businessplan_prodej!$C$51/8</f>
        <v>-539250</v>
      </c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60"/>
      <c r="BY35" s="261">
        <f t="shared" ref="BY35:BY36" si="12">SUM(E35:BX35)</f>
        <v>-4314000</v>
      </c>
      <c r="BZ35" s="597"/>
      <c r="CA35" s="222"/>
      <c r="CB35" s="248"/>
      <c r="CC35" s="597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</row>
    <row r="36" spans="1:138" ht="15.95" outlineLevel="1">
      <c r="A36" s="505"/>
      <c r="B36" s="600"/>
      <c r="C36" s="249" t="s">
        <v>241</v>
      </c>
      <c r="D36" s="254" t="s">
        <v>223</v>
      </c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66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60"/>
      <c r="BY36" s="264">
        <f t="shared" si="12"/>
        <v>0</v>
      </c>
      <c r="BZ36" s="597"/>
      <c r="CA36" s="222"/>
      <c r="CB36" s="248"/>
      <c r="CC36" s="597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</row>
    <row r="37" spans="1:138" ht="15.95">
      <c r="A37" s="505"/>
      <c r="B37" s="600"/>
      <c r="C37" s="244" t="s">
        <v>242</v>
      </c>
      <c r="D37" s="245"/>
      <c r="E37" s="246">
        <f t="shared" ref="E37:G37" si="13">SUM(E38:E48)</f>
        <v>0</v>
      </c>
      <c r="F37" s="246">
        <f t="shared" si="13"/>
        <v>0</v>
      </c>
      <c r="G37" s="246">
        <f t="shared" si="13"/>
        <v>0</v>
      </c>
      <c r="H37" s="246">
        <f t="shared" ref="H37:BM37" si="14">SUM(H38:H41,H42,H45,H46:H48)</f>
        <v>-113225.2</v>
      </c>
      <c r="I37" s="246">
        <f t="shared" si="14"/>
        <v>-414970</v>
      </c>
      <c r="J37" s="246">
        <f t="shared" si="14"/>
        <v>-1007845.81</v>
      </c>
      <c r="K37" s="246">
        <f t="shared" si="14"/>
        <v>-901583.60700000008</v>
      </c>
      <c r="L37" s="246">
        <f t="shared" si="14"/>
        <v>-332396.81</v>
      </c>
      <c r="M37" s="246">
        <f t="shared" si="14"/>
        <v>-666968.62</v>
      </c>
      <c r="N37" s="246">
        <f t="shared" si="14"/>
        <v>-25339</v>
      </c>
      <c r="O37" s="246">
        <f t="shared" si="14"/>
        <v>-662838.45333333337</v>
      </c>
      <c r="P37" s="246">
        <f t="shared" si="14"/>
        <v>-667994.82233333332</v>
      </c>
      <c r="Q37" s="246">
        <f t="shared" si="14"/>
        <v>-204938.88</v>
      </c>
      <c r="R37" s="246">
        <f t="shared" si="14"/>
        <v>-227381.34</v>
      </c>
      <c r="S37" s="246">
        <f t="shared" si="14"/>
        <v>-759327.56579999987</v>
      </c>
      <c r="T37" s="246">
        <f t="shared" si="14"/>
        <v>-274948.01500000001</v>
      </c>
      <c r="U37" s="246">
        <f t="shared" si="14"/>
        <v>-245501.09</v>
      </c>
      <c r="V37" s="246">
        <f t="shared" si="14"/>
        <v>-245501.09</v>
      </c>
      <c r="W37" s="246">
        <f t="shared" si="14"/>
        <v>-310841.08999999997</v>
      </c>
      <c r="X37" s="246">
        <f t="shared" si="14"/>
        <v>-245501.09</v>
      </c>
      <c r="Y37" s="246">
        <f t="shared" si="14"/>
        <v>-354401.08999999997</v>
      </c>
      <c r="Z37" s="246">
        <f t="shared" si="14"/>
        <v>-845214.4907999998</v>
      </c>
      <c r="AA37" s="246">
        <f t="shared" si="14"/>
        <v>-14235</v>
      </c>
      <c r="AB37" s="246">
        <f t="shared" si="14"/>
        <v>0</v>
      </c>
      <c r="AC37" s="246">
        <f t="shared" si="14"/>
        <v>0</v>
      </c>
      <c r="AD37" s="246">
        <f t="shared" si="14"/>
        <v>0</v>
      </c>
      <c r="AE37" s="246">
        <f t="shared" si="14"/>
        <v>0</v>
      </c>
      <c r="AF37" s="246">
        <f t="shared" si="14"/>
        <v>0</v>
      </c>
      <c r="AG37" s="246">
        <f t="shared" si="14"/>
        <v>0</v>
      </c>
      <c r="AH37" s="246">
        <f t="shared" si="14"/>
        <v>0</v>
      </c>
      <c r="AI37" s="246">
        <f t="shared" si="14"/>
        <v>0</v>
      </c>
      <c r="AJ37" s="246">
        <f t="shared" si="14"/>
        <v>0</v>
      </c>
      <c r="AK37" s="246">
        <f t="shared" si="14"/>
        <v>0</v>
      </c>
      <c r="AL37" s="246">
        <f t="shared" si="14"/>
        <v>0</v>
      </c>
      <c r="AM37" s="246">
        <f t="shared" si="14"/>
        <v>0</v>
      </c>
      <c r="AN37" s="246">
        <f t="shared" si="14"/>
        <v>0</v>
      </c>
      <c r="AO37" s="246">
        <f t="shared" si="14"/>
        <v>0</v>
      </c>
      <c r="AP37" s="246">
        <f t="shared" si="14"/>
        <v>0</v>
      </c>
      <c r="AQ37" s="246">
        <f t="shared" si="14"/>
        <v>0</v>
      </c>
      <c r="AR37" s="246">
        <f t="shared" si="14"/>
        <v>0</v>
      </c>
      <c r="AS37" s="246">
        <f t="shared" si="14"/>
        <v>0</v>
      </c>
      <c r="AT37" s="246">
        <f t="shared" si="14"/>
        <v>0</v>
      </c>
      <c r="AU37" s="246">
        <f t="shared" si="14"/>
        <v>0</v>
      </c>
      <c r="AV37" s="246">
        <f t="shared" si="14"/>
        <v>0</v>
      </c>
      <c r="AW37" s="246">
        <f t="shared" si="14"/>
        <v>0</v>
      </c>
      <c r="AX37" s="246">
        <f t="shared" si="14"/>
        <v>0</v>
      </c>
      <c r="AY37" s="246">
        <f t="shared" si="14"/>
        <v>0</v>
      </c>
      <c r="AZ37" s="246">
        <f t="shared" si="14"/>
        <v>0</v>
      </c>
      <c r="BA37" s="246">
        <f t="shared" si="14"/>
        <v>0</v>
      </c>
      <c r="BB37" s="246">
        <f t="shared" si="14"/>
        <v>0</v>
      </c>
      <c r="BC37" s="246">
        <f t="shared" si="14"/>
        <v>0</v>
      </c>
      <c r="BD37" s="246">
        <f t="shared" si="14"/>
        <v>0</v>
      </c>
      <c r="BE37" s="246">
        <f t="shared" si="14"/>
        <v>0</v>
      </c>
      <c r="BF37" s="246">
        <f t="shared" si="14"/>
        <v>0</v>
      </c>
      <c r="BG37" s="246">
        <f t="shared" si="14"/>
        <v>0</v>
      </c>
      <c r="BH37" s="246">
        <f t="shared" si="14"/>
        <v>0</v>
      </c>
      <c r="BI37" s="246">
        <f t="shared" si="14"/>
        <v>0</v>
      </c>
      <c r="BJ37" s="246">
        <f t="shared" si="14"/>
        <v>0</v>
      </c>
      <c r="BK37" s="246">
        <f t="shared" si="14"/>
        <v>0</v>
      </c>
      <c r="BL37" s="246">
        <f t="shared" si="14"/>
        <v>0</v>
      </c>
      <c r="BM37" s="246">
        <f t="shared" si="14"/>
        <v>0</v>
      </c>
      <c r="BN37" s="246">
        <f t="shared" ref="BN37:BX37" si="15">SUM(BN38:BN48)</f>
        <v>0</v>
      </c>
      <c r="BO37" s="246">
        <f t="shared" si="15"/>
        <v>0</v>
      </c>
      <c r="BP37" s="246">
        <f t="shared" si="15"/>
        <v>0</v>
      </c>
      <c r="BQ37" s="246">
        <f t="shared" si="15"/>
        <v>0</v>
      </c>
      <c r="BR37" s="246">
        <f t="shared" si="15"/>
        <v>0</v>
      </c>
      <c r="BS37" s="246">
        <f t="shared" si="15"/>
        <v>0</v>
      </c>
      <c r="BT37" s="246">
        <f t="shared" si="15"/>
        <v>0</v>
      </c>
      <c r="BU37" s="246">
        <f t="shared" si="15"/>
        <v>0</v>
      </c>
      <c r="BV37" s="246">
        <f t="shared" si="15"/>
        <v>0</v>
      </c>
      <c r="BW37" s="246">
        <f t="shared" si="15"/>
        <v>0</v>
      </c>
      <c r="BX37" s="246">
        <f t="shared" si="15"/>
        <v>0</v>
      </c>
      <c r="BY37" s="248">
        <f>SUM(BY38:BY48)</f>
        <v>-8907498.0642666668</v>
      </c>
      <c r="BZ37" s="597"/>
      <c r="CA37" s="222"/>
      <c r="CB37" s="248"/>
      <c r="CC37" s="597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</row>
    <row r="38" spans="1:138" ht="15.95" outlineLevel="1">
      <c r="A38" s="505"/>
      <c r="B38" s="600"/>
      <c r="C38" s="263" t="s">
        <v>170</v>
      </c>
      <c r="D38" s="250" t="s">
        <v>223</v>
      </c>
      <c r="E38" s="255"/>
      <c r="F38" s="255"/>
      <c r="G38" s="255"/>
      <c r="H38" s="256"/>
      <c r="I38" s="256">
        <f>-400000</f>
        <v>-400000</v>
      </c>
      <c r="J38" s="256">
        <f>-661353-(23520+28160+192281+20000)*1.21</f>
        <v>-980745.81</v>
      </c>
      <c r="K38" s="256"/>
      <c r="L38" s="256">
        <f>-(23520+28160+192281+20000)*1.21</f>
        <v>-319392.81</v>
      </c>
      <c r="M38" s="256">
        <f>-(23520+28160+192281+20000)*1.21-(23520+28160+192281+20000)*1.21</f>
        <v>-638785.62</v>
      </c>
      <c r="N38" s="256"/>
      <c r="O38" s="256">
        <f>-(23520+28160+192281+20000)*1.21*2</f>
        <v>-638785.62</v>
      </c>
      <c r="P38" s="256">
        <f>-(23520+28160+192281+20000)*1.21</f>
        <v>-319392.81</v>
      </c>
      <c r="Q38" s="256">
        <f>-Businessplan_prodej!$F$78/10*1.21</f>
        <v>-92146.34</v>
      </c>
      <c r="R38" s="256">
        <f>-Businessplan_prodej!$F$78/10*1.21</f>
        <v>-92146.34</v>
      </c>
      <c r="S38" s="256">
        <f>-Businessplan_prodej!$F$78/10*1.21</f>
        <v>-92146.34</v>
      </c>
      <c r="T38" s="256">
        <f>-Businessplan_prodej!$F$78/10*1.21</f>
        <v>-92146.34</v>
      </c>
      <c r="U38" s="256">
        <f>-Businessplan_prodej!$F$78/10*1.21</f>
        <v>-92146.34</v>
      </c>
      <c r="V38" s="256">
        <f>-Businessplan_prodej!$F$78/10*1.21</f>
        <v>-92146.34</v>
      </c>
      <c r="W38" s="256">
        <f>-Businessplan_prodej!$F$78/10*1.21</f>
        <v>-92146.34</v>
      </c>
      <c r="X38" s="256">
        <f>-Businessplan_prodej!$F$78/10*1.21</f>
        <v>-92146.34</v>
      </c>
      <c r="Y38" s="256">
        <f>-Businessplan_prodej!$F$78/10*1.21</f>
        <v>-92146.34</v>
      </c>
      <c r="Z38" s="256">
        <f>-Businessplan_prodej!$F$78/10*1.21</f>
        <v>-92146.34</v>
      </c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67"/>
      <c r="BY38" s="261">
        <f t="shared" ref="BY38:BY48" si="16">SUM(E38:BX38)</f>
        <v>-4218566.0699999994</v>
      </c>
      <c r="BZ38" s="597"/>
      <c r="CA38" s="222"/>
      <c r="CB38" s="248"/>
      <c r="CC38" s="597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</row>
    <row r="39" spans="1:138" ht="15.95" outlineLevel="1">
      <c r="A39" s="505"/>
      <c r="B39" s="600"/>
      <c r="C39" s="263" t="s">
        <v>171</v>
      </c>
      <c r="D39" s="250" t="s">
        <v>223</v>
      </c>
      <c r="E39" s="255"/>
      <c r="F39" s="255"/>
      <c r="G39" s="255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>
        <f>-100000*1.21</f>
        <v>-121000</v>
      </c>
      <c r="S39" s="256">
        <f>-Businessplan_prodej!$F$82/8*1.21</f>
        <v>-139119.75</v>
      </c>
      <c r="T39" s="256">
        <f>-Businessplan_prodej!$F$82/8*1.21</f>
        <v>-139119.75</v>
      </c>
      <c r="U39" s="256">
        <f>-Businessplan_prodej!$F$82/8*1.21</f>
        <v>-139119.75</v>
      </c>
      <c r="V39" s="256">
        <f>-Businessplan_prodej!$F$82/8*1.21</f>
        <v>-139119.75</v>
      </c>
      <c r="W39" s="256">
        <f>-Businessplan_prodej!$F$82/8*1.21</f>
        <v>-139119.75</v>
      </c>
      <c r="X39" s="256">
        <f>-Businessplan_prodej!$F$82/8*1.21</f>
        <v>-139119.75</v>
      </c>
      <c r="Y39" s="256">
        <f>-Businessplan_prodej!$F$82/8*1.21</f>
        <v>-139119.75</v>
      </c>
      <c r="Z39" s="256">
        <f>-Businessplan_prodej!$F$82/8*1.21</f>
        <v>-139119.75</v>
      </c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67"/>
      <c r="BY39" s="262">
        <f t="shared" si="16"/>
        <v>-1233958</v>
      </c>
      <c r="BZ39" s="597"/>
      <c r="CA39" s="222"/>
      <c r="CB39" s="248"/>
      <c r="CC39" s="597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</row>
    <row r="40" spans="1:138" ht="15.95" outlineLevel="1">
      <c r="A40" s="505"/>
      <c r="B40" s="600"/>
      <c r="C40" s="263" t="s">
        <v>172</v>
      </c>
      <c r="D40" s="250" t="s">
        <v>223</v>
      </c>
      <c r="E40" s="255"/>
      <c r="F40" s="255"/>
      <c r="G40" s="255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68"/>
      <c r="T40" s="256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67"/>
      <c r="BY40" s="262">
        <f t="shared" si="16"/>
        <v>0</v>
      </c>
      <c r="BZ40" s="597"/>
      <c r="CA40" s="222"/>
      <c r="CB40" s="248"/>
      <c r="CC40" s="597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</row>
    <row r="41" spans="1:138" ht="15.95" outlineLevel="1">
      <c r="A41" s="505"/>
      <c r="B41" s="600"/>
      <c r="C41" s="263" t="s">
        <v>176</v>
      </c>
      <c r="D41" s="250" t="s">
        <v>223</v>
      </c>
      <c r="E41" s="255"/>
      <c r="F41" s="255"/>
      <c r="G41" s="255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68">
        <f>-Businessplan_prodej!$F$87/9*1.21</f>
        <v>0</v>
      </c>
      <c r="S41" s="268">
        <f>-Businessplan_prodej!$F$87/9*1.21</f>
        <v>0</v>
      </c>
      <c r="T41" s="268">
        <f>-Businessplan_prodej!$F$87/9*1.21</f>
        <v>0</v>
      </c>
      <c r="U41" s="268">
        <f>-Businessplan_prodej!$F$87/9*1.21</f>
        <v>0</v>
      </c>
      <c r="V41" s="268">
        <f>-Businessplan_prodej!$F$87/9*1.21</f>
        <v>0</v>
      </c>
      <c r="W41" s="268">
        <f>-Businessplan_prodej!$F$87/9*1.21</f>
        <v>0</v>
      </c>
      <c r="X41" s="268">
        <f>-Businessplan_prodej!$F$87/9*1.21</f>
        <v>0</v>
      </c>
      <c r="Y41" s="268">
        <f>-Businessplan_prodej!$F$87/9*1.21</f>
        <v>0</v>
      </c>
      <c r="Z41" s="268">
        <f>-Businessplan_prodej!$F$87/9*1.21</f>
        <v>0</v>
      </c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67"/>
      <c r="BY41" s="262">
        <f t="shared" si="16"/>
        <v>0</v>
      </c>
      <c r="BZ41" s="597"/>
      <c r="CA41" s="222"/>
      <c r="CB41" s="248"/>
      <c r="CC41" s="597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</row>
    <row r="42" spans="1:138" ht="15.95" outlineLevel="1">
      <c r="A42" s="505"/>
      <c r="B42" s="600"/>
      <c r="C42" s="249" t="s">
        <v>177</v>
      </c>
      <c r="D42" s="269" t="s">
        <v>223</v>
      </c>
      <c r="E42" s="270"/>
      <c r="F42" s="271"/>
      <c r="G42" s="271"/>
      <c r="H42" s="271">
        <f t="shared" ref="H42:AA42" si="17">SUM(H43:H44)</f>
        <v>-36364</v>
      </c>
      <c r="I42" s="271">
        <f t="shared" si="17"/>
        <v>-8194</v>
      </c>
      <c r="J42" s="271">
        <f t="shared" si="17"/>
        <v>-27000</v>
      </c>
      <c r="K42" s="271">
        <f t="shared" si="17"/>
        <v>-7113</v>
      </c>
      <c r="L42" s="271">
        <f t="shared" si="17"/>
        <v>-5262</v>
      </c>
      <c r="M42" s="271">
        <f t="shared" si="17"/>
        <v>-3613</v>
      </c>
      <c r="N42" s="271">
        <f t="shared" si="17"/>
        <v>-3999</v>
      </c>
      <c r="O42" s="271">
        <f t="shared" si="17"/>
        <v>-5000</v>
      </c>
      <c r="P42" s="271">
        <f t="shared" si="17"/>
        <v>-5000</v>
      </c>
      <c r="Q42" s="271">
        <f t="shared" si="17"/>
        <v>-85000</v>
      </c>
      <c r="R42" s="271">
        <f t="shared" si="17"/>
        <v>-10000</v>
      </c>
      <c r="S42" s="271">
        <f t="shared" si="17"/>
        <v>-10000</v>
      </c>
      <c r="T42" s="271">
        <f t="shared" si="17"/>
        <v>-10000</v>
      </c>
      <c r="U42" s="271">
        <f t="shared" si="17"/>
        <v>-10000</v>
      </c>
      <c r="V42" s="271">
        <f t="shared" si="17"/>
        <v>-10000</v>
      </c>
      <c r="W42" s="271">
        <f t="shared" si="17"/>
        <v>-10000</v>
      </c>
      <c r="X42" s="271">
        <f t="shared" si="17"/>
        <v>-10000</v>
      </c>
      <c r="Y42" s="271">
        <f t="shared" si="17"/>
        <v>-10000</v>
      </c>
      <c r="Z42" s="271">
        <f t="shared" si="17"/>
        <v>-110000</v>
      </c>
      <c r="AA42" s="271">
        <f t="shared" si="17"/>
        <v>-10000</v>
      </c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2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60"/>
      <c r="BY42" s="262">
        <f t="shared" si="16"/>
        <v>-386545</v>
      </c>
      <c r="BZ42" s="597"/>
      <c r="CA42" s="222"/>
      <c r="CB42" s="248"/>
      <c r="CC42" s="597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</row>
    <row r="43" spans="1:138" ht="15.95" outlineLevel="2">
      <c r="A43" s="505"/>
      <c r="B43" s="600"/>
      <c r="C43" s="273" t="s">
        <v>243</v>
      </c>
      <c r="D43" s="250" t="s">
        <v>223</v>
      </c>
      <c r="E43" s="251"/>
      <c r="F43" s="251"/>
      <c r="G43" s="251"/>
      <c r="H43" s="274">
        <f>-11364</f>
        <v>-11364</v>
      </c>
      <c r="I43" s="274">
        <f>-8194</f>
        <v>-8194</v>
      </c>
      <c r="J43" s="274"/>
      <c r="K43" s="274">
        <f>-3219-3894</f>
        <v>-7113</v>
      </c>
      <c r="L43" s="274">
        <f>-5262</f>
        <v>-5262</v>
      </c>
      <c r="M43" s="274">
        <f>-3613</f>
        <v>-3613</v>
      </c>
      <c r="N43" s="274">
        <f>-3999</f>
        <v>-3999</v>
      </c>
      <c r="O43" s="274">
        <f t="shared" ref="O43:P43" si="18">-5000</f>
        <v>-5000</v>
      </c>
      <c r="P43" s="274">
        <f t="shared" si="18"/>
        <v>-5000</v>
      </c>
      <c r="Q43" s="274">
        <f>-(Businessplan_prodej!$F$88-3000*25)/11</f>
        <v>-10000</v>
      </c>
      <c r="R43" s="274">
        <f>-(Businessplan_prodej!$F$88-3000*25)/11</f>
        <v>-10000</v>
      </c>
      <c r="S43" s="274">
        <f>-(Businessplan_prodej!$F$88-3000*25)/11</f>
        <v>-10000</v>
      </c>
      <c r="T43" s="274">
        <f>-(Businessplan_prodej!$F$88-3000*25)/11</f>
        <v>-10000</v>
      </c>
      <c r="U43" s="274">
        <f>-(Businessplan_prodej!$F$88-3000*25)/11</f>
        <v>-10000</v>
      </c>
      <c r="V43" s="274">
        <f>-(Businessplan_prodej!$F$88-3000*25)/11</f>
        <v>-10000</v>
      </c>
      <c r="W43" s="274">
        <f>-(Businessplan_prodej!$F$88-3000*25)/11</f>
        <v>-10000</v>
      </c>
      <c r="X43" s="274">
        <f>-(Businessplan_prodej!$F$88-3000*25)/11</f>
        <v>-10000</v>
      </c>
      <c r="Y43" s="274">
        <f>-(Businessplan_prodej!$F$88-3000*25)/11</f>
        <v>-10000</v>
      </c>
      <c r="Z43" s="274">
        <f>-(Businessplan_prodej!$F$88-3000*25)/11</f>
        <v>-10000</v>
      </c>
      <c r="AA43" s="274">
        <f>-(Businessplan_prodej!$F$88-3000*25)/11</f>
        <v>-10000</v>
      </c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60"/>
      <c r="BY43" s="262">
        <f t="shared" si="16"/>
        <v>-159545</v>
      </c>
      <c r="BZ43" s="597"/>
      <c r="CA43" s="222"/>
      <c r="CB43" s="248"/>
      <c r="CC43" s="597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</row>
    <row r="44" spans="1:138" ht="15.95" outlineLevel="2">
      <c r="A44" s="505"/>
      <c r="B44" s="600"/>
      <c r="C44" s="273" t="s">
        <v>244</v>
      </c>
      <c r="D44" s="250" t="s">
        <v>223</v>
      </c>
      <c r="E44" s="251"/>
      <c r="F44" s="251"/>
      <c r="G44" s="251"/>
      <c r="H44" s="274">
        <f>-25000</f>
        <v>-25000</v>
      </c>
      <c r="I44" s="274"/>
      <c r="J44" s="274">
        <f>-27000</f>
        <v>-27000</v>
      </c>
      <c r="K44" s="274"/>
      <c r="L44" s="274"/>
      <c r="M44" s="274"/>
      <c r="N44" s="274"/>
      <c r="O44" s="274"/>
      <c r="P44" s="274"/>
      <c r="Q44" s="274">
        <f>-3000*25</f>
        <v>-75000</v>
      </c>
      <c r="R44" s="274"/>
      <c r="S44" s="274"/>
      <c r="T44" s="274"/>
      <c r="U44" s="274"/>
      <c r="V44" s="274"/>
      <c r="W44" s="274"/>
      <c r="X44" s="274"/>
      <c r="Y44" s="274"/>
      <c r="Z44" s="274">
        <f>-50000*2</f>
        <v>-100000</v>
      </c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60"/>
      <c r="BY44" s="262">
        <f t="shared" si="16"/>
        <v>-227000</v>
      </c>
      <c r="BZ44" s="597"/>
      <c r="CA44" s="222"/>
      <c r="CB44" s="248"/>
      <c r="CC44" s="597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</row>
    <row r="45" spans="1:138" ht="15.95" outlineLevel="1">
      <c r="A45" s="505"/>
      <c r="B45" s="600"/>
      <c r="C45" s="249" t="s">
        <v>178</v>
      </c>
      <c r="D45" s="250" t="s">
        <v>223</v>
      </c>
      <c r="E45" s="251"/>
      <c r="F45" s="251"/>
      <c r="G45" s="251"/>
      <c r="H45" s="252">
        <f>-1000</f>
        <v>-1000</v>
      </c>
      <c r="I45" s="252"/>
      <c r="J45" s="252">
        <f>-100</f>
        <v>-100</v>
      </c>
      <c r="K45" s="252">
        <f>-7230</f>
        <v>-7230</v>
      </c>
      <c r="L45" s="252">
        <f>-1000-6742</f>
        <v>-7742</v>
      </c>
      <c r="M45" s="252">
        <f>-2000-20570-2000</f>
        <v>-24570</v>
      </c>
      <c r="N45" s="252">
        <f>-19360-1980</f>
        <v>-21340</v>
      </c>
      <c r="O45" s="252">
        <f>-Businessplan_prodej!$F$68/12*1.21</f>
        <v>-19052.833333333336</v>
      </c>
      <c r="P45" s="252">
        <f>-Businessplan_prodej!$F$68/12*1.21</f>
        <v>-19052.833333333336</v>
      </c>
      <c r="Q45" s="252">
        <f t="shared" ref="Q45:AA45" si="19">-3500*1.21</f>
        <v>-4235</v>
      </c>
      <c r="R45" s="252">
        <f t="shared" si="19"/>
        <v>-4235</v>
      </c>
      <c r="S45" s="252">
        <f t="shared" si="19"/>
        <v>-4235</v>
      </c>
      <c r="T45" s="252">
        <f t="shared" si="19"/>
        <v>-4235</v>
      </c>
      <c r="U45" s="252">
        <f t="shared" si="19"/>
        <v>-4235</v>
      </c>
      <c r="V45" s="252">
        <f t="shared" si="19"/>
        <v>-4235</v>
      </c>
      <c r="W45" s="252">
        <f t="shared" si="19"/>
        <v>-4235</v>
      </c>
      <c r="X45" s="252">
        <f t="shared" si="19"/>
        <v>-4235</v>
      </c>
      <c r="Y45" s="252">
        <f t="shared" si="19"/>
        <v>-4235</v>
      </c>
      <c r="Z45" s="252">
        <f t="shared" si="19"/>
        <v>-4235</v>
      </c>
      <c r="AA45" s="252">
        <f t="shared" si="19"/>
        <v>-4235</v>
      </c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60"/>
      <c r="BY45" s="262">
        <f t="shared" si="16"/>
        <v>-146672.66666666669</v>
      </c>
      <c r="BZ45" s="597"/>
      <c r="CA45" s="222"/>
      <c r="CB45" s="248"/>
      <c r="CC45" s="597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</row>
    <row r="46" spans="1:138" ht="14.25" customHeight="1" outlineLevel="1">
      <c r="A46" s="505"/>
      <c r="B46" s="600"/>
      <c r="C46" s="249" t="s">
        <v>179</v>
      </c>
      <c r="D46" s="250" t="s">
        <v>223</v>
      </c>
      <c r="E46" s="251"/>
      <c r="F46" s="251"/>
      <c r="G46" s="251"/>
      <c r="H46" s="252">
        <f>-10188.2-65673</f>
        <v>-75861.2</v>
      </c>
      <c r="I46" s="252">
        <f>-6776</f>
        <v>-6776</v>
      </c>
      <c r="J46" s="252"/>
      <c r="K46" s="252">
        <f>-4900.5</f>
        <v>-4900.5</v>
      </c>
      <c r="L46" s="252"/>
      <c r="M46" s="252"/>
      <c r="N46" s="252"/>
      <c r="O46" s="252"/>
      <c r="P46" s="252">
        <f>-Businessplan_prodej!$F$69*0.3*1.21-$K$46</f>
        <v>-30435.809999999998</v>
      </c>
      <c r="Q46" s="252">
        <f>-Businessplan_prodej!$F$69*0.2*1.21</f>
        <v>-23557.54</v>
      </c>
      <c r="R46" s="252"/>
      <c r="S46" s="252"/>
      <c r="T46" s="252">
        <f>-Businessplan_prodej!$F$69*0.25*1.21</f>
        <v>-29446.924999999999</v>
      </c>
      <c r="U46" s="251"/>
      <c r="V46" s="251"/>
      <c r="W46" s="251"/>
      <c r="X46" s="251"/>
      <c r="Y46" s="251"/>
      <c r="Z46" s="252">
        <f>-Businessplan_prodej!$F$69*0.25*1.21</f>
        <v>-29446.924999999999</v>
      </c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60"/>
      <c r="BY46" s="262">
        <f t="shared" si="16"/>
        <v>-200424.89999999997</v>
      </c>
      <c r="BZ46" s="597"/>
      <c r="CA46" s="222"/>
      <c r="CB46" s="248"/>
      <c r="CC46" s="597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22"/>
      <c r="DJ46" s="222"/>
      <c r="DK46" s="222"/>
      <c r="DL46" s="222"/>
      <c r="DM46" s="222"/>
      <c r="DN46" s="222"/>
      <c r="DO46" s="222"/>
      <c r="DP46" s="222"/>
      <c r="DQ46" s="222"/>
      <c r="DR46" s="222"/>
      <c r="DS46" s="222"/>
      <c r="DT46" s="222"/>
      <c r="DU46" s="222"/>
      <c r="DV46" s="222"/>
      <c r="DW46" s="222"/>
      <c r="DX46" s="222"/>
      <c r="DY46" s="222"/>
      <c r="DZ46" s="222"/>
      <c r="EA46" s="222"/>
      <c r="EB46" s="222"/>
      <c r="EC46" s="222"/>
      <c r="ED46" s="222"/>
      <c r="EE46" s="222"/>
      <c r="EF46" s="222"/>
      <c r="EG46" s="222"/>
      <c r="EH46" s="222"/>
    </row>
    <row r="47" spans="1:138" ht="14.25" customHeight="1" outlineLevel="1">
      <c r="A47" s="505"/>
      <c r="B47" s="600"/>
      <c r="C47" s="249" t="s">
        <v>180</v>
      </c>
      <c r="D47" s="250" t="s">
        <v>223</v>
      </c>
      <c r="E47" s="251"/>
      <c r="F47" s="251"/>
      <c r="G47" s="251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>
        <f>-Businessplan_prodej!$F$91*0.2*1.21</f>
        <v>-43560</v>
      </c>
      <c r="T47" s="252"/>
      <c r="U47" s="251"/>
      <c r="V47" s="251"/>
      <c r="W47" s="252">
        <f>-Businessplan_prodej!$F$91*0.3*1.21</f>
        <v>-65340</v>
      </c>
      <c r="X47" s="251"/>
      <c r="Y47" s="252">
        <f>-Businessplan_prodej!$F$91*0.5*1.21</f>
        <v>-108900</v>
      </c>
      <c r="Z47" s="252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60"/>
      <c r="BY47" s="262">
        <f t="shared" si="16"/>
        <v>-217800</v>
      </c>
      <c r="BZ47" s="597"/>
      <c r="CA47" s="222"/>
      <c r="CB47" s="248"/>
      <c r="CC47" s="597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/>
      <c r="DU47" s="222"/>
      <c r="DV47" s="222"/>
      <c r="DW47" s="222"/>
      <c r="DX47" s="222"/>
      <c r="DY47" s="222"/>
      <c r="DZ47" s="222"/>
      <c r="EA47" s="222"/>
      <c r="EB47" s="222"/>
      <c r="EC47" s="222"/>
      <c r="ED47" s="222"/>
      <c r="EE47" s="222"/>
      <c r="EF47" s="222"/>
      <c r="EG47" s="222"/>
      <c r="EH47" s="222"/>
    </row>
    <row r="48" spans="1:138" ht="14.25" customHeight="1" outlineLevel="1">
      <c r="A48" s="505"/>
      <c r="B48" s="600"/>
      <c r="C48" s="249" t="s">
        <v>181</v>
      </c>
      <c r="D48" s="254" t="s">
        <v>223</v>
      </c>
      <c r="E48" s="251"/>
      <c r="F48" s="251"/>
      <c r="G48" s="251"/>
      <c r="H48" s="252"/>
      <c r="I48" s="252"/>
      <c r="J48" s="252"/>
      <c r="K48" s="252">
        <f>-((17529*2*25.2+44407*2)*1.21)*75%</f>
        <v>-882340.10700000008</v>
      </c>
      <c r="L48" s="252"/>
      <c r="M48" s="252"/>
      <c r="N48" s="252"/>
      <c r="O48" s="252"/>
      <c r="P48" s="252">
        <f>-((17529*2*25.2+44407*2)*1.21)*25%</f>
        <v>-294113.36900000001</v>
      </c>
      <c r="Q48" s="252"/>
      <c r="R48" s="252"/>
      <c r="S48" s="252">
        <f>-Businessplan_prodej!$F$92*0.5*1.21</f>
        <v>-470266.4757999999</v>
      </c>
      <c r="T48" s="252"/>
      <c r="U48" s="251"/>
      <c r="V48" s="251"/>
      <c r="W48" s="251"/>
      <c r="X48" s="251"/>
      <c r="Y48" s="251"/>
      <c r="Z48" s="252">
        <f>-Businessplan_prodej!$F$92*0.5*1.21</f>
        <v>-470266.4757999999</v>
      </c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60"/>
      <c r="BY48" s="262">
        <f t="shared" si="16"/>
        <v>-2116986.4276000001</v>
      </c>
      <c r="BZ48" s="597"/>
      <c r="CA48" s="222"/>
      <c r="CB48" s="248"/>
      <c r="CC48" s="597"/>
      <c r="CD48" s="222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2"/>
      <c r="CV48" s="222"/>
      <c r="CW48" s="222"/>
      <c r="CX48" s="222"/>
      <c r="CY48" s="222"/>
      <c r="CZ48" s="222"/>
      <c r="DA48" s="222"/>
      <c r="DB48" s="222"/>
      <c r="DC48" s="222"/>
      <c r="DD48" s="222"/>
      <c r="DE48" s="222"/>
      <c r="DF48" s="222"/>
      <c r="DG48" s="222"/>
      <c r="DH48" s="222"/>
      <c r="DI48" s="222"/>
      <c r="DJ48" s="222"/>
      <c r="DK48" s="222"/>
      <c r="DL48" s="222"/>
      <c r="DM48" s="222"/>
      <c r="DN48" s="222"/>
      <c r="DO48" s="222"/>
      <c r="DP48" s="222"/>
      <c r="DQ48" s="222"/>
      <c r="DR48" s="222"/>
      <c r="DS48" s="222"/>
      <c r="DT48" s="222"/>
      <c r="DU48" s="222"/>
      <c r="DV48" s="222"/>
      <c r="DW48" s="222"/>
      <c r="DX48" s="222"/>
      <c r="DY48" s="222"/>
      <c r="DZ48" s="222"/>
      <c r="EA48" s="222"/>
      <c r="EB48" s="222"/>
      <c r="EC48" s="222"/>
      <c r="ED48" s="222"/>
      <c r="EE48" s="222"/>
      <c r="EF48" s="222"/>
      <c r="EG48" s="222"/>
      <c r="EH48" s="222"/>
    </row>
    <row r="49" spans="1:138" ht="15.95">
      <c r="A49" s="505"/>
      <c r="B49" s="600"/>
      <c r="C49" s="244" t="s">
        <v>245</v>
      </c>
      <c r="D49" s="245"/>
      <c r="E49" s="246">
        <f t="shared" ref="E49:BX49" si="20">SUM(E50:E54)</f>
        <v>0</v>
      </c>
      <c r="F49" s="246">
        <f t="shared" si="20"/>
        <v>0</v>
      </c>
      <c r="G49" s="246">
        <f t="shared" si="20"/>
        <v>0</v>
      </c>
      <c r="H49" s="246">
        <f t="shared" si="20"/>
        <v>-1442.155</v>
      </c>
      <c r="I49" s="246">
        <f t="shared" si="20"/>
        <v>-4792.1949999999997</v>
      </c>
      <c r="J49" s="246">
        <f t="shared" si="20"/>
        <v>-1444.855</v>
      </c>
      <c r="K49" s="246">
        <f t="shared" si="20"/>
        <v>-1290.27</v>
      </c>
      <c r="L49" s="246">
        <f t="shared" si="20"/>
        <v>-1842.35</v>
      </c>
      <c r="M49" s="246">
        <f t="shared" si="20"/>
        <v>-1088.2900000000002</v>
      </c>
      <c r="N49" s="246">
        <f t="shared" si="20"/>
        <v>-1290.27</v>
      </c>
      <c r="O49" s="246">
        <f t="shared" si="20"/>
        <v>-1290.27</v>
      </c>
      <c r="P49" s="246">
        <f t="shared" si="20"/>
        <v>-1290.27</v>
      </c>
      <c r="Q49" s="246">
        <f t="shared" si="20"/>
        <v>-1290.27</v>
      </c>
      <c r="R49" s="246">
        <f t="shared" si="20"/>
        <v>-1290.27</v>
      </c>
      <c r="S49" s="246">
        <f t="shared" si="20"/>
        <v>-1290.27</v>
      </c>
      <c r="T49" s="246">
        <f t="shared" si="20"/>
        <v>-1290.27</v>
      </c>
      <c r="U49" s="246">
        <f t="shared" si="20"/>
        <v>-1290.27</v>
      </c>
      <c r="V49" s="246">
        <f t="shared" si="20"/>
        <v>-1290.27</v>
      </c>
      <c r="W49" s="246">
        <f t="shared" si="20"/>
        <v>-1290.27</v>
      </c>
      <c r="X49" s="246">
        <f t="shared" si="20"/>
        <v>-1290.27</v>
      </c>
      <c r="Y49" s="246">
        <f t="shared" si="20"/>
        <v>-1290.27</v>
      </c>
      <c r="Z49" s="246">
        <f t="shared" si="20"/>
        <v>-1290.27</v>
      </c>
      <c r="AA49" s="246">
        <f t="shared" si="20"/>
        <v>-1290.27</v>
      </c>
      <c r="AB49" s="246">
        <f t="shared" si="20"/>
        <v>0</v>
      </c>
      <c r="AC49" s="246">
        <f t="shared" si="20"/>
        <v>0</v>
      </c>
      <c r="AD49" s="246">
        <f t="shared" si="20"/>
        <v>0</v>
      </c>
      <c r="AE49" s="246">
        <f t="shared" si="20"/>
        <v>0</v>
      </c>
      <c r="AF49" s="246">
        <f t="shared" si="20"/>
        <v>0</v>
      </c>
      <c r="AG49" s="246">
        <f t="shared" si="20"/>
        <v>0</v>
      </c>
      <c r="AH49" s="246">
        <f t="shared" si="20"/>
        <v>0</v>
      </c>
      <c r="AI49" s="246">
        <f t="shared" si="20"/>
        <v>0</v>
      </c>
      <c r="AJ49" s="246">
        <f t="shared" si="20"/>
        <v>0</v>
      </c>
      <c r="AK49" s="246">
        <f t="shared" si="20"/>
        <v>0</v>
      </c>
      <c r="AL49" s="246">
        <f t="shared" si="20"/>
        <v>0</v>
      </c>
      <c r="AM49" s="246">
        <f t="shared" si="20"/>
        <v>0</v>
      </c>
      <c r="AN49" s="246">
        <f t="shared" si="20"/>
        <v>0</v>
      </c>
      <c r="AO49" s="246">
        <f t="shared" si="20"/>
        <v>0</v>
      </c>
      <c r="AP49" s="246">
        <f t="shared" si="20"/>
        <v>0</v>
      </c>
      <c r="AQ49" s="246">
        <f t="shared" si="20"/>
        <v>0</v>
      </c>
      <c r="AR49" s="246">
        <f t="shared" si="20"/>
        <v>0</v>
      </c>
      <c r="AS49" s="246">
        <f t="shared" si="20"/>
        <v>0</v>
      </c>
      <c r="AT49" s="246">
        <f t="shared" si="20"/>
        <v>0</v>
      </c>
      <c r="AU49" s="246">
        <f t="shared" si="20"/>
        <v>0</v>
      </c>
      <c r="AV49" s="246">
        <f t="shared" si="20"/>
        <v>0</v>
      </c>
      <c r="AW49" s="246">
        <f t="shared" si="20"/>
        <v>0</v>
      </c>
      <c r="AX49" s="246">
        <f t="shared" si="20"/>
        <v>0</v>
      </c>
      <c r="AY49" s="246">
        <f t="shared" si="20"/>
        <v>0</v>
      </c>
      <c r="AZ49" s="246">
        <f t="shared" si="20"/>
        <v>0</v>
      </c>
      <c r="BA49" s="246">
        <f t="shared" si="20"/>
        <v>0</v>
      </c>
      <c r="BB49" s="246">
        <f t="shared" si="20"/>
        <v>0</v>
      </c>
      <c r="BC49" s="246">
        <f t="shared" si="20"/>
        <v>0</v>
      </c>
      <c r="BD49" s="246">
        <f t="shared" si="20"/>
        <v>0</v>
      </c>
      <c r="BE49" s="246">
        <f t="shared" si="20"/>
        <v>0</v>
      </c>
      <c r="BF49" s="246">
        <f t="shared" si="20"/>
        <v>0</v>
      </c>
      <c r="BG49" s="246">
        <f t="shared" si="20"/>
        <v>0</v>
      </c>
      <c r="BH49" s="246">
        <f t="shared" si="20"/>
        <v>0</v>
      </c>
      <c r="BI49" s="246">
        <f t="shared" si="20"/>
        <v>0</v>
      </c>
      <c r="BJ49" s="246">
        <f t="shared" si="20"/>
        <v>0</v>
      </c>
      <c r="BK49" s="246">
        <f t="shared" si="20"/>
        <v>0</v>
      </c>
      <c r="BL49" s="246">
        <f t="shared" si="20"/>
        <v>0</v>
      </c>
      <c r="BM49" s="246">
        <f t="shared" si="20"/>
        <v>0</v>
      </c>
      <c r="BN49" s="246">
        <f t="shared" si="20"/>
        <v>0</v>
      </c>
      <c r="BO49" s="246">
        <f t="shared" si="20"/>
        <v>0</v>
      </c>
      <c r="BP49" s="246">
        <f t="shared" si="20"/>
        <v>0</v>
      </c>
      <c r="BQ49" s="246">
        <f t="shared" si="20"/>
        <v>0</v>
      </c>
      <c r="BR49" s="246">
        <f t="shared" si="20"/>
        <v>0</v>
      </c>
      <c r="BS49" s="246">
        <f t="shared" si="20"/>
        <v>0</v>
      </c>
      <c r="BT49" s="246">
        <f t="shared" si="20"/>
        <v>0</v>
      </c>
      <c r="BU49" s="246">
        <f t="shared" si="20"/>
        <v>0</v>
      </c>
      <c r="BV49" s="246">
        <f t="shared" si="20"/>
        <v>0</v>
      </c>
      <c r="BW49" s="246">
        <f t="shared" si="20"/>
        <v>0</v>
      </c>
      <c r="BX49" s="246">
        <f t="shared" si="20"/>
        <v>0</v>
      </c>
      <c r="BY49" s="248">
        <f>SUM(BY50:BY54)</f>
        <v>-29963.895000000008</v>
      </c>
      <c r="BZ49" s="597"/>
      <c r="CA49" s="222"/>
      <c r="CB49" s="248"/>
      <c r="CC49" s="597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2"/>
      <c r="DE49" s="222"/>
      <c r="DF49" s="222"/>
      <c r="DG49" s="222"/>
      <c r="DH49" s="222"/>
      <c r="DI49" s="222"/>
      <c r="DJ49" s="222"/>
      <c r="DK49" s="222"/>
      <c r="DL49" s="222"/>
      <c r="DM49" s="222"/>
      <c r="DN49" s="222"/>
      <c r="DO49" s="222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2"/>
      <c r="EA49" s="222"/>
      <c r="EB49" s="222"/>
      <c r="EC49" s="222"/>
      <c r="ED49" s="222"/>
      <c r="EE49" s="222"/>
      <c r="EF49" s="222"/>
      <c r="EG49" s="222"/>
      <c r="EH49" s="222"/>
    </row>
    <row r="50" spans="1:138" ht="15.95" outlineLevel="1">
      <c r="A50" s="505"/>
      <c r="B50" s="600"/>
      <c r="C50" s="249" t="s">
        <v>183</v>
      </c>
      <c r="D50" s="250" t="s">
        <v>223</v>
      </c>
      <c r="E50" s="251"/>
      <c r="F50" s="251"/>
      <c r="G50" s="251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60"/>
      <c r="BY50" s="261">
        <f t="shared" ref="BY50:BY54" si="21">SUM(E50:BX50)</f>
        <v>0</v>
      </c>
      <c r="BZ50" s="597"/>
      <c r="CA50" s="222"/>
      <c r="CB50" s="248"/>
      <c r="CC50" s="597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22"/>
      <c r="DH50" s="222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</row>
    <row r="51" spans="1:138" ht="15.95" outlineLevel="1">
      <c r="A51" s="505"/>
      <c r="B51" s="600"/>
      <c r="C51" s="249" t="s">
        <v>246</v>
      </c>
      <c r="D51" s="250" t="s">
        <v>223</v>
      </c>
      <c r="E51" s="251"/>
      <c r="F51" s="251"/>
      <c r="G51" s="251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60"/>
      <c r="BY51" s="261">
        <f t="shared" si="21"/>
        <v>0</v>
      </c>
      <c r="BZ51" s="597"/>
      <c r="CA51" s="222"/>
      <c r="CB51" s="248"/>
      <c r="CC51" s="597"/>
      <c r="CD51" s="222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222"/>
      <c r="DJ51" s="222"/>
      <c r="DK51" s="222"/>
      <c r="DL51" s="222"/>
      <c r="DM51" s="222"/>
      <c r="DN51" s="222"/>
      <c r="DO51" s="222"/>
      <c r="DP51" s="222"/>
      <c r="DQ51" s="222"/>
      <c r="DR51" s="222"/>
      <c r="DS51" s="222"/>
      <c r="DT51" s="222"/>
      <c r="DU51" s="222"/>
      <c r="DV51" s="222"/>
      <c r="DW51" s="222"/>
      <c r="DX51" s="222"/>
      <c r="DY51" s="222"/>
      <c r="DZ51" s="222"/>
      <c r="EA51" s="222"/>
      <c r="EB51" s="222"/>
      <c r="EC51" s="222"/>
      <c r="ED51" s="222"/>
      <c r="EE51" s="222"/>
      <c r="EF51" s="222"/>
      <c r="EG51" s="222"/>
      <c r="EH51" s="222"/>
    </row>
    <row r="52" spans="1:138" ht="15.95" outlineLevel="1">
      <c r="A52" s="505"/>
      <c r="B52" s="600"/>
      <c r="C52" s="249" t="s">
        <v>247</v>
      </c>
      <c r="D52" s="250" t="s">
        <v>223</v>
      </c>
      <c r="E52" s="251"/>
      <c r="F52" s="251"/>
      <c r="G52" s="251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60"/>
      <c r="BY52" s="261">
        <f t="shared" si="21"/>
        <v>0</v>
      </c>
      <c r="BZ52" s="597"/>
      <c r="CA52" s="222"/>
      <c r="CB52" s="248"/>
      <c r="CC52" s="597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</row>
    <row r="53" spans="1:138" ht="15.95" outlineLevel="1">
      <c r="A53" s="505"/>
      <c r="B53" s="600"/>
      <c r="C53" s="249" t="s">
        <v>189</v>
      </c>
      <c r="D53" s="250" t="s">
        <v>223</v>
      </c>
      <c r="E53" s="251"/>
      <c r="F53" s="251"/>
      <c r="G53" s="251"/>
      <c r="H53" s="252">
        <f>-3-12-5-200-2-12-400-36-(0.02+0.09+0.21+17.06)*22-15.91*24.5</f>
        <v>-1442.155</v>
      </c>
      <c r="I53" s="252">
        <f>-6-5-200-12-400-24-2-16.19*24.5-17.57*22</f>
        <v>-1432.1949999999999</v>
      </c>
      <c r="J53" s="252">
        <f>-3-32-5-6-200-15-400-2-(0.01+0.08+15.98+0.2)*24.5-(0.02+0.09+0.21+17.1)*22</f>
        <v>-1444.855</v>
      </c>
      <c r="K53" s="252">
        <f>-20-12-3-200-2-400-10-2-10.9*24.5-17.01*22</f>
        <v>-1290.27</v>
      </c>
      <c r="L53" s="252">
        <f>-12-4-6-200-15-400-24-400-15.98*24.5-17.72*22</f>
        <v>-1842.35</v>
      </c>
      <c r="M53" s="252">
        <f>-40-200-15-2-12-400-10-2-400.11-(0.01+0.08+0.2+15.89)*25-(0.03-0.09-17.78-0.22)*22</f>
        <v>-1088.2900000000002</v>
      </c>
      <c r="N53" s="252">
        <f t="shared" ref="N53:AA53" si="22">-20-12-3-200-2-400-10-2-10.9*24.5-17.01*22</f>
        <v>-1290.27</v>
      </c>
      <c r="O53" s="252">
        <f t="shared" si="22"/>
        <v>-1290.27</v>
      </c>
      <c r="P53" s="252">
        <f t="shared" si="22"/>
        <v>-1290.27</v>
      </c>
      <c r="Q53" s="252">
        <f t="shared" si="22"/>
        <v>-1290.27</v>
      </c>
      <c r="R53" s="252">
        <f t="shared" si="22"/>
        <v>-1290.27</v>
      </c>
      <c r="S53" s="252">
        <f t="shared" si="22"/>
        <v>-1290.27</v>
      </c>
      <c r="T53" s="252">
        <f t="shared" si="22"/>
        <v>-1290.27</v>
      </c>
      <c r="U53" s="252">
        <f t="shared" si="22"/>
        <v>-1290.27</v>
      </c>
      <c r="V53" s="252">
        <f t="shared" si="22"/>
        <v>-1290.27</v>
      </c>
      <c r="W53" s="252">
        <f t="shared" si="22"/>
        <v>-1290.27</v>
      </c>
      <c r="X53" s="252">
        <f t="shared" si="22"/>
        <v>-1290.27</v>
      </c>
      <c r="Y53" s="252">
        <f t="shared" si="22"/>
        <v>-1290.27</v>
      </c>
      <c r="Z53" s="252">
        <f t="shared" si="22"/>
        <v>-1290.27</v>
      </c>
      <c r="AA53" s="252">
        <f t="shared" si="22"/>
        <v>-1290.27</v>
      </c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60"/>
      <c r="BY53" s="262">
        <f t="shared" si="21"/>
        <v>-26603.895000000008</v>
      </c>
      <c r="BZ53" s="597"/>
      <c r="CA53" s="222"/>
      <c r="CB53" s="248"/>
      <c r="CC53" s="597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</row>
    <row r="54" spans="1:138" ht="15.95" outlineLevel="1">
      <c r="A54" s="505"/>
      <c r="B54" s="600"/>
      <c r="C54" s="249" t="s">
        <v>190</v>
      </c>
      <c r="D54" s="254" t="s">
        <v>223</v>
      </c>
      <c r="E54" s="255"/>
      <c r="F54" s="255"/>
      <c r="G54" s="251"/>
      <c r="H54" s="252"/>
      <c r="I54" s="252">
        <f>-3360</f>
        <v>-3360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60"/>
      <c r="BY54" s="264">
        <f t="shared" si="21"/>
        <v>-3360</v>
      </c>
      <c r="BZ54" s="597"/>
      <c r="CA54" s="222"/>
      <c r="CB54" s="248"/>
      <c r="CC54" s="597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</row>
    <row r="55" spans="1:138" ht="15.95">
      <c r="A55" s="505"/>
      <c r="B55" s="600"/>
      <c r="C55" s="244" t="s">
        <v>248</v>
      </c>
      <c r="D55" s="245"/>
      <c r="E55" s="246">
        <f t="shared" ref="E55:BX55" si="23">SUM(E56:E62)</f>
        <v>0</v>
      </c>
      <c r="F55" s="246">
        <f t="shared" si="23"/>
        <v>0</v>
      </c>
      <c r="G55" s="246">
        <f t="shared" si="23"/>
        <v>0</v>
      </c>
      <c r="H55" s="246">
        <f t="shared" si="23"/>
        <v>0</v>
      </c>
      <c r="I55" s="246">
        <f t="shared" si="23"/>
        <v>0</v>
      </c>
      <c r="J55" s="246">
        <f t="shared" si="23"/>
        <v>0</v>
      </c>
      <c r="K55" s="246">
        <f t="shared" si="23"/>
        <v>0</v>
      </c>
      <c r="L55" s="246">
        <f t="shared" si="23"/>
        <v>0</v>
      </c>
      <c r="M55" s="246">
        <f t="shared" si="23"/>
        <v>-48944.520000000004</v>
      </c>
      <c r="N55" s="246">
        <f t="shared" si="23"/>
        <v>0</v>
      </c>
      <c r="O55" s="246">
        <f t="shared" si="23"/>
        <v>-271833.33333333337</v>
      </c>
      <c r="P55" s="246">
        <f t="shared" si="23"/>
        <v>-280000.00000000006</v>
      </c>
      <c r="Q55" s="246">
        <f t="shared" si="23"/>
        <v>-267474.3691666667</v>
      </c>
      <c r="R55" s="246">
        <f t="shared" si="23"/>
        <v>-267474.3691666667</v>
      </c>
      <c r="S55" s="246">
        <f t="shared" si="23"/>
        <v>-267474.3691666667</v>
      </c>
      <c r="T55" s="246">
        <f t="shared" si="23"/>
        <v>-267474.3691666667</v>
      </c>
      <c r="U55" s="246">
        <f t="shared" si="23"/>
        <v>-267474.3691666667</v>
      </c>
      <c r="V55" s="246">
        <f t="shared" si="23"/>
        <v>-267474.3691666667</v>
      </c>
      <c r="W55" s="246">
        <f t="shared" si="23"/>
        <v>-267474.3691666667</v>
      </c>
      <c r="X55" s="246">
        <f t="shared" si="23"/>
        <v>-267474.3691666667</v>
      </c>
      <c r="Y55" s="246">
        <f t="shared" si="23"/>
        <v>-267474.3691666667</v>
      </c>
      <c r="Z55" s="246">
        <f t="shared" si="23"/>
        <v>-267474.3691666667</v>
      </c>
      <c r="AA55" s="246">
        <f t="shared" si="23"/>
        <v>-267474.3691666667</v>
      </c>
      <c r="AB55" s="246">
        <f t="shared" si="23"/>
        <v>0</v>
      </c>
      <c r="AC55" s="246">
        <f t="shared" si="23"/>
        <v>0</v>
      </c>
      <c r="AD55" s="246">
        <f t="shared" si="23"/>
        <v>0</v>
      </c>
      <c r="AE55" s="246">
        <f t="shared" si="23"/>
        <v>0</v>
      </c>
      <c r="AF55" s="246">
        <f t="shared" si="23"/>
        <v>0</v>
      </c>
      <c r="AG55" s="246">
        <f t="shared" si="23"/>
        <v>0</v>
      </c>
      <c r="AH55" s="246">
        <f t="shared" si="23"/>
        <v>0</v>
      </c>
      <c r="AI55" s="246">
        <f t="shared" si="23"/>
        <v>0</v>
      </c>
      <c r="AJ55" s="246">
        <f t="shared" si="23"/>
        <v>0</v>
      </c>
      <c r="AK55" s="246">
        <f t="shared" si="23"/>
        <v>0</v>
      </c>
      <c r="AL55" s="246">
        <f t="shared" si="23"/>
        <v>0</v>
      </c>
      <c r="AM55" s="246">
        <f t="shared" si="23"/>
        <v>0</v>
      </c>
      <c r="AN55" s="246">
        <f t="shared" si="23"/>
        <v>0</v>
      </c>
      <c r="AO55" s="246">
        <f t="shared" si="23"/>
        <v>0</v>
      </c>
      <c r="AP55" s="246">
        <f t="shared" si="23"/>
        <v>0</v>
      </c>
      <c r="AQ55" s="246">
        <f t="shared" si="23"/>
        <v>0</v>
      </c>
      <c r="AR55" s="246">
        <f t="shared" si="23"/>
        <v>0</v>
      </c>
      <c r="AS55" s="246">
        <f t="shared" si="23"/>
        <v>0</v>
      </c>
      <c r="AT55" s="246">
        <f t="shared" si="23"/>
        <v>0</v>
      </c>
      <c r="AU55" s="246">
        <f t="shared" si="23"/>
        <v>0</v>
      </c>
      <c r="AV55" s="246">
        <f t="shared" si="23"/>
        <v>0</v>
      </c>
      <c r="AW55" s="246">
        <f t="shared" si="23"/>
        <v>0</v>
      </c>
      <c r="AX55" s="246">
        <f t="shared" si="23"/>
        <v>0</v>
      </c>
      <c r="AY55" s="246">
        <f t="shared" si="23"/>
        <v>0</v>
      </c>
      <c r="AZ55" s="246">
        <f t="shared" si="23"/>
        <v>0</v>
      </c>
      <c r="BA55" s="246">
        <f t="shared" si="23"/>
        <v>0</v>
      </c>
      <c r="BB55" s="246">
        <f t="shared" si="23"/>
        <v>0</v>
      </c>
      <c r="BC55" s="246">
        <f t="shared" si="23"/>
        <v>0</v>
      </c>
      <c r="BD55" s="246">
        <f t="shared" si="23"/>
        <v>0</v>
      </c>
      <c r="BE55" s="246">
        <f t="shared" si="23"/>
        <v>0</v>
      </c>
      <c r="BF55" s="246">
        <f t="shared" si="23"/>
        <v>0</v>
      </c>
      <c r="BG55" s="246">
        <f t="shared" si="23"/>
        <v>0</v>
      </c>
      <c r="BH55" s="246">
        <f t="shared" si="23"/>
        <v>0</v>
      </c>
      <c r="BI55" s="246">
        <f t="shared" si="23"/>
        <v>0</v>
      </c>
      <c r="BJ55" s="246">
        <f t="shared" si="23"/>
        <v>0</v>
      </c>
      <c r="BK55" s="246">
        <f t="shared" si="23"/>
        <v>0</v>
      </c>
      <c r="BL55" s="246">
        <f t="shared" si="23"/>
        <v>0</v>
      </c>
      <c r="BM55" s="246">
        <f t="shared" si="23"/>
        <v>0</v>
      </c>
      <c r="BN55" s="246">
        <f t="shared" si="23"/>
        <v>0</v>
      </c>
      <c r="BO55" s="246">
        <f t="shared" si="23"/>
        <v>0</v>
      </c>
      <c r="BP55" s="246">
        <f t="shared" si="23"/>
        <v>0</v>
      </c>
      <c r="BQ55" s="246">
        <f t="shared" si="23"/>
        <v>0</v>
      </c>
      <c r="BR55" s="246">
        <f t="shared" si="23"/>
        <v>0</v>
      </c>
      <c r="BS55" s="246">
        <f t="shared" si="23"/>
        <v>0</v>
      </c>
      <c r="BT55" s="246">
        <f t="shared" si="23"/>
        <v>0</v>
      </c>
      <c r="BU55" s="246">
        <f t="shared" si="23"/>
        <v>0</v>
      </c>
      <c r="BV55" s="246">
        <f t="shared" si="23"/>
        <v>0</v>
      </c>
      <c r="BW55" s="246">
        <f t="shared" si="23"/>
        <v>0</v>
      </c>
      <c r="BX55" s="246">
        <f t="shared" si="23"/>
        <v>0</v>
      </c>
      <c r="BY55" s="248">
        <f>SUM(BY56:BY62)</f>
        <v>-3542995.9141666666</v>
      </c>
      <c r="BZ55" s="597"/>
      <c r="CA55" s="222"/>
      <c r="CB55" s="248"/>
      <c r="CC55" s="597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222"/>
      <c r="DJ55" s="222"/>
      <c r="DK55" s="222"/>
      <c r="DL55" s="222"/>
      <c r="DM55" s="222"/>
      <c r="DN55" s="222"/>
      <c r="DO55" s="222"/>
      <c r="DP55" s="222"/>
      <c r="DQ55" s="222"/>
      <c r="DR55" s="222"/>
      <c r="DS55" s="222"/>
      <c r="DT55" s="222"/>
      <c r="DU55" s="222"/>
      <c r="DV55" s="222"/>
      <c r="DW55" s="222"/>
      <c r="DX55" s="222"/>
      <c r="DY55" s="222"/>
      <c r="DZ55" s="222"/>
      <c r="EA55" s="222"/>
      <c r="EB55" s="222"/>
      <c r="EC55" s="222"/>
      <c r="ED55" s="222"/>
      <c r="EE55" s="222"/>
      <c r="EF55" s="222"/>
      <c r="EG55" s="222"/>
      <c r="EH55" s="222"/>
    </row>
    <row r="56" spans="1:138" ht="15.95" outlineLevel="1">
      <c r="A56" s="505"/>
      <c r="B56" s="600"/>
      <c r="C56" s="249" t="s">
        <v>249</v>
      </c>
      <c r="D56" s="275">
        <v>0</v>
      </c>
      <c r="E56" s="251"/>
      <c r="F56" s="251"/>
      <c r="G56" s="251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76">
        <f t="shared" ref="BY56:BY62" si="24">SUM(E56:BX56)</f>
        <v>0</v>
      </c>
      <c r="BZ56" s="597"/>
      <c r="CA56" s="222"/>
      <c r="CB56" s="248"/>
      <c r="CC56" s="597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</row>
    <row r="57" spans="1:138" ht="15.95" outlineLevel="1">
      <c r="A57" s="505"/>
      <c r="B57" s="600"/>
      <c r="C57" s="249" t="s">
        <v>250</v>
      </c>
      <c r="D57" s="275">
        <v>0.11</v>
      </c>
      <c r="E57" s="251"/>
      <c r="F57" s="251"/>
      <c r="G57" s="251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76">
        <f t="shared" si="24"/>
        <v>0</v>
      </c>
      <c r="BZ57" s="597"/>
      <c r="CA57" s="222"/>
      <c r="CB57" s="248"/>
      <c r="CC57" s="597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</row>
    <row r="58" spans="1:138" ht="15.95" outlineLevel="1">
      <c r="A58" s="505"/>
      <c r="B58" s="600"/>
      <c r="C58" s="249" t="s">
        <v>251</v>
      </c>
      <c r="D58" s="275">
        <v>0.11</v>
      </c>
      <c r="E58" s="251"/>
      <c r="F58" s="251"/>
      <c r="G58" s="251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76">
        <f t="shared" si="24"/>
        <v>0</v>
      </c>
      <c r="BZ58" s="597"/>
      <c r="CA58" s="222"/>
      <c r="CB58" s="248"/>
      <c r="CC58" s="597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</row>
    <row r="59" spans="1:138" ht="15.95" outlineLevel="1">
      <c r="A59" s="505"/>
      <c r="B59" s="600"/>
      <c r="C59" s="249" t="s">
        <v>252</v>
      </c>
      <c r="D59" s="275">
        <v>0.105</v>
      </c>
      <c r="E59" s="251"/>
      <c r="F59" s="251"/>
      <c r="G59" s="251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77">
        <f t="shared" si="24"/>
        <v>0</v>
      </c>
      <c r="BZ59" s="597"/>
      <c r="CA59" s="222"/>
      <c r="CB59" s="248"/>
      <c r="CC59" s="597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</row>
    <row r="60" spans="1:138" ht="15.95" outlineLevel="1">
      <c r="A60" s="505"/>
      <c r="B60" s="600"/>
      <c r="C60" s="249" t="s">
        <v>253</v>
      </c>
      <c r="D60" s="275">
        <v>0.15</v>
      </c>
      <c r="E60" s="251"/>
      <c r="F60" s="251"/>
      <c r="G60" s="251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78">
        <f t="shared" si="24"/>
        <v>0</v>
      </c>
      <c r="BZ60" s="597"/>
      <c r="CA60" s="222"/>
      <c r="CB60" s="248"/>
      <c r="CC60" s="597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</row>
    <row r="61" spans="1:138" ht="15.95" outlineLevel="1">
      <c r="A61" s="505"/>
      <c r="B61" s="600"/>
      <c r="C61" s="249" t="s">
        <v>328</v>
      </c>
      <c r="D61" s="279">
        <f>25%/12</f>
        <v>2.0833333333333332E-2</v>
      </c>
      <c r="E61" s="255"/>
      <c r="F61" s="255"/>
      <c r="G61" s="255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  <c r="BL61" s="251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78">
        <f t="shared" si="24"/>
        <v>0</v>
      </c>
      <c r="BZ61" s="597"/>
      <c r="CA61" s="222"/>
      <c r="CB61" s="248"/>
      <c r="CC61" s="597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</row>
    <row r="62" spans="1:138" ht="15.95" outlineLevel="1">
      <c r="A62" s="505"/>
      <c r="B62" s="600"/>
      <c r="C62" s="280" t="s">
        <v>255</v>
      </c>
      <c r="D62" s="281">
        <v>7.0000000000000007E-2</v>
      </c>
      <c r="E62" s="282"/>
      <c r="F62" s="282"/>
      <c r="G62" s="282"/>
      <c r="H62" s="283"/>
      <c r="I62" s="283"/>
      <c r="J62" s="283"/>
      <c r="K62" s="283"/>
      <c r="L62" s="283"/>
      <c r="M62" s="283">
        <f>-500-3013.89-17009.89-28420.74</f>
        <v>-48944.520000000004</v>
      </c>
      <c r="N62" s="361"/>
      <c r="O62" s="283">
        <v>-271833.33333333337</v>
      </c>
      <c r="P62" s="283">
        <v>-280000.00000000006</v>
      </c>
      <c r="Q62" s="283">
        <f t="shared" ref="Q62:AA62" si="25">-SUM($K$11:Q11)*$D$62/12</f>
        <v>-267474.3691666667</v>
      </c>
      <c r="R62" s="283">
        <f t="shared" si="25"/>
        <v>-267474.3691666667</v>
      </c>
      <c r="S62" s="283">
        <f t="shared" si="25"/>
        <v>-267474.3691666667</v>
      </c>
      <c r="T62" s="283">
        <f t="shared" si="25"/>
        <v>-267474.3691666667</v>
      </c>
      <c r="U62" s="283">
        <f t="shared" si="25"/>
        <v>-267474.3691666667</v>
      </c>
      <c r="V62" s="283">
        <f t="shared" si="25"/>
        <v>-267474.3691666667</v>
      </c>
      <c r="W62" s="283">
        <f t="shared" si="25"/>
        <v>-267474.3691666667</v>
      </c>
      <c r="X62" s="283">
        <f t="shared" si="25"/>
        <v>-267474.3691666667</v>
      </c>
      <c r="Y62" s="283">
        <f t="shared" si="25"/>
        <v>-267474.3691666667</v>
      </c>
      <c r="Z62" s="283">
        <f t="shared" si="25"/>
        <v>-267474.3691666667</v>
      </c>
      <c r="AA62" s="283">
        <f t="shared" si="25"/>
        <v>-267474.3691666667</v>
      </c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4"/>
      <c r="BN62" s="284"/>
      <c r="BO62" s="284"/>
      <c r="BP62" s="284"/>
      <c r="BQ62" s="284"/>
      <c r="BR62" s="284"/>
      <c r="BS62" s="284"/>
      <c r="BT62" s="284"/>
      <c r="BU62" s="284"/>
      <c r="BV62" s="284"/>
      <c r="BW62" s="284"/>
      <c r="BX62" s="284"/>
      <c r="BY62" s="285">
        <f t="shared" si="24"/>
        <v>-3542995.9141666666</v>
      </c>
      <c r="BZ62" s="597"/>
      <c r="CA62" s="222"/>
      <c r="CB62" s="248"/>
      <c r="CC62" s="597"/>
      <c r="CD62" s="222"/>
      <c r="CE62" s="222"/>
      <c r="CF62" s="222"/>
      <c r="CG62" s="222"/>
      <c r="CH62" s="222"/>
      <c r="CI62" s="222"/>
      <c r="CJ62" s="222"/>
      <c r="CK62" s="222"/>
      <c r="CL62" s="222"/>
      <c r="CM62" s="222"/>
      <c r="CN62" s="222"/>
      <c r="CO62" s="222"/>
      <c r="CP62" s="222"/>
      <c r="CQ62" s="222"/>
      <c r="CR62" s="222"/>
      <c r="CS62" s="222"/>
      <c r="CT62" s="222"/>
      <c r="CU62" s="222"/>
      <c r="CV62" s="222"/>
      <c r="CW62" s="222"/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222"/>
      <c r="DT62" s="222"/>
      <c r="DU62" s="222"/>
      <c r="DV62" s="222"/>
      <c r="DW62" s="222"/>
      <c r="DX62" s="222"/>
      <c r="DY62" s="222"/>
      <c r="DZ62" s="222"/>
      <c r="EA62" s="222"/>
      <c r="EB62" s="222"/>
      <c r="EC62" s="222"/>
      <c r="ED62" s="222"/>
      <c r="EE62" s="222"/>
      <c r="EF62" s="222"/>
      <c r="EG62" s="222"/>
      <c r="EH62" s="222"/>
    </row>
    <row r="63" spans="1:138" ht="15.95">
      <c r="A63" s="505"/>
      <c r="B63" s="600"/>
      <c r="C63" s="244" t="s">
        <v>256</v>
      </c>
      <c r="D63" s="245"/>
      <c r="E63" s="246">
        <f t="shared" ref="E63:BY63" si="26">SUM(E64:E86)</f>
        <v>0</v>
      </c>
      <c r="F63" s="246">
        <f t="shared" si="26"/>
        <v>0</v>
      </c>
      <c r="G63" s="246">
        <f t="shared" si="26"/>
        <v>0</v>
      </c>
      <c r="H63" s="246">
        <f t="shared" si="26"/>
        <v>0</v>
      </c>
      <c r="I63" s="246">
        <f t="shared" si="26"/>
        <v>0</v>
      </c>
      <c r="J63" s="246">
        <f t="shared" si="26"/>
        <v>0</v>
      </c>
      <c r="K63" s="246">
        <f t="shared" si="26"/>
        <v>0</v>
      </c>
      <c r="L63" s="246">
        <f t="shared" si="26"/>
        <v>0</v>
      </c>
      <c r="M63" s="246">
        <f t="shared" si="26"/>
        <v>0</v>
      </c>
      <c r="N63" s="246">
        <f t="shared" si="26"/>
        <v>0</v>
      </c>
      <c r="O63" s="246">
        <f t="shared" si="26"/>
        <v>0</v>
      </c>
      <c r="P63" s="246">
        <f t="shared" si="26"/>
        <v>0</v>
      </c>
      <c r="Q63" s="246">
        <f t="shared" si="26"/>
        <v>0</v>
      </c>
      <c r="R63" s="246">
        <f t="shared" si="26"/>
        <v>0</v>
      </c>
      <c r="S63" s="246">
        <f t="shared" si="26"/>
        <v>0</v>
      </c>
      <c r="T63" s="246">
        <f t="shared" si="26"/>
        <v>0</v>
      </c>
      <c r="U63" s="246">
        <f t="shared" si="26"/>
        <v>0</v>
      </c>
      <c r="V63" s="246">
        <f t="shared" si="26"/>
        <v>0</v>
      </c>
      <c r="W63" s="246">
        <f t="shared" si="26"/>
        <v>0</v>
      </c>
      <c r="X63" s="246">
        <f t="shared" si="26"/>
        <v>0</v>
      </c>
      <c r="Y63" s="246">
        <f t="shared" si="26"/>
        <v>0</v>
      </c>
      <c r="Z63" s="246">
        <f t="shared" si="26"/>
        <v>0</v>
      </c>
      <c r="AA63" s="246">
        <f t="shared" si="26"/>
        <v>-98230.703999999983</v>
      </c>
      <c r="AB63" s="246">
        <f t="shared" si="26"/>
        <v>0</v>
      </c>
      <c r="AC63" s="246">
        <f t="shared" si="26"/>
        <v>0</v>
      </c>
      <c r="AD63" s="246">
        <f t="shared" si="26"/>
        <v>0</v>
      </c>
      <c r="AE63" s="246">
        <f t="shared" si="26"/>
        <v>0</v>
      </c>
      <c r="AF63" s="246">
        <f t="shared" si="26"/>
        <v>0</v>
      </c>
      <c r="AG63" s="246">
        <f t="shared" si="26"/>
        <v>0</v>
      </c>
      <c r="AH63" s="246">
        <f t="shared" si="26"/>
        <v>0</v>
      </c>
      <c r="AI63" s="246">
        <f t="shared" si="26"/>
        <v>0</v>
      </c>
      <c r="AJ63" s="246">
        <f t="shared" si="26"/>
        <v>0</v>
      </c>
      <c r="AK63" s="246">
        <f t="shared" si="26"/>
        <v>0</v>
      </c>
      <c r="AL63" s="246">
        <f t="shared" si="26"/>
        <v>0</v>
      </c>
      <c r="AM63" s="246">
        <f t="shared" si="26"/>
        <v>0</v>
      </c>
      <c r="AN63" s="246">
        <f t="shared" si="26"/>
        <v>0</v>
      </c>
      <c r="AO63" s="246">
        <f t="shared" si="26"/>
        <v>0</v>
      </c>
      <c r="AP63" s="246">
        <f t="shared" si="26"/>
        <v>0</v>
      </c>
      <c r="AQ63" s="246">
        <f t="shared" si="26"/>
        <v>0</v>
      </c>
      <c r="AR63" s="246">
        <f t="shared" si="26"/>
        <v>0</v>
      </c>
      <c r="AS63" s="246">
        <f t="shared" si="26"/>
        <v>0</v>
      </c>
      <c r="AT63" s="246">
        <f t="shared" si="26"/>
        <v>0</v>
      </c>
      <c r="AU63" s="246">
        <f t="shared" si="26"/>
        <v>0</v>
      </c>
      <c r="AV63" s="246">
        <f t="shared" si="26"/>
        <v>0</v>
      </c>
      <c r="AW63" s="246">
        <f t="shared" si="26"/>
        <v>0</v>
      </c>
      <c r="AX63" s="246">
        <f t="shared" si="26"/>
        <v>0</v>
      </c>
      <c r="AY63" s="246">
        <f t="shared" si="26"/>
        <v>0</v>
      </c>
      <c r="AZ63" s="246">
        <f t="shared" si="26"/>
        <v>0</v>
      </c>
      <c r="BA63" s="246">
        <f t="shared" si="26"/>
        <v>0</v>
      </c>
      <c r="BB63" s="246">
        <f t="shared" si="26"/>
        <v>0</v>
      </c>
      <c r="BC63" s="246">
        <f t="shared" si="26"/>
        <v>0</v>
      </c>
      <c r="BD63" s="246">
        <f t="shared" si="26"/>
        <v>0</v>
      </c>
      <c r="BE63" s="246">
        <f t="shared" si="26"/>
        <v>0</v>
      </c>
      <c r="BF63" s="246">
        <f t="shared" si="26"/>
        <v>0</v>
      </c>
      <c r="BG63" s="246">
        <f t="shared" si="26"/>
        <v>0</v>
      </c>
      <c r="BH63" s="246">
        <f t="shared" si="26"/>
        <v>0</v>
      </c>
      <c r="BI63" s="246">
        <f t="shared" si="26"/>
        <v>0</v>
      </c>
      <c r="BJ63" s="246">
        <f t="shared" si="26"/>
        <v>0</v>
      </c>
      <c r="BK63" s="246">
        <f t="shared" si="26"/>
        <v>0</v>
      </c>
      <c r="BL63" s="246">
        <f t="shared" si="26"/>
        <v>0</v>
      </c>
      <c r="BM63" s="246">
        <f t="shared" si="26"/>
        <v>0</v>
      </c>
      <c r="BN63" s="246">
        <f t="shared" si="26"/>
        <v>0</v>
      </c>
      <c r="BO63" s="246">
        <f t="shared" si="26"/>
        <v>0</v>
      </c>
      <c r="BP63" s="246">
        <f t="shared" si="26"/>
        <v>0</v>
      </c>
      <c r="BQ63" s="246">
        <f t="shared" si="26"/>
        <v>0</v>
      </c>
      <c r="BR63" s="246">
        <f t="shared" si="26"/>
        <v>0</v>
      </c>
      <c r="BS63" s="246">
        <f t="shared" si="26"/>
        <v>0</v>
      </c>
      <c r="BT63" s="246">
        <f t="shared" si="26"/>
        <v>0</v>
      </c>
      <c r="BU63" s="246">
        <f t="shared" si="26"/>
        <v>0</v>
      </c>
      <c r="BV63" s="246">
        <f t="shared" si="26"/>
        <v>0</v>
      </c>
      <c r="BW63" s="246">
        <f t="shared" si="26"/>
        <v>0</v>
      </c>
      <c r="BX63" s="246">
        <f t="shared" si="26"/>
        <v>0</v>
      </c>
      <c r="BY63" s="247">
        <f t="shared" si="26"/>
        <v>-98230.703999999983</v>
      </c>
      <c r="BZ63" s="597"/>
      <c r="CA63" s="222"/>
      <c r="CB63" s="248"/>
      <c r="CC63" s="597"/>
      <c r="CD63" s="222"/>
      <c r="CE63" s="222">
        <v>-165083.33333333334</v>
      </c>
      <c r="CF63" s="222">
        <v>-215833.33333333337</v>
      </c>
      <c r="CG63" s="222">
        <v>-271833.33333333337</v>
      </c>
      <c r="CH63" s="222">
        <v>-280000.00000000006</v>
      </c>
      <c r="CI63" s="222">
        <v>-165083.33333333334</v>
      </c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2"/>
      <c r="DI63" s="222"/>
      <c r="DJ63" s="222"/>
      <c r="DK63" s="222"/>
      <c r="DL63" s="222"/>
      <c r="DM63" s="222"/>
      <c r="DN63" s="222"/>
      <c r="DO63" s="222"/>
      <c r="DP63" s="222"/>
      <c r="DQ63" s="222"/>
      <c r="DR63" s="222"/>
      <c r="DS63" s="222"/>
      <c r="DT63" s="222"/>
      <c r="DU63" s="222"/>
      <c r="DV63" s="222"/>
      <c r="DW63" s="222"/>
      <c r="DX63" s="222"/>
      <c r="DY63" s="222"/>
      <c r="DZ63" s="222"/>
      <c r="EA63" s="222"/>
      <c r="EB63" s="222"/>
      <c r="EC63" s="222"/>
      <c r="ED63" s="222"/>
      <c r="EE63" s="222"/>
      <c r="EF63" s="222"/>
      <c r="EG63" s="222"/>
      <c r="EH63" s="222"/>
    </row>
    <row r="64" spans="1:138" ht="15.95" outlineLevel="1">
      <c r="A64" s="505"/>
      <c r="B64" s="600"/>
      <c r="C64" s="286" t="s">
        <v>257</v>
      </c>
      <c r="D64" s="250" t="s">
        <v>223</v>
      </c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87">
        <f t="shared" ref="BY64:BY86" si="27">SUM(E64:BX64)</f>
        <v>0</v>
      </c>
      <c r="BZ64" s="597"/>
      <c r="CA64" s="222"/>
      <c r="CB64" s="248"/>
      <c r="CC64" s="597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</row>
    <row r="65" spans="1:138" ht="15.95" outlineLevel="1">
      <c r="A65" s="505"/>
      <c r="B65" s="600"/>
      <c r="C65" s="288" t="s">
        <v>258</v>
      </c>
      <c r="D65" s="250" t="s">
        <v>223</v>
      </c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87">
        <f t="shared" si="27"/>
        <v>0</v>
      </c>
      <c r="BZ65" s="597"/>
      <c r="CA65" s="222"/>
      <c r="CB65" s="248"/>
      <c r="CC65" s="597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2"/>
      <c r="DC65" s="222"/>
      <c r="DD65" s="222"/>
      <c r="DE65" s="222"/>
      <c r="DF65" s="222"/>
      <c r="DG65" s="222"/>
      <c r="DH65" s="222"/>
      <c r="DI65" s="222"/>
      <c r="DJ65" s="222"/>
      <c r="DK65" s="222"/>
      <c r="DL65" s="222"/>
      <c r="DM65" s="222"/>
      <c r="DN65" s="222"/>
      <c r="DO65" s="222"/>
      <c r="DP65" s="222"/>
      <c r="DQ65" s="222"/>
      <c r="DR65" s="222"/>
      <c r="DS65" s="222"/>
      <c r="DT65" s="222"/>
      <c r="DU65" s="222"/>
      <c r="DV65" s="222"/>
      <c r="DW65" s="222"/>
      <c r="DX65" s="222"/>
      <c r="DY65" s="222"/>
      <c r="DZ65" s="222"/>
      <c r="EA65" s="222"/>
      <c r="EB65" s="222"/>
      <c r="EC65" s="222"/>
      <c r="ED65" s="222"/>
      <c r="EE65" s="222"/>
      <c r="EF65" s="222"/>
      <c r="EG65" s="222"/>
      <c r="EH65" s="222"/>
    </row>
    <row r="66" spans="1:138" ht="15.95" outlineLevel="1">
      <c r="A66" s="505"/>
      <c r="B66" s="600"/>
      <c r="C66" s="288" t="s">
        <v>259</v>
      </c>
      <c r="D66" s="250" t="s">
        <v>223</v>
      </c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87">
        <f t="shared" si="27"/>
        <v>0</v>
      </c>
      <c r="BZ66" s="597"/>
      <c r="CA66" s="222"/>
      <c r="CB66" s="248"/>
      <c r="CC66" s="597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</row>
    <row r="67" spans="1:138" ht="15.95" outlineLevel="1">
      <c r="A67" s="505"/>
      <c r="B67" s="600"/>
      <c r="C67" s="288" t="s">
        <v>260</v>
      </c>
      <c r="D67" s="250" t="s">
        <v>223</v>
      </c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87">
        <f t="shared" si="27"/>
        <v>0</v>
      </c>
      <c r="BZ67" s="597"/>
      <c r="CA67" s="222"/>
      <c r="CB67" s="248"/>
      <c r="CC67" s="597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</row>
    <row r="68" spans="1:138" ht="15.95" outlineLevel="1">
      <c r="A68" s="505"/>
      <c r="B68" s="600"/>
      <c r="C68" s="288" t="s">
        <v>261</v>
      </c>
      <c r="D68" s="250" t="s">
        <v>223</v>
      </c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87">
        <f t="shared" si="27"/>
        <v>0</v>
      </c>
      <c r="BZ68" s="597"/>
      <c r="CA68" s="222"/>
      <c r="CB68" s="248"/>
      <c r="CC68" s="597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</row>
    <row r="69" spans="1:138" ht="15.95" outlineLevel="1">
      <c r="A69" s="505"/>
      <c r="B69" s="600"/>
      <c r="C69" s="288" t="s">
        <v>262</v>
      </c>
      <c r="D69" s="250" t="s">
        <v>223</v>
      </c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87">
        <f t="shared" si="27"/>
        <v>0</v>
      </c>
      <c r="BZ69" s="597"/>
      <c r="CA69" s="222"/>
      <c r="CB69" s="248"/>
      <c r="CC69" s="597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</row>
    <row r="70" spans="1:138" ht="15.95" outlineLevel="1">
      <c r="A70" s="505"/>
      <c r="B70" s="600"/>
      <c r="C70" s="288" t="s">
        <v>263</v>
      </c>
      <c r="D70" s="250" t="s">
        <v>223</v>
      </c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87">
        <f t="shared" si="27"/>
        <v>0</v>
      </c>
      <c r="BZ70" s="597"/>
      <c r="CA70" s="222"/>
      <c r="CB70" s="248"/>
      <c r="CC70" s="597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2"/>
      <c r="DI70" s="222"/>
      <c r="DJ70" s="222"/>
      <c r="DK70" s="222"/>
      <c r="DL70" s="222"/>
      <c r="DM70" s="222"/>
      <c r="DN70" s="222"/>
      <c r="DO70" s="222"/>
      <c r="DP70" s="222"/>
      <c r="DQ70" s="222"/>
      <c r="DR70" s="222"/>
      <c r="DS70" s="222"/>
      <c r="DT70" s="222"/>
      <c r="DU70" s="222"/>
      <c r="DV70" s="222"/>
      <c r="DW70" s="222"/>
      <c r="DX70" s="222"/>
      <c r="DY70" s="222"/>
      <c r="DZ70" s="222"/>
      <c r="EA70" s="222"/>
      <c r="EB70" s="222"/>
      <c r="EC70" s="222"/>
      <c r="ED70" s="222"/>
      <c r="EE70" s="222"/>
      <c r="EF70" s="222"/>
      <c r="EG70" s="222"/>
      <c r="EH70" s="222"/>
    </row>
    <row r="71" spans="1:138" ht="15.95" outlineLevel="1">
      <c r="A71" s="505"/>
      <c r="B71" s="600"/>
      <c r="C71" s="288" t="s">
        <v>264</v>
      </c>
      <c r="D71" s="250" t="s">
        <v>223</v>
      </c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87">
        <f t="shared" si="27"/>
        <v>0</v>
      </c>
      <c r="BZ71" s="597"/>
      <c r="CA71" s="222"/>
      <c r="CB71" s="248"/>
      <c r="CC71" s="597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D71" s="222"/>
      <c r="EE71" s="222"/>
      <c r="EF71" s="222"/>
      <c r="EG71" s="222"/>
      <c r="EH71" s="222"/>
    </row>
    <row r="72" spans="1:138" ht="15.95" outlineLevel="1">
      <c r="A72" s="505"/>
      <c r="B72" s="600"/>
      <c r="C72" s="288" t="s">
        <v>265</v>
      </c>
      <c r="D72" s="250" t="s">
        <v>223</v>
      </c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87">
        <f t="shared" si="27"/>
        <v>0</v>
      </c>
      <c r="BZ72" s="597"/>
      <c r="CA72" s="222"/>
      <c r="CB72" s="248"/>
      <c r="CC72" s="597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2"/>
      <c r="DI72" s="222"/>
      <c r="DJ72" s="222"/>
      <c r="DK72" s="222"/>
      <c r="DL72" s="222"/>
      <c r="DM72" s="222"/>
      <c r="DN72" s="222"/>
      <c r="DO72" s="222"/>
      <c r="DP72" s="222"/>
      <c r="DQ72" s="222"/>
      <c r="DR72" s="222"/>
      <c r="DS72" s="222"/>
      <c r="DT72" s="222"/>
      <c r="DU72" s="222"/>
      <c r="DV72" s="222"/>
      <c r="DW72" s="222"/>
      <c r="DX72" s="222"/>
      <c r="DY72" s="222"/>
      <c r="DZ72" s="222"/>
      <c r="EA72" s="222"/>
      <c r="EB72" s="222"/>
      <c r="EC72" s="222"/>
      <c r="ED72" s="222"/>
      <c r="EE72" s="222"/>
      <c r="EF72" s="222"/>
      <c r="EG72" s="222"/>
      <c r="EH72" s="222"/>
    </row>
    <row r="73" spans="1:138" ht="15.95" outlineLevel="1">
      <c r="A73" s="505"/>
      <c r="B73" s="600"/>
      <c r="C73" s="288" t="s">
        <v>266</v>
      </c>
      <c r="D73" s="250" t="s">
        <v>223</v>
      </c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87">
        <f t="shared" si="27"/>
        <v>0</v>
      </c>
      <c r="BZ73" s="597"/>
      <c r="CA73" s="222"/>
      <c r="CB73" s="248"/>
      <c r="CC73" s="597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  <c r="DI73" s="222"/>
      <c r="DJ73" s="222"/>
      <c r="DK73" s="222"/>
      <c r="DL73" s="222"/>
      <c r="DM73" s="222"/>
      <c r="DN73" s="222"/>
      <c r="DO73" s="222"/>
      <c r="DP73" s="222"/>
      <c r="DQ73" s="222"/>
      <c r="DR73" s="222"/>
      <c r="DS73" s="222"/>
      <c r="DT73" s="222"/>
      <c r="DU73" s="222"/>
      <c r="DV73" s="222"/>
      <c r="DW73" s="222"/>
      <c r="DX73" s="222"/>
      <c r="DY73" s="222"/>
      <c r="DZ73" s="222"/>
      <c r="EA73" s="222"/>
      <c r="EB73" s="222"/>
      <c r="EC73" s="222"/>
      <c r="ED73" s="222"/>
      <c r="EE73" s="222"/>
      <c r="EF73" s="222"/>
      <c r="EG73" s="222"/>
      <c r="EH73" s="222"/>
    </row>
    <row r="74" spans="1:138" ht="15.95" outlineLevel="1">
      <c r="A74" s="505"/>
      <c r="B74" s="600"/>
      <c r="C74" s="288" t="s">
        <v>267</v>
      </c>
      <c r="D74" s="250" t="s">
        <v>223</v>
      </c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87">
        <f t="shared" si="27"/>
        <v>0</v>
      </c>
      <c r="BZ74" s="597"/>
      <c r="CA74" s="222"/>
      <c r="CB74" s="248"/>
      <c r="CC74" s="597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2"/>
      <c r="DI74" s="222"/>
      <c r="DJ74" s="222"/>
      <c r="DK74" s="222"/>
      <c r="DL74" s="222"/>
      <c r="DM74" s="222"/>
      <c r="DN74" s="222"/>
      <c r="DO74" s="222"/>
      <c r="DP74" s="222"/>
      <c r="DQ74" s="222"/>
      <c r="DR74" s="222"/>
      <c r="DS74" s="222"/>
      <c r="DT74" s="222"/>
      <c r="DU74" s="222"/>
      <c r="DV74" s="222"/>
      <c r="DW74" s="222"/>
      <c r="DX74" s="222"/>
      <c r="DY74" s="222"/>
      <c r="DZ74" s="222"/>
      <c r="EA74" s="222"/>
      <c r="EB74" s="222"/>
      <c r="EC74" s="222"/>
      <c r="ED74" s="222"/>
      <c r="EE74" s="222"/>
      <c r="EF74" s="222"/>
      <c r="EG74" s="222"/>
      <c r="EH74" s="222"/>
    </row>
    <row r="75" spans="1:138" ht="15.95" outlineLevel="1">
      <c r="A75" s="505"/>
      <c r="B75" s="600"/>
      <c r="C75" s="288" t="s">
        <v>268</v>
      </c>
      <c r="D75" s="250" t="s">
        <v>223</v>
      </c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87">
        <f t="shared" si="27"/>
        <v>0</v>
      </c>
      <c r="BZ75" s="597"/>
      <c r="CA75" s="222"/>
      <c r="CB75" s="248"/>
      <c r="CC75" s="597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</row>
    <row r="76" spans="1:138" ht="15.95" outlineLevel="1">
      <c r="A76" s="505"/>
      <c r="B76" s="600"/>
      <c r="C76" s="288" t="s">
        <v>269</v>
      </c>
      <c r="D76" s="250" t="s">
        <v>223</v>
      </c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87">
        <f t="shared" si="27"/>
        <v>0</v>
      </c>
      <c r="BZ76" s="597"/>
      <c r="CA76" s="222"/>
      <c r="CB76" s="248"/>
      <c r="CC76" s="597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</row>
    <row r="77" spans="1:138" ht="15.95" outlineLevel="1">
      <c r="A77" s="505"/>
      <c r="B77" s="600"/>
      <c r="C77" s="288" t="s">
        <v>270</v>
      </c>
      <c r="D77" s="250" t="s">
        <v>223</v>
      </c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87">
        <f t="shared" si="27"/>
        <v>0</v>
      </c>
      <c r="BZ77" s="597"/>
      <c r="CA77" s="222"/>
      <c r="CB77" s="248"/>
      <c r="CC77" s="597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</row>
    <row r="78" spans="1:138" ht="15.95" outlineLevel="1">
      <c r="A78" s="505"/>
      <c r="B78" s="600"/>
      <c r="C78" s="288" t="s">
        <v>271</v>
      </c>
      <c r="D78" s="250" t="s">
        <v>223</v>
      </c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87">
        <f t="shared" si="27"/>
        <v>0</v>
      </c>
      <c r="BZ78" s="597"/>
      <c r="CA78" s="222"/>
      <c r="CB78" s="248"/>
      <c r="CC78" s="597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</row>
    <row r="79" spans="1:138" ht="15.95" outlineLevel="1">
      <c r="A79" s="505"/>
      <c r="B79" s="600"/>
      <c r="C79" s="288" t="s">
        <v>272</v>
      </c>
      <c r="D79" s="250" t="s">
        <v>223</v>
      </c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87">
        <f t="shared" si="27"/>
        <v>0</v>
      </c>
      <c r="BZ79" s="597"/>
      <c r="CA79" s="222"/>
      <c r="CB79" s="248"/>
      <c r="CC79" s="597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</row>
    <row r="80" spans="1:138" ht="15.95" outlineLevel="1">
      <c r="A80" s="505"/>
      <c r="B80" s="600"/>
      <c r="C80" s="288" t="s">
        <v>273</v>
      </c>
      <c r="D80" s="250" t="s">
        <v>223</v>
      </c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87">
        <f t="shared" si="27"/>
        <v>0</v>
      </c>
      <c r="BZ80" s="597"/>
      <c r="CA80" s="222"/>
      <c r="CB80" s="248"/>
      <c r="CC80" s="597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</row>
    <row r="81" spans="1:138" ht="15.95" outlineLevel="1">
      <c r="A81" s="505"/>
      <c r="B81" s="600"/>
      <c r="C81" s="288" t="s">
        <v>274</v>
      </c>
      <c r="D81" s="250" t="s">
        <v>223</v>
      </c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87">
        <f t="shared" si="27"/>
        <v>0</v>
      </c>
      <c r="BZ81" s="597"/>
      <c r="CA81" s="222"/>
      <c r="CB81" s="248"/>
      <c r="CC81" s="597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</row>
    <row r="82" spans="1:138" ht="15.95" outlineLevel="1">
      <c r="A82" s="505"/>
      <c r="B82" s="600"/>
      <c r="C82" s="289" t="s">
        <v>178</v>
      </c>
      <c r="D82" s="250" t="s">
        <v>223</v>
      </c>
      <c r="E82" s="252"/>
      <c r="F82" s="251"/>
      <c r="G82" s="251"/>
      <c r="H82" s="252"/>
      <c r="I82" s="252"/>
      <c r="J82" s="252"/>
      <c r="K82" s="252"/>
      <c r="L82" s="252"/>
      <c r="M82" s="252"/>
      <c r="N82" s="252"/>
      <c r="O82" s="252"/>
      <c r="P82" s="252"/>
      <c r="Q82" s="252">
        <f>-Businessplan_prodej!$N$19/12*1.21*Businessplan_prodej!$J$27</f>
        <v>0</v>
      </c>
      <c r="R82" s="252">
        <f>-Businessplan_prodej!$N$19/12*1.21*Businessplan_prodej!$J$27</f>
        <v>0</v>
      </c>
      <c r="S82" s="252">
        <f>-Businessplan_prodej!$N$19/12*1.21*Businessplan_prodej!$J$27</f>
        <v>0</v>
      </c>
      <c r="T82" s="252">
        <f>-Businessplan_prodej!$N$19/12*1.21*Businessplan_prodej!$J$27</f>
        <v>0</v>
      </c>
      <c r="U82" s="252">
        <f>-Businessplan_prodej!$N$19/12*1.21*Businessplan_prodej!$J$27</f>
        <v>0</v>
      </c>
      <c r="V82" s="252">
        <f>-Businessplan_prodej!$N$19/12*1.21*Businessplan_prodej!$J$27</f>
        <v>0</v>
      </c>
      <c r="W82" s="252">
        <f>-Businessplan_prodej!$N$19/12*1.21*Businessplan_prodej!$J$27</f>
        <v>0</v>
      </c>
      <c r="X82" s="252">
        <f>-Businessplan_prodej!$N$19/12*1.21*Businessplan_prodej!$J$27</f>
        <v>0</v>
      </c>
      <c r="Y82" s="252">
        <f>-Businessplan_prodej!$N$19/12*1.21*Businessplan_prodej!$J$27</f>
        <v>0</v>
      </c>
      <c r="Z82" s="252">
        <f>-Businessplan_prodej!$N$19/12*1.21*Businessplan_prodej!$J$27</f>
        <v>0</v>
      </c>
      <c r="AA82" s="252">
        <f>-Businessplan_prodej!$N$19/12*1.21</f>
        <v>-98230.703999999983</v>
      </c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87">
        <f t="shared" si="27"/>
        <v>-98230.703999999983</v>
      </c>
      <c r="BZ82" s="597"/>
      <c r="CA82" s="222"/>
      <c r="CB82" s="248"/>
      <c r="CC82" s="597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</row>
    <row r="83" spans="1:138" ht="15.95" outlineLevel="1">
      <c r="A83" s="505"/>
      <c r="B83" s="600"/>
      <c r="C83" s="288" t="s">
        <v>179</v>
      </c>
      <c r="D83" s="250" t="s">
        <v>223</v>
      </c>
      <c r="E83" s="252"/>
      <c r="F83" s="251"/>
      <c r="G83" s="251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87">
        <f t="shared" si="27"/>
        <v>0</v>
      </c>
      <c r="BZ83" s="597"/>
      <c r="CA83" s="222"/>
      <c r="CB83" s="248"/>
      <c r="CC83" s="597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</row>
    <row r="84" spans="1:138" ht="15.95" outlineLevel="1">
      <c r="A84" s="505"/>
      <c r="B84" s="600"/>
      <c r="C84" s="288" t="s">
        <v>189</v>
      </c>
      <c r="D84" s="250" t="s">
        <v>223</v>
      </c>
      <c r="E84" s="252"/>
      <c r="F84" s="251"/>
      <c r="G84" s="251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87">
        <f t="shared" si="27"/>
        <v>0</v>
      </c>
      <c r="BZ84" s="597"/>
      <c r="CA84" s="222"/>
      <c r="CB84" s="248"/>
      <c r="CC84" s="597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</row>
    <row r="85" spans="1:138" ht="15.95" outlineLevel="1">
      <c r="A85" s="505"/>
      <c r="B85" s="600"/>
      <c r="C85" s="288" t="s">
        <v>190</v>
      </c>
      <c r="D85" s="250" t="s">
        <v>223</v>
      </c>
      <c r="E85" s="252"/>
      <c r="F85" s="251"/>
      <c r="G85" s="251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87">
        <f t="shared" si="27"/>
        <v>0</v>
      </c>
      <c r="BZ85" s="597"/>
      <c r="CA85" s="222"/>
      <c r="CB85" s="248"/>
      <c r="CC85" s="597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</row>
    <row r="86" spans="1:138" ht="15.95" outlineLevel="1">
      <c r="A86" s="505"/>
      <c r="B86" s="600"/>
      <c r="C86" s="290" t="s">
        <v>275</v>
      </c>
      <c r="D86" s="254" t="s">
        <v>223</v>
      </c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87">
        <f t="shared" si="27"/>
        <v>0</v>
      </c>
      <c r="BZ86" s="597"/>
      <c r="CA86" s="222"/>
      <c r="CB86" s="248"/>
      <c r="CC86" s="597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</row>
    <row r="87" spans="1:138" ht="15.95">
      <c r="A87" s="505"/>
      <c r="B87" s="600"/>
      <c r="C87" s="244" t="s">
        <v>276</v>
      </c>
      <c r="D87" s="245"/>
      <c r="E87" s="246">
        <f t="shared" ref="E87:BY87" si="28">SUM(E88:E89)</f>
        <v>0</v>
      </c>
      <c r="F87" s="246">
        <f t="shared" si="28"/>
        <v>0</v>
      </c>
      <c r="G87" s="246">
        <f t="shared" si="28"/>
        <v>0</v>
      </c>
      <c r="H87" s="246">
        <f t="shared" si="28"/>
        <v>0</v>
      </c>
      <c r="I87" s="246">
        <f t="shared" si="28"/>
        <v>0</v>
      </c>
      <c r="J87" s="246">
        <f t="shared" si="28"/>
        <v>0</v>
      </c>
      <c r="K87" s="246">
        <f t="shared" si="28"/>
        <v>0</v>
      </c>
      <c r="L87" s="246">
        <f t="shared" si="28"/>
        <v>0</v>
      </c>
      <c r="M87" s="246">
        <f t="shared" si="28"/>
        <v>0</v>
      </c>
      <c r="N87" s="246">
        <f t="shared" si="28"/>
        <v>0</v>
      </c>
      <c r="O87" s="246">
        <f t="shared" si="28"/>
        <v>0</v>
      </c>
      <c r="P87" s="246">
        <f t="shared" si="28"/>
        <v>0</v>
      </c>
      <c r="Q87" s="246">
        <f t="shared" si="28"/>
        <v>0</v>
      </c>
      <c r="R87" s="246">
        <f t="shared" si="28"/>
        <v>0</v>
      </c>
      <c r="S87" s="246">
        <f t="shared" si="28"/>
        <v>0</v>
      </c>
      <c r="T87" s="246">
        <f t="shared" si="28"/>
        <v>0</v>
      </c>
      <c r="U87" s="246">
        <f t="shared" si="28"/>
        <v>0</v>
      </c>
      <c r="V87" s="246">
        <f t="shared" si="28"/>
        <v>0</v>
      </c>
      <c r="W87" s="246">
        <f t="shared" si="28"/>
        <v>0</v>
      </c>
      <c r="X87" s="246">
        <f t="shared" si="28"/>
        <v>0</v>
      </c>
      <c r="Y87" s="246">
        <f t="shared" si="28"/>
        <v>0</v>
      </c>
      <c r="Z87" s="246">
        <f t="shared" si="28"/>
        <v>0</v>
      </c>
      <c r="AA87" s="246">
        <f t="shared" si="28"/>
        <v>0</v>
      </c>
      <c r="AB87" s="246">
        <f t="shared" si="28"/>
        <v>0</v>
      </c>
      <c r="AC87" s="246">
        <f t="shared" si="28"/>
        <v>0</v>
      </c>
      <c r="AD87" s="246">
        <f t="shared" si="28"/>
        <v>0</v>
      </c>
      <c r="AE87" s="246">
        <f t="shared" si="28"/>
        <v>0</v>
      </c>
      <c r="AF87" s="246">
        <f t="shared" si="28"/>
        <v>0</v>
      </c>
      <c r="AG87" s="246">
        <f t="shared" si="28"/>
        <v>0</v>
      </c>
      <c r="AH87" s="246">
        <f t="shared" si="28"/>
        <v>0</v>
      </c>
      <c r="AI87" s="246">
        <f t="shared" si="28"/>
        <v>0</v>
      </c>
      <c r="AJ87" s="246">
        <f t="shared" si="28"/>
        <v>0</v>
      </c>
      <c r="AK87" s="246">
        <f t="shared" si="28"/>
        <v>0</v>
      </c>
      <c r="AL87" s="246">
        <f t="shared" si="28"/>
        <v>0</v>
      </c>
      <c r="AM87" s="246">
        <f t="shared" si="28"/>
        <v>0</v>
      </c>
      <c r="AN87" s="246">
        <f t="shared" si="28"/>
        <v>0</v>
      </c>
      <c r="AO87" s="246">
        <f t="shared" si="28"/>
        <v>0</v>
      </c>
      <c r="AP87" s="246">
        <f t="shared" si="28"/>
        <v>0</v>
      </c>
      <c r="AQ87" s="246">
        <f t="shared" si="28"/>
        <v>0</v>
      </c>
      <c r="AR87" s="246">
        <f t="shared" si="28"/>
        <v>0</v>
      </c>
      <c r="AS87" s="246">
        <f t="shared" si="28"/>
        <v>0</v>
      </c>
      <c r="AT87" s="246">
        <f t="shared" si="28"/>
        <v>0</v>
      </c>
      <c r="AU87" s="246">
        <f t="shared" si="28"/>
        <v>0</v>
      </c>
      <c r="AV87" s="246">
        <f t="shared" si="28"/>
        <v>0</v>
      </c>
      <c r="AW87" s="246">
        <f t="shared" si="28"/>
        <v>0</v>
      </c>
      <c r="AX87" s="246">
        <f t="shared" si="28"/>
        <v>0</v>
      </c>
      <c r="AY87" s="246">
        <f t="shared" si="28"/>
        <v>0</v>
      </c>
      <c r="AZ87" s="246">
        <f t="shared" si="28"/>
        <v>0</v>
      </c>
      <c r="BA87" s="246">
        <f t="shared" si="28"/>
        <v>0</v>
      </c>
      <c r="BB87" s="246">
        <f t="shared" si="28"/>
        <v>0</v>
      </c>
      <c r="BC87" s="246">
        <f t="shared" si="28"/>
        <v>0</v>
      </c>
      <c r="BD87" s="246">
        <f t="shared" si="28"/>
        <v>0</v>
      </c>
      <c r="BE87" s="246">
        <f t="shared" si="28"/>
        <v>0</v>
      </c>
      <c r="BF87" s="246">
        <f t="shared" si="28"/>
        <v>0</v>
      </c>
      <c r="BG87" s="246">
        <f t="shared" si="28"/>
        <v>0</v>
      </c>
      <c r="BH87" s="246">
        <f t="shared" si="28"/>
        <v>0</v>
      </c>
      <c r="BI87" s="246">
        <f t="shared" si="28"/>
        <v>0</v>
      </c>
      <c r="BJ87" s="246">
        <f t="shared" si="28"/>
        <v>0</v>
      </c>
      <c r="BK87" s="246">
        <f t="shared" si="28"/>
        <v>0</v>
      </c>
      <c r="BL87" s="246">
        <f t="shared" si="28"/>
        <v>0</v>
      </c>
      <c r="BM87" s="246">
        <f t="shared" si="28"/>
        <v>0</v>
      </c>
      <c r="BN87" s="246">
        <f t="shared" si="28"/>
        <v>0</v>
      </c>
      <c r="BO87" s="246">
        <f t="shared" si="28"/>
        <v>0</v>
      </c>
      <c r="BP87" s="246">
        <f t="shared" si="28"/>
        <v>0</v>
      </c>
      <c r="BQ87" s="246">
        <f t="shared" si="28"/>
        <v>0</v>
      </c>
      <c r="BR87" s="246">
        <f t="shared" si="28"/>
        <v>0</v>
      </c>
      <c r="BS87" s="246">
        <f t="shared" si="28"/>
        <v>0</v>
      </c>
      <c r="BT87" s="246">
        <f t="shared" si="28"/>
        <v>0</v>
      </c>
      <c r="BU87" s="246">
        <f t="shared" si="28"/>
        <v>0</v>
      </c>
      <c r="BV87" s="246">
        <f t="shared" si="28"/>
        <v>0</v>
      </c>
      <c r="BW87" s="246">
        <f t="shared" si="28"/>
        <v>0</v>
      </c>
      <c r="BX87" s="246">
        <f t="shared" si="28"/>
        <v>0</v>
      </c>
      <c r="BY87" s="247">
        <f t="shared" si="28"/>
        <v>0</v>
      </c>
      <c r="BZ87" s="597"/>
      <c r="CA87" s="222"/>
      <c r="CB87" s="248"/>
      <c r="CC87" s="597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</row>
    <row r="88" spans="1:138" ht="15.95" outlineLevel="1">
      <c r="A88" s="505"/>
      <c r="B88" s="600"/>
      <c r="C88" s="286" t="s">
        <v>277</v>
      </c>
      <c r="D88" s="250" t="s">
        <v>223</v>
      </c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  <c r="AR88" s="256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92">
        <f t="shared" ref="BY88:BY89" si="29">SUM(E88:BX88)</f>
        <v>0</v>
      </c>
      <c r="BZ88" s="597"/>
      <c r="CA88" s="222"/>
      <c r="CB88" s="248"/>
      <c r="CC88" s="597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</row>
    <row r="89" spans="1:138" ht="15.95" outlineLevel="1">
      <c r="A89" s="505"/>
      <c r="B89" s="600"/>
      <c r="C89" s="290" t="s">
        <v>278</v>
      </c>
      <c r="D89" s="254" t="s">
        <v>223</v>
      </c>
      <c r="E89" s="283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  <c r="BS89" s="284"/>
      <c r="BT89" s="284"/>
      <c r="BU89" s="284"/>
      <c r="BV89" s="284"/>
      <c r="BW89" s="284"/>
      <c r="BX89" s="284"/>
      <c r="BY89" s="293">
        <f t="shared" si="29"/>
        <v>0</v>
      </c>
      <c r="BZ89" s="592"/>
      <c r="CA89" s="222"/>
      <c r="CB89" s="248"/>
      <c r="CC89" s="59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</row>
    <row r="90" spans="1:138">
      <c r="A90" s="505"/>
      <c r="B90" s="600"/>
      <c r="C90" s="244" t="s">
        <v>279</v>
      </c>
      <c r="D90" s="245"/>
      <c r="E90" s="246">
        <f t="shared" ref="E90:BX90" si="30">SUM(E91:E97)</f>
        <v>0</v>
      </c>
      <c r="F90" s="246">
        <f t="shared" si="30"/>
        <v>0</v>
      </c>
      <c r="G90" s="246">
        <f t="shared" si="30"/>
        <v>0</v>
      </c>
      <c r="H90" s="246">
        <f t="shared" si="30"/>
        <v>0</v>
      </c>
      <c r="I90" s="246">
        <f t="shared" si="30"/>
        <v>0</v>
      </c>
      <c r="J90" s="246">
        <f t="shared" si="30"/>
        <v>0</v>
      </c>
      <c r="K90" s="246">
        <f t="shared" si="30"/>
        <v>0</v>
      </c>
      <c r="L90" s="246">
        <f t="shared" si="30"/>
        <v>0</v>
      </c>
      <c r="M90" s="246">
        <f t="shared" si="30"/>
        <v>0</v>
      </c>
      <c r="N90" s="246">
        <f t="shared" si="30"/>
        <v>0</v>
      </c>
      <c r="O90" s="246">
        <f t="shared" si="30"/>
        <v>0</v>
      </c>
      <c r="P90" s="246">
        <f t="shared" si="30"/>
        <v>0</v>
      </c>
      <c r="Q90" s="246">
        <f t="shared" si="30"/>
        <v>-56603.322144095961</v>
      </c>
      <c r="R90" s="246">
        <f t="shared" si="30"/>
        <v>-56603.322144095961</v>
      </c>
      <c r="S90" s="246">
        <f t="shared" si="30"/>
        <v>-56603.322144095961</v>
      </c>
      <c r="T90" s="246">
        <f t="shared" si="30"/>
        <v>-56603.322144095961</v>
      </c>
      <c r="U90" s="246">
        <f t="shared" si="30"/>
        <v>-56603.322144095961</v>
      </c>
      <c r="V90" s="246">
        <f t="shared" si="30"/>
        <v>-56603.322144095961</v>
      </c>
      <c r="W90" s="246">
        <f t="shared" si="30"/>
        <v>-56603.322144095961</v>
      </c>
      <c r="X90" s="246">
        <f t="shared" si="30"/>
        <v>-56603.322144095961</v>
      </c>
      <c r="Y90" s="246">
        <f t="shared" si="30"/>
        <v>-56603.322144095961</v>
      </c>
      <c r="Z90" s="246">
        <f t="shared" si="30"/>
        <v>-56603.322144095961</v>
      </c>
      <c r="AA90" s="246">
        <f t="shared" si="30"/>
        <v>-69536717.778559044</v>
      </c>
      <c r="AB90" s="246">
        <f t="shared" si="30"/>
        <v>0</v>
      </c>
      <c r="AC90" s="246">
        <f t="shared" si="30"/>
        <v>0</v>
      </c>
      <c r="AD90" s="246">
        <f t="shared" si="30"/>
        <v>0</v>
      </c>
      <c r="AE90" s="246">
        <f t="shared" si="30"/>
        <v>0</v>
      </c>
      <c r="AF90" s="246">
        <f t="shared" si="30"/>
        <v>0</v>
      </c>
      <c r="AG90" s="246">
        <f t="shared" si="30"/>
        <v>0</v>
      </c>
      <c r="AH90" s="246">
        <f t="shared" si="30"/>
        <v>0</v>
      </c>
      <c r="AI90" s="246">
        <f t="shared" si="30"/>
        <v>0</v>
      </c>
      <c r="AJ90" s="246">
        <f t="shared" si="30"/>
        <v>0</v>
      </c>
      <c r="AK90" s="246">
        <f t="shared" si="30"/>
        <v>0</v>
      </c>
      <c r="AL90" s="246">
        <f t="shared" si="30"/>
        <v>0</v>
      </c>
      <c r="AM90" s="246">
        <f t="shared" si="30"/>
        <v>0</v>
      </c>
      <c r="AN90" s="246">
        <f t="shared" si="30"/>
        <v>0</v>
      </c>
      <c r="AO90" s="246">
        <f t="shared" si="30"/>
        <v>0</v>
      </c>
      <c r="AP90" s="246">
        <f t="shared" si="30"/>
        <v>0</v>
      </c>
      <c r="AQ90" s="246">
        <f t="shared" si="30"/>
        <v>0</v>
      </c>
      <c r="AR90" s="246">
        <f t="shared" si="30"/>
        <v>0</v>
      </c>
      <c r="AS90" s="246">
        <f t="shared" si="30"/>
        <v>0</v>
      </c>
      <c r="AT90" s="246">
        <f t="shared" si="30"/>
        <v>0</v>
      </c>
      <c r="AU90" s="246">
        <f t="shared" si="30"/>
        <v>0</v>
      </c>
      <c r="AV90" s="246">
        <f t="shared" si="30"/>
        <v>0</v>
      </c>
      <c r="AW90" s="246">
        <f t="shared" si="30"/>
        <v>0</v>
      </c>
      <c r="AX90" s="246">
        <f t="shared" si="30"/>
        <v>0</v>
      </c>
      <c r="AY90" s="246">
        <f t="shared" si="30"/>
        <v>0</v>
      </c>
      <c r="AZ90" s="246">
        <f t="shared" si="30"/>
        <v>0</v>
      </c>
      <c r="BA90" s="246">
        <f t="shared" si="30"/>
        <v>0</v>
      </c>
      <c r="BB90" s="246">
        <f t="shared" si="30"/>
        <v>0</v>
      </c>
      <c r="BC90" s="246">
        <f t="shared" si="30"/>
        <v>0</v>
      </c>
      <c r="BD90" s="246">
        <f t="shared" si="30"/>
        <v>0</v>
      </c>
      <c r="BE90" s="246">
        <f t="shared" si="30"/>
        <v>0</v>
      </c>
      <c r="BF90" s="246">
        <f t="shared" si="30"/>
        <v>0</v>
      </c>
      <c r="BG90" s="246">
        <f t="shared" si="30"/>
        <v>0</v>
      </c>
      <c r="BH90" s="246">
        <f t="shared" si="30"/>
        <v>0</v>
      </c>
      <c r="BI90" s="246">
        <f t="shared" si="30"/>
        <v>0</v>
      </c>
      <c r="BJ90" s="246">
        <f t="shared" si="30"/>
        <v>0</v>
      </c>
      <c r="BK90" s="246">
        <f t="shared" si="30"/>
        <v>0</v>
      </c>
      <c r="BL90" s="246">
        <f t="shared" si="30"/>
        <v>0</v>
      </c>
      <c r="BM90" s="246">
        <f t="shared" si="30"/>
        <v>0</v>
      </c>
      <c r="BN90" s="246">
        <f t="shared" si="30"/>
        <v>0</v>
      </c>
      <c r="BO90" s="246">
        <f t="shared" si="30"/>
        <v>0</v>
      </c>
      <c r="BP90" s="246">
        <f t="shared" si="30"/>
        <v>0</v>
      </c>
      <c r="BQ90" s="246">
        <f t="shared" si="30"/>
        <v>0</v>
      </c>
      <c r="BR90" s="246">
        <f t="shared" si="30"/>
        <v>0</v>
      </c>
      <c r="BS90" s="246">
        <f t="shared" si="30"/>
        <v>0</v>
      </c>
      <c r="BT90" s="246">
        <f t="shared" si="30"/>
        <v>0</v>
      </c>
      <c r="BU90" s="246">
        <f t="shared" si="30"/>
        <v>0</v>
      </c>
      <c r="BV90" s="246">
        <f t="shared" si="30"/>
        <v>0</v>
      </c>
      <c r="BW90" s="246">
        <f t="shared" si="30"/>
        <v>0</v>
      </c>
      <c r="BX90" s="246">
        <f t="shared" si="30"/>
        <v>0</v>
      </c>
      <c r="BY90" s="564">
        <f>BZ17</f>
        <v>-118361216.17743331</v>
      </c>
      <c r="BZ90" s="599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</row>
    <row r="91" spans="1:138" outlineLevel="1">
      <c r="A91" s="505"/>
      <c r="B91" s="600"/>
      <c r="C91" s="249" t="s">
        <v>280</v>
      </c>
      <c r="D91" s="250" t="s">
        <v>223</v>
      </c>
      <c r="E91" s="251"/>
      <c r="F91" s="251"/>
      <c r="G91" s="251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1"/>
      <c r="V91" s="251"/>
      <c r="W91" s="251"/>
      <c r="X91" s="251"/>
      <c r="Y91" s="251"/>
      <c r="Z91" s="251"/>
      <c r="AA91" s="252">
        <f>-BY5-SUM(L91:Z91)</f>
        <v>-16365002</v>
      </c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2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60"/>
      <c r="BY91" s="292">
        <f t="shared" ref="BY91:BY97" si="31">SUM(E91:BX91)</f>
        <v>-16365002</v>
      </c>
      <c r="BZ91" s="562">
        <f>SUM(BY91:BY97)</f>
        <v>-70102751</v>
      </c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</row>
    <row r="92" spans="1:138" outlineLevel="1">
      <c r="A92" s="249" t="s">
        <v>281</v>
      </c>
      <c r="B92" s="600"/>
      <c r="C92" s="249" t="s">
        <v>282</v>
      </c>
      <c r="D92" s="250" t="s">
        <v>223</v>
      </c>
      <c r="E92" s="251"/>
      <c r="F92" s="251"/>
      <c r="G92" s="251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1"/>
      <c r="V92" s="251"/>
      <c r="W92" s="251"/>
      <c r="X92" s="251"/>
      <c r="Y92" s="251"/>
      <c r="Z92" s="251"/>
      <c r="AA92" s="252">
        <f>-BY6-SUM(E92:Z92)</f>
        <v>-7885000</v>
      </c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60"/>
      <c r="BY92" s="287">
        <f t="shared" si="31"/>
        <v>-7885000</v>
      </c>
      <c r="BZ92" s="597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</row>
    <row r="93" spans="1:138" outlineLevel="1">
      <c r="A93" s="249" t="s">
        <v>283</v>
      </c>
      <c r="B93" s="600"/>
      <c r="C93" s="289" t="s">
        <v>281</v>
      </c>
      <c r="D93" s="250" t="s">
        <v>223</v>
      </c>
      <c r="E93" s="251"/>
      <c r="F93" s="251"/>
      <c r="G93" s="251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1"/>
      <c r="V93" s="251"/>
      <c r="W93" s="251"/>
      <c r="X93" s="251"/>
      <c r="Y93" s="251"/>
      <c r="Z93" s="251"/>
      <c r="AA93" s="252">
        <f>-CF7</f>
        <v>0</v>
      </c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60"/>
      <c r="BY93" s="287">
        <f t="shared" si="31"/>
        <v>0</v>
      </c>
      <c r="BZ93" s="597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</row>
    <row r="94" spans="1:138" outlineLevel="1">
      <c r="A94" s="505"/>
      <c r="B94" s="600"/>
      <c r="C94" s="288" t="s">
        <v>283</v>
      </c>
      <c r="D94" s="250" t="s">
        <v>223</v>
      </c>
      <c r="E94" s="251"/>
      <c r="F94" s="251"/>
      <c r="G94" s="251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60"/>
      <c r="BY94" s="287">
        <f t="shared" si="31"/>
        <v>0</v>
      </c>
      <c r="BZ94" s="597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</row>
    <row r="95" spans="1:138" outlineLevel="1">
      <c r="A95" s="505"/>
      <c r="B95" s="600"/>
      <c r="C95" s="249" t="s">
        <v>284</v>
      </c>
      <c r="D95" s="250" t="s">
        <v>223</v>
      </c>
      <c r="E95" s="251"/>
      <c r="F95" s="251"/>
      <c r="G95" s="251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2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60"/>
      <c r="BY95" s="287">
        <f t="shared" si="31"/>
        <v>0</v>
      </c>
      <c r="BZ95" s="597"/>
      <c r="CA95" s="222"/>
      <c r="CB95" s="222"/>
      <c r="CC95" s="222"/>
      <c r="CD95" s="222"/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222"/>
      <c r="DU95" s="222"/>
      <c r="DV95" s="222"/>
      <c r="DW95" s="222"/>
      <c r="DX95" s="222"/>
      <c r="DY95" s="222"/>
      <c r="DZ95" s="222"/>
      <c r="EA95" s="222"/>
      <c r="EB95" s="222"/>
      <c r="EC95" s="222"/>
      <c r="ED95" s="222"/>
      <c r="EE95" s="222"/>
      <c r="EF95" s="222"/>
      <c r="EG95" s="222"/>
      <c r="EH95" s="222"/>
    </row>
    <row r="96" spans="1:138" outlineLevel="1">
      <c r="A96" s="505"/>
      <c r="B96" s="600"/>
      <c r="C96" s="249" t="s">
        <v>330</v>
      </c>
      <c r="D96" s="250" t="s">
        <v>223</v>
      </c>
      <c r="E96" s="251"/>
      <c r="F96" s="251"/>
      <c r="G96" s="251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2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60"/>
      <c r="BY96" s="294">
        <f t="shared" si="31"/>
        <v>0</v>
      </c>
      <c r="BZ96" s="597"/>
      <c r="CA96" s="222"/>
      <c r="CB96" s="222"/>
      <c r="CC96" s="222"/>
      <c r="CD96" s="222"/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2"/>
      <c r="CQ96" s="222"/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2"/>
      <c r="DI96" s="222"/>
      <c r="DJ96" s="222"/>
      <c r="DK96" s="222"/>
      <c r="DL96" s="222"/>
      <c r="DM96" s="222"/>
      <c r="DN96" s="222"/>
      <c r="DO96" s="222"/>
      <c r="DP96" s="222"/>
      <c r="DQ96" s="222"/>
      <c r="DR96" s="222"/>
      <c r="DS96" s="222"/>
      <c r="DT96" s="222"/>
      <c r="DU96" s="222"/>
      <c r="DV96" s="222"/>
      <c r="DW96" s="222"/>
      <c r="DX96" s="222"/>
      <c r="DY96" s="222"/>
      <c r="DZ96" s="222"/>
      <c r="EA96" s="222"/>
      <c r="EB96" s="222"/>
      <c r="EC96" s="222"/>
      <c r="ED96" s="222"/>
      <c r="EE96" s="222"/>
      <c r="EF96" s="222"/>
      <c r="EG96" s="222"/>
      <c r="EH96" s="222"/>
    </row>
    <row r="97" spans="1:138" outlineLevel="1">
      <c r="A97" s="505"/>
      <c r="B97" s="601"/>
      <c r="C97" s="280" t="s">
        <v>286</v>
      </c>
      <c r="D97" s="295" t="s">
        <v>223</v>
      </c>
      <c r="E97" s="282"/>
      <c r="F97" s="282"/>
      <c r="G97" s="282"/>
      <c r="H97" s="283"/>
      <c r="I97" s="283"/>
      <c r="J97" s="283"/>
      <c r="K97" s="283"/>
      <c r="L97" s="283"/>
      <c r="M97" s="283"/>
      <c r="N97" s="283"/>
      <c r="O97" s="283"/>
      <c r="P97" s="283"/>
      <c r="Q97" s="283">
        <f t="shared" ref="Q97:Z97" si="32">PMT($D$62/12,25*12,$BY11)-Q62</f>
        <v>-56603.322144095961</v>
      </c>
      <c r="R97" s="283">
        <f t="shared" si="32"/>
        <v>-56603.322144095961</v>
      </c>
      <c r="S97" s="283">
        <f t="shared" si="32"/>
        <v>-56603.322144095961</v>
      </c>
      <c r="T97" s="283">
        <f t="shared" si="32"/>
        <v>-56603.322144095961</v>
      </c>
      <c r="U97" s="283">
        <f t="shared" si="32"/>
        <v>-56603.322144095961</v>
      </c>
      <c r="V97" s="283">
        <f t="shared" si="32"/>
        <v>-56603.322144095961</v>
      </c>
      <c r="W97" s="283">
        <f t="shared" si="32"/>
        <v>-56603.322144095961</v>
      </c>
      <c r="X97" s="283">
        <f t="shared" si="32"/>
        <v>-56603.322144095961</v>
      </c>
      <c r="Y97" s="283">
        <f t="shared" si="32"/>
        <v>-56603.322144095961</v>
      </c>
      <c r="Z97" s="283">
        <f t="shared" si="32"/>
        <v>-56603.322144095961</v>
      </c>
      <c r="AA97" s="283">
        <f>-$BY$11-SUM($P$97:Z97)</f>
        <v>-45286715.778559044</v>
      </c>
      <c r="AB97" s="282"/>
      <c r="AC97" s="282"/>
      <c r="AD97" s="282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  <c r="BW97" s="282"/>
      <c r="BX97" s="284"/>
      <c r="BY97" s="264">
        <f t="shared" si="31"/>
        <v>-45852749</v>
      </c>
      <c r="BZ97" s="602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2"/>
      <c r="DI97" s="222"/>
      <c r="DJ97" s="222"/>
      <c r="DK97" s="222"/>
      <c r="DL97" s="222"/>
      <c r="DM97" s="222"/>
      <c r="DN97" s="222"/>
      <c r="DO97" s="222"/>
      <c r="DP97" s="222"/>
      <c r="DQ97" s="222"/>
      <c r="DR97" s="222"/>
      <c r="DS97" s="222"/>
      <c r="DT97" s="222"/>
      <c r="DU97" s="222"/>
      <c r="DV97" s="222"/>
      <c r="DW97" s="222"/>
      <c r="DX97" s="222"/>
      <c r="DY97" s="222"/>
      <c r="DZ97" s="222"/>
      <c r="EA97" s="222"/>
      <c r="EB97" s="222"/>
      <c r="EC97" s="222"/>
      <c r="ED97" s="222"/>
      <c r="EE97" s="222"/>
      <c r="EF97" s="222"/>
      <c r="EG97" s="222"/>
      <c r="EH97" s="222"/>
    </row>
    <row r="98" spans="1:138" ht="15.95">
      <c r="A98" s="505"/>
      <c r="B98" s="571" t="s">
        <v>287</v>
      </c>
      <c r="C98" s="592"/>
      <c r="D98" s="296" t="s">
        <v>223</v>
      </c>
      <c r="E98" s="297">
        <f t="shared" ref="E98:BX98" si="33">(E17+E23+E26+E34+E37+E49+E55+E63+E87+E90)</f>
        <v>0</v>
      </c>
      <c r="F98" s="297">
        <f t="shared" si="33"/>
        <v>0</v>
      </c>
      <c r="G98" s="297">
        <f t="shared" si="33"/>
        <v>0</v>
      </c>
      <c r="H98" s="297">
        <f t="shared" si="33"/>
        <v>-10737799.354999999</v>
      </c>
      <c r="I98" s="297">
        <f t="shared" si="33"/>
        <v>-1867696.1950000001</v>
      </c>
      <c r="J98" s="297">
        <f t="shared" si="33"/>
        <v>-1817623.665</v>
      </c>
      <c r="K98" s="297">
        <f t="shared" si="33"/>
        <v>-902873.87700000009</v>
      </c>
      <c r="L98" s="297">
        <f t="shared" si="33"/>
        <v>-5038194.0799999991</v>
      </c>
      <c r="M98" s="297">
        <f t="shared" si="33"/>
        <v>-10761502.959999999</v>
      </c>
      <c r="N98" s="297">
        <f t="shared" si="33"/>
        <v>-19945709.84</v>
      </c>
      <c r="O98" s="297">
        <f t="shared" si="33"/>
        <v>-13049646.056666667</v>
      </c>
      <c r="P98" s="297">
        <f t="shared" si="33"/>
        <v>-15773092.672333332</v>
      </c>
      <c r="Q98" s="297">
        <f t="shared" si="33"/>
        <v>-923556.8413107628</v>
      </c>
      <c r="R98" s="297">
        <f t="shared" si="33"/>
        <v>-945999.30131076276</v>
      </c>
      <c r="S98" s="297">
        <f t="shared" si="33"/>
        <v>-4898645.527110762</v>
      </c>
      <c r="T98" s="297">
        <f t="shared" si="33"/>
        <v>-4414265.9763107626</v>
      </c>
      <c r="U98" s="297">
        <f t="shared" si="33"/>
        <v>-4384819.0513107628</v>
      </c>
      <c r="V98" s="297">
        <f t="shared" si="33"/>
        <v>-4384819.0513107628</v>
      </c>
      <c r="W98" s="297">
        <f t="shared" si="33"/>
        <v>-4450159.0513107628</v>
      </c>
      <c r="X98" s="297">
        <f t="shared" si="33"/>
        <v>-4384819.0513107628</v>
      </c>
      <c r="Y98" s="297">
        <f t="shared" si="33"/>
        <v>-4493719.0513107628</v>
      </c>
      <c r="Z98" s="297">
        <f t="shared" si="33"/>
        <v>-4984532.4521107618</v>
      </c>
      <c r="AA98" s="297">
        <f t="shared" si="33"/>
        <v>-69917948.121725708</v>
      </c>
      <c r="AB98" s="297">
        <f t="shared" si="33"/>
        <v>0</v>
      </c>
      <c r="AC98" s="297">
        <f t="shared" si="33"/>
        <v>0</v>
      </c>
      <c r="AD98" s="297">
        <f t="shared" si="33"/>
        <v>0</v>
      </c>
      <c r="AE98" s="297">
        <f t="shared" si="33"/>
        <v>0</v>
      </c>
      <c r="AF98" s="297">
        <f t="shared" si="33"/>
        <v>0</v>
      </c>
      <c r="AG98" s="297">
        <f t="shared" si="33"/>
        <v>0</v>
      </c>
      <c r="AH98" s="297">
        <f t="shared" si="33"/>
        <v>0</v>
      </c>
      <c r="AI98" s="297">
        <f t="shared" si="33"/>
        <v>0</v>
      </c>
      <c r="AJ98" s="297">
        <f t="shared" si="33"/>
        <v>0</v>
      </c>
      <c r="AK98" s="297">
        <f t="shared" si="33"/>
        <v>0</v>
      </c>
      <c r="AL98" s="297">
        <f t="shared" si="33"/>
        <v>0</v>
      </c>
      <c r="AM98" s="297">
        <f t="shared" si="33"/>
        <v>0</v>
      </c>
      <c r="AN98" s="297">
        <f t="shared" si="33"/>
        <v>0</v>
      </c>
      <c r="AO98" s="297">
        <f t="shared" si="33"/>
        <v>0</v>
      </c>
      <c r="AP98" s="297">
        <f t="shared" si="33"/>
        <v>0</v>
      </c>
      <c r="AQ98" s="297">
        <f t="shared" si="33"/>
        <v>0</v>
      </c>
      <c r="AR98" s="297">
        <f t="shared" si="33"/>
        <v>0</v>
      </c>
      <c r="AS98" s="297">
        <f t="shared" si="33"/>
        <v>0</v>
      </c>
      <c r="AT98" s="297">
        <f t="shared" si="33"/>
        <v>0</v>
      </c>
      <c r="AU98" s="297">
        <f t="shared" si="33"/>
        <v>0</v>
      </c>
      <c r="AV98" s="297">
        <f t="shared" si="33"/>
        <v>0</v>
      </c>
      <c r="AW98" s="297">
        <f t="shared" si="33"/>
        <v>0</v>
      </c>
      <c r="AX98" s="297">
        <f t="shared" si="33"/>
        <v>0</v>
      </c>
      <c r="AY98" s="297">
        <f t="shared" si="33"/>
        <v>0</v>
      </c>
      <c r="AZ98" s="297">
        <f t="shared" si="33"/>
        <v>0</v>
      </c>
      <c r="BA98" s="297">
        <f t="shared" si="33"/>
        <v>0</v>
      </c>
      <c r="BB98" s="297">
        <f t="shared" si="33"/>
        <v>0</v>
      </c>
      <c r="BC98" s="297">
        <f t="shared" si="33"/>
        <v>0</v>
      </c>
      <c r="BD98" s="297">
        <f t="shared" si="33"/>
        <v>0</v>
      </c>
      <c r="BE98" s="297">
        <f t="shared" si="33"/>
        <v>0</v>
      </c>
      <c r="BF98" s="297">
        <f t="shared" si="33"/>
        <v>0</v>
      </c>
      <c r="BG98" s="297">
        <f t="shared" si="33"/>
        <v>0</v>
      </c>
      <c r="BH98" s="297">
        <f t="shared" si="33"/>
        <v>0</v>
      </c>
      <c r="BI98" s="297">
        <f t="shared" si="33"/>
        <v>0</v>
      </c>
      <c r="BJ98" s="297">
        <f t="shared" si="33"/>
        <v>0</v>
      </c>
      <c r="BK98" s="297">
        <f t="shared" si="33"/>
        <v>0</v>
      </c>
      <c r="BL98" s="297">
        <f t="shared" si="33"/>
        <v>0</v>
      </c>
      <c r="BM98" s="297">
        <f t="shared" si="33"/>
        <v>0</v>
      </c>
      <c r="BN98" s="297">
        <f t="shared" si="33"/>
        <v>0</v>
      </c>
      <c r="BO98" s="297">
        <f t="shared" si="33"/>
        <v>0</v>
      </c>
      <c r="BP98" s="297">
        <f t="shared" si="33"/>
        <v>0</v>
      </c>
      <c r="BQ98" s="297">
        <f t="shared" si="33"/>
        <v>0</v>
      </c>
      <c r="BR98" s="297">
        <f t="shared" si="33"/>
        <v>0</v>
      </c>
      <c r="BS98" s="297">
        <f t="shared" si="33"/>
        <v>0</v>
      </c>
      <c r="BT98" s="297">
        <f t="shared" si="33"/>
        <v>0</v>
      </c>
      <c r="BU98" s="297">
        <f t="shared" si="33"/>
        <v>0</v>
      </c>
      <c r="BV98" s="297">
        <f t="shared" si="33"/>
        <v>0</v>
      </c>
      <c r="BW98" s="297">
        <f t="shared" si="33"/>
        <v>0</v>
      </c>
      <c r="BX98" s="297">
        <f t="shared" si="33"/>
        <v>0</v>
      </c>
      <c r="BY98" s="565">
        <f>BZ91</f>
        <v>-70102751</v>
      </c>
      <c r="BZ98" s="601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</row>
    <row r="99" spans="1:138" ht="15.95">
      <c r="A99" s="505"/>
      <c r="B99" s="507"/>
      <c r="C99" s="507"/>
      <c r="D99" s="298"/>
      <c r="E99" s="299"/>
      <c r="F99" s="299"/>
      <c r="G99" s="299"/>
      <c r="H99" s="299">
        <f>H98</f>
        <v>-10737799.354999999</v>
      </c>
      <c r="I99" s="299">
        <f t="shared" ref="I99:N99" si="34">H99+I98</f>
        <v>-12605495.549999999</v>
      </c>
      <c r="J99" s="299">
        <f t="shared" si="34"/>
        <v>-14423119.215</v>
      </c>
      <c r="K99" s="299">
        <f t="shared" si="34"/>
        <v>-15325993.092</v>
      </c>
      <c r="L99" s="299">
        <f t="shared" si="34"/>
        <v>-20364187.171999998</v>
      </c>
      <c r="M99" s="299">
        <f t="shared" si="34"/>
        <v>-31125690.131999999</v>
      </c>
      <c r="N99" s="299">
        <f t="shared" si="34"/>
        <v>-51071399.972000003</v>
      </c>
      <c r="O99" s="300"/>
      <c r="P99" s="300"/>
      <c r="Q99" s="300"/>
      <c r="R99" s="300"/>
      <c r="S99" s="300"/>
      <c r="T99" s="300"/>
      <c r="U99" s="299"/>
      <c r="V99" s="299"/>
      <c r="W99" s="299"/>
      <c r="X99" s="300"/>
      <c r="Y99" s="300"/>
      <c r="Z99" s="300"/>
      <c r="AA99" s="300"/>
      <c r="AB99" s="300"/>
      <c r="AC99" s="299"/>
      <c r="AD99" s="300"/>
      <c r="AE99" s="300"/>
      <c r="AF99" s="300"/>
      <c r="AG99" s="300"/>
      <c r="AH99" s="300"/>
      <c r="AI99" s="300"/>
      <c r="AJ99" s="300"/>
      <c r="AK99" s="300"/>
      <c r="AL99" s="300"/>
      <c r="AM99" s="300"/>
      <c r="AN99" s="300"/>
      <c r="AO99" s="299"/>
      <c r="AP99" s="300"/>
      <c r="AQ99" s="300"/>
      <c r="AR99" s="300"/>
      <c r="AS99" s="299"/>
      <c r="AT99" s="299"/>
      <c r="AU99" s="299"/>
      <c r="AV99" s="299"/>
      <c r="AW99" s="299"/>
      <c r="AX99" s="299"/>
      <c r="AY99" s="299"/>
      <c r="AZ99" s="299"/>
      <c r="BA99" s="299"/>
      <c r="BB99" s="299"/>
      <c r="BC99" s="299"/>
      <c r="BD99" s="299"/>
      <c r="BE99" s="299"/>
      <c r="BF99" s="299"/>
      <c r="BG99" s="299"/>
      <c r="BH99" s="299"/>
      <c r="BI99" s="299"/>
      <c r="BJ99" s="299"/>
      <c r="BK99" s="299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301"/>
      <c r="BW99" s="301"/>
      <c r="BX99" s="301"/>
      <c r="BY99" s="302"/>
      <c r="BZ99" s="302"/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2"/>
      <c r="DI99" s="222"/>
      <c r="DJ99" s="222"/>
      <c r="DK99" s="222"/>
      <c r="DL99" s="222"/>
      <c r="DM99" s="222"/>
      <c r="DN99" s="222"/>
      <c r="DO99" s="222"/>
      <c r="DP99" s="222"/>
      <c r="DQ99" s="222"/>
      <c r="DR99" s="222"/>
      <c r="DS99" s="222"/>
      <c r="DT99" s="222"/>
      <c r="DU99" s="222"/>
      <c r="DV99" s="222"/>
      <c r="DW99" s="222"/>
      <c r="DX99" s="222"/>
      <c r="DY99" s="222"/>
      <c r="DZ99" s="222"/>
      <c r="EA99" s="222"/>
      <c r="EB99" s="222"/>
      <c r="EC99" s="222"/>
      <c r="ED99" s="222"/>
      <c r="EE99" s="222"/>
      <c r="EF99" s="222"/>
      <c r="EG99" s="222"/>
      <c r="EH99" s="222"/>
    </row>
    <row r="100" spans="1:138" ht="15.95">
      <c r="A100" s="505"/>
      <c r="B100" s="572" t="s">
        <v>288</v>
      </c>
      <c r="C100" s="592"/>
      <c r="D100" s="303"/>
      <c r="E100" s="299">
        <f t="shared" ref="E100:BX100" si="35">E16+E98</f>
        <v>0</v>
      </c>
      <c r="F100" s="299">
        <f t="shared" si="35"/>
        <v>0</v>
      </c>
      <c r="G100" s="299">
        <f t="shared" si="35"/>
        <v>0</v>
      </c>
      <c r="H100" s="299">
        <f t="shared" si="35"/>
        <v>5627202.6450000014</v>
      </c>
      <c r="I100" s="299">
        <f t="shared" si="35"/>
        <v>-1861469.1950000001</v>
      </c>
      <c r="J100" s="299">
        <f t="shared" si="35"/>
        <v>-1803035.665</v>
      </c>
      <c r="K100" s="299">
        <f t="shared" si="35"/>
        <v>439594.12299999991</v>
      </c>
      <c r="L100" s="299">
        <f t="shared" si="35"/>
        <v>-3040677.0799999991</v>
      </c>
      <c r="M100" s="300">
        <f t="shared" si="35"/>
        <v>57291.090000001714</v>
      </c>
      <c r="N100" s="299">
        <f t="shared" si="35"/>
        <v>48223.109999999404</v>
      </c>
      <c r="O100" s="300">
        <f t="shared" si="35"/>
        <v>-3062058.1722038575</v>
      </c>
      <c r="P100" s="300">
        <f t="shared" si="35"/>
        <v>3675957.0053526182</v>
      </c>
      <c r="Q100" s="300">
        <f t="shared" si="35"/>
        <v>-776493.76263307687</v>
      </c>
      <c r="R100" s="300">
        <f t="shared" si="35"/>
        <v>-754863.63561654789</v>
      </c>
      <c r="S100" s="300">
        <f t="shared" si="35"/>
        <v>-4794827.6223173738</v>
      </c>
      <c r="T100" s="300">
        <f t="shared" si="35"/>
        <v>-820838.81340639386</v>
      </c>
      <c r="U100" s="299">
        <f t="shared" si="35"/>
        <v>-767320.64260639437</v>
      </c>
      <c r="V100" s="299">
        <f t="shared" si="35"/>
        <v>-851386.51505928673</v>
      </c>
      <c r="W100" s="299">
        <f t="shared" si="35"/>
        <v>-921837.13840639405</v>
      </c>
      <c r="X100" s="300">
        <f t="shared" si="35"/>
        <v>-856497.13840639405</v>
      </c>
      <c r="Y100" s="300">
        <f t="shared" si="35"/>
        <v>-954057.13840639405</v>
      </c>
      <c r="Z100" s="300">
        <f t="shared" si="35"/>
        <v>-1456210.5392063931</v>
      </c>
      <c r="AA100" s="300">
        <f t="shared" si="35"/>
        <v>70091765.069930971</v>
      </c>
      <c r="AB100" s="300">
        <f t="shared" si="35"/>
        <v>0</v>
      </c>
      <c r="AC100" s="299">
        <f t="shared" si="35"/>
        <v>0</v>
      </c>
      <c r="AD100" s="300">
        <f t="shared" si="35"/>
        <v>0</v>
      </c>
      <c r="AE100" s="300">
        <f t="shared" si="35"/>
        <v>0</v>
      </c>
      <c r="AF100" s="300">
        <f t="shared" si="35"/>
        <v>0</v>
      </c>
      <c r="AG100" s="300">
        <f t="shared" si="35"/>
        <v>0</v>
      </c>
      <c r="AH100" s="300">
        <f t="shared" si="35"/>
        <v>0</v>
      </c>
      <c r="AI100" s="300">
        <f t="shared" si="35"/>
        <v>0</v>
      </c>
      <c r="AJ100" s="300">
        <f t="shared" si="35"/>
        <v>0</v>
      </c>
      <c r="AK100" s="300">
        <f t="shared" si="35"/>
        <v>0</v>
      </c>
      <c r="AL100" s="300">
        <f t="shared" si="35"/>
        <v>0</v>
      </c>
      <c r="AM100" s="300">
        <f t="shared" si="35"/>
        <v>0</v>
      </c>
      <c r="AN100" s="300">
        <f t="shared" si="35"/>
        <v>0</v>
      </c>
      <c r="AO100" s="299">
        <f t="shared" si="35"/>
        <v>0</v>
      </c>
      <c r="AP100" s="300">
        <f t="shared" si="35"/>
        <v>0</v>
      </c>
      <c r="AQ100" s="300">
        <f t="shared" si="35"/>
        <v>0</v>
      </c>
      <c r="AR100" s="300">
        <f t="shared" si="35"/>
        <v>0</v>
      </c>
      <c r="AS100" s="299">
        <f t="shared" si="35"/>
        <v>0</v>
      </c>
      <c r="AT100" s="299">
        <f t="shared" si="35"/>
        <v>0</v>
      </c>
      <c r="AU100" s="299">
        <f t="shared" si="35"/>
        <v>0</v>
      </c>
      <c r="AV100" s="299">
        <f t="shared" si="35"/>
        <v>0</v>
      </c>
      <c r="AW100" s="299">
        <f t="shared" si="35"/>
        <v>0</v>
      </c>
      <c r="AX100" s="299">
        <f t="shared" si="35"/>
        <v>0</v>
      </c>
      <c r="AY100" s="299">
        <f t="shared" si="35"/>
        <v>0</v>
      </c>
      <c r="AZ100" s="299">
        <f t="shared" si="35"/>
        <v>0</v>
      </c>
      <c r="BA100" s="299">
        <f t="shared" si="35"/>
        <v>0</v>
      </c>
      <c r="BB100" s="299">
        <f t="shared" si="35"/>
        <v>0</v>
      </c>
      <c r="BC100" s="299">
        <f t="shared" si="35"/>
        <v>0</v>
      </c>
      <c r="BD100" s="299">
        <f t="shared" si="35"/>
        <v>0</v>
      </c>
      <c r="BE100" s="299">
        <f t="shared" si="35"/>
        <v>0</v>
      </c>
      <c r="BF100" s="299">
        <f t="shared" si="35"/>
        <v>0</v>
      </c>
      <c r="BG100" s="299">
        <f t="shared" si="35"/>
        <v>0</v>
      </c>
      <c r="BH100" s="299">
        <f t="shared" si="35"/>
        <v>0</v>
      </c>
      <c r="BI100" s="299">
        <f t="shared" si="35"/>
        <v>0</v>
      </c>
      <c r="BJ100" s="299">
        <f t="shared" si="35"/>
        <v>0</v>
      </c>
      <c r="BK100" s="299">
        <f t="shared" si="35"/>
        <v>0</v>
      </c>
      <c r="BL100" s="304">
        <f t="shared" si="35"/>
        <v>0</v>
      </c>
      <c r="BM100" s="304">
        <f t="shared" si="35"/>
        <v>0</v>
      </c>
      <c r="BN100" s="304">
        <f t="shared" si="35"/>
        <v>0</v>
      </c>
      <c r="BO100" s="304">
        <f t="shared" si="35"/>
        <v>0</v>
      </c>
      <c r="BP100" s="304">
        <f t="shared" si="35"/>
        <v>0</v>
      </c>
      <c r="BQ100" s="304">
        <f t="shared" si="35"/>
        <v>0</v>
      </c>
      <c r="BR100" s="304">
        <f t="shared" si="35"/>
        <v>0</v>
      </c>
      <c r="BS100" s="304">
        <f t="shared" si="35"/>
        <v>0</v>
      </c>
      <c r="BT100" s="304">
        <f t="shared" si="35"/>
        <v>0</v>
      </c>
      <c r="BU100" s="304">
        <f t="shared" si="35"/>
        <v>0</v>
      </c>
      <c r="BV100" s="304">
        <f t="shared" si="35"/>
        <v>0</v>
      </c>
      <c r="BW100" s="304">
        <f t="shared" si="35"/>
        <v>0</v>
      </c>
      <c r="BX100" s="304">
        <f t="shared" si="35"/>
        <v>0</v>
      </c>
      <c r="BY100" s="566">
        <f>BY16+BY90+BY98</f>
        <v>56831914.985015094</v>
      </c>
      <c r="BZ100" s="603"/>
      <c r="CA100" s="222"/>
      <c r="CB100" s="222"/>
      <c r="CC100" s="222"/>
      <c r="CD100" s="222"/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2"/>
      <c r="CQ100" s="222"/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E100" s="222"/>
      <c r="EF100" s="222"/>
      <c r="EG100" s="222"/>
      <c r="EH100" s="222"/>
    </row>
    <row r="101" spans="1:138">
      <c r="A101" s="505"/>
      <c r="B101" s="573" t="s">
        <v>289</v>
      </c>
      <c r="C101" s="592"/>
      <c r="D101" s="305"/>
      <c r="E101" s="306">
        <f>E100</f>
        <v>0</v>
      </c>
      <c r="F101" s="306">
        <f>F100+E101</f>
        <v>0</v>
      </c>
      <c r="G101" s="306">
        <f>655760.63+24.98*24.5-16.85*22</f>
        <v>656001.94000000006</v>
      </c>
      <c r="H101" s="306">
        <f>H100+G101-66</f>
        <v>6283138.5850000018</v>
      </c>
      <c r="I101" s="306">
        <f t="shared" ref="I101:BX101" si="36">I100+H101</f>
        <v>4421669.3900000015</v>
      </c>
      <c r="J101" s="306">
        <f t="shared" si="36"/>
        <v>2618633.7250000015</v>
      </c>
      <c r="K101" s="306">
        <f t="shared" si="36"/>
        <v>3058227.8480000012</v>
      </c>
      <c r="L101" s="306">
        <f t="shared" si="36"/>
        <v>17550.768000002019</v>
      </c>
      <c r="M101" s="306">
        <f t="shared" si="36"/>
        <v>74841.858000003733</v>
      </c>
      <c r="N101" s="306">
        <f t="shared" si="36"/>
        <v>123064.96800000314</v>
      </c>
      <c r="O101" s="306">
        <f t="shared" si="36"/>
        <v>-2938993.2042038543</v>
      </c>
      <c r="P101" s="306">
        <f t="shared" si="36"/>
        <v>736963.80114876386</v>
      </c>
      <c r="Q101" s="306">
        <f t="shared" si="36"/>
        <v>-39529.961484313011</v>
      </c>
      <c r="R101" s="306">
        <f t="shared" si="36"/>
        <v>-794393.5971008609</v>
      </c>
      <c r="S101" s="306">
        <f t="shared" si="36"/>
        <v>-5589221.2194182351</v>
      </c>
      <c r="T101" s="306">
        <f t="shared" si="36"/>
        <v>-6410060.032824629</v>
      </c>
      <c r="U101" s="306">
        <f t="shared" si="36"/>
        <v>-7177380.6754310234</v>
      </c>
      <c r="V101" s="306">
        <f t="shared" si="36"/>
        <v>-8028767.1904903101</v>
      </c>
      <c r="W101" s="306">
        <f t="shared" si="36"/>
        <v>-8950604.3288967051</v>
      </c>
      <c r="X101" s="306">
        <f t="shared" si="36"/>
        <v>-9807101.4673030991</v>
      </c>
      <c r="Y101" s="306">
        <f t="shared" si="36"/>
        <v>-10761158.605709493</v>
      </c>
      <c r="Z101" s="306">
        <f t="shared" si="36"/>
        <v>-12217369.144915886</v>
      </c>
      <c r="AA101" s="306">
        <f t="shared" si="36"/>
        <v>57874395.925015084</v>
      </c>
      <c r="AB101" s="306">
        <f t="shared" si="36"/>
        <v>57874395.925015084</v>
      </c>
      <c r="AC101" s="306">
        <f t="shared" si="36"/>
        <v>57874395.925015084</v>
      </c>
      <c r="AD101" s="306">
        <f t="shared" si="36"/>
        <v>57874395.925015084</v>
      </c>
      <c r="AE101" s="306">
        <f t="shared" si="36"/>
        <v>57874395.925015084</v>
      </c>
      <c r="AF101" s="306">
        <f t="shared" si="36"/>
        <v>57874395.925015084</v>
      </c>
      <c r="AG101" s="306">
        <f t="shared" si="36"/>
        <v>57874395.925015084</v>
      </c>
      <c r="AH101" s="306">
        <f t="shared" si="36"/>
        <v>57874395.925015084</v>
      </c>
      <c r="AI101" s="306">
        <f t="shared" si="36"/>
        <v>57874395.925015084</v>
      </c>
      <c r="AJ101" s="306">
        <f t="shared" si="36"/>
        <v>57874395.925015084</v>
      </c>
      <c r="AK101" s="306">
        <f t="shared" si="36"/>
        <v>57874395.925015084</v>
      </c>
      <c r="AL101" s="306">
        <f t="shared" si="36"/>
        <v>57874395.925015084</v>
      </c>
      <c r="AM101" s="306">
        <f t="shared" si="36"/>
        <v>57874395.925015084</v>
      </c>
      <c r="AN101" s="306">
        <f t="shared" si="36"/>
        <v>57874395.925015084</v>
      </c>
      <c r="AO101" s="306">
        <f t="shared" si="36"/>
        <v>57874395.925015084</v>
      </c>
      <c r="AP101" s="306">
        <f t="shared" si="36"/>
        <v>57874395.925015084</v>
      </c>
      <c r="AQ101" s="306">
        <f t="shared" si="36"/>
        <v>57874395.925015084</v>
      </c>
      <c r="AR101" s="306">
        <f t="shared" si="36"/>
        <v>57874395.925015084</v>
      </c>
      <c r="AS101" s="306">
        <f t="shared" si="36"/>
        <v>57874395.925015084</v>
      </c>
      <c r="AT101" s="306">
        <f t="shared" si="36"/>
        <v>57874395.925015084</v>
      </c>
      <c r="AU101" s="306">
        <f t="shared" si="36"/>
        <v>57874395.925015084</v>
      </c>
      <c r="AV101" s="306">
        <f t="shared" si="36"/>
        <v>57874395.925015084</v>
      </c>
      <c r="AW101" s="306">
        <f t="shared" si="36"/>
        <v>57874395.925015084</v>
      </c>
      <c r="AX101" s="306">
        <f t="shared" si="36"/>
        <v>57874395.925015084</v>
      </c>
      <c r="AY101" s="306">
        <f t="shared" si="36"/>
        <v>57874395.925015084</v>
      </c>
      <c r="AZ101" s="306">
        <f t="shared" si="36"/>
        <v>57874395.925015084</v>
      </c>
      <c r="BA101" s="306">
        <f t="shared" si="36"/>
        <v>57874395.925015084</v>
      </c>
      <c r="BB101" s="306">
        <f t="shared" si="36"/>
        <v>57874395.925015084</v>
      </c>
      <c r="BC101" s="306">
        <f t="shared" si="36"/>
        <v>57874395.925015084</v>
      </c>
      <c r="BD101" s="306">
        <f t="shared" si="36"/>
        <v>57874395.925015084</v>
      </c>
      <c r="BE101" s="306">
        <f t="shared" si="36"/>
        <v>57874395.925015084</v>
      </c>
      <c r="BF101" s="306">
        <f t="shared" si="36"/>
        <v>57874395.925015084</v>
      </c>
      <c r="BG101" s="306">
        <f t="shared" si="36"/>
        <v>57874395.925015084</v>
      </c>
      <c r="BH101" s="306">
        <f t="shared" si="36"/>
        <v>57874395.925015084</v>
      </c>
      <c r="BI101" s="306">
        <f t="shared" si="36"/>
        <v>57874395.925015084</v>
      </c>
      <c r="BJ101" s="306">
        <f t="shared" si="36"/>
        <v>57874395.925015084</v>
      </c>
      <c r="BK101" s="306">
        <f t="shared" si="36"/>
        <v>57874395.925015084</v>
      </c>
      <c r="BL101" s="306">
        <f t="shared" si="36"/>
        <v>57874395.925015084</v>
      </c>
      <c r="BM101" s="306">
        <f t="shared" si="36"/>
        <v>57874395.925015084</v>
      </c>
      <c r="BN101" s="306">
        <f t="shared" si="36"/>
        <v>57874395.925015084</v>
      </c>
      <c r="BO101" s="306">
        <f t="shared" si="36"/>
        <v>57874395.925015084</v>
      </c>
      <c r="BP101" s="306">
        <f t="shared" si="36"/>
        <v>57874395.925015084</v>
      </c>
      <c r="BQ101" s="306">
        <f t="shared" si="36"/>
        <v>57874395.925015084</v>
      </c>
      <c r="BR101" s="306">
        <f t="shared" si="36"/>
        <v>57874395.925015084</v>
      </c>
      <c r="BS101" s="306">
        <f t="shared" si="36"/>
        <v>57874395.925015084</v>
      </c>
      <c r="BT101" s="306">
        <f t="shared" si="36"/>
        <v>57874395.925015084</v>
      </c>
      <c r="BU101" s="306">
        <f t="shared" si="36"/>
        <v>57874395.925015084</v>
      </c>
      <c r="BV101" s="306">
        <f t="shared" si="36"/>
        <v>57874395.925015084</v>
      </c>
      <c r="BW101" s="306">
        <f t="shared" si="36"/>
        <v>57874395.925015084</v>
      </c>
      <c r="BX101" s="306">
        <f t="shared" si="36"/>
        <v>57874395.925015084</v>
      </c>
      <c r="BY101" s="222"/>
      <c r="BZ101" s="222"/>
      <c r="CA101" s="222"/>
      <c r="CB101" s="222"/>
      <c r="CC101" s="222"/>
      <c r="CD101" s="222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2"/>
      <c r="CV101" s="222"/>
      <c r="CW101" s="222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2"/>
      <c r="DI101" s="222"/>
      <c r="DJ101" s="222"/>
      <c r="DK101" s="222"/>
      <c r="DL101" s="222"/>
      <c r="DM101" s="222"/>
      <c r="DN101" s="222"/>
      <c r="DO101" s="222"/>
      <c r="DP101" s="222"/>
      <c r="DQ101" s="222"/>
      <c r="DR101" s="222"/>
      <c r="DS101" s="222"/>
      <c r="DT101" s="222"/>
      <c r="DU101" s="222"/>
      <c r="DV101" s="222"/>
      <c r="DW101" s="222"/>
      <c r="DX101" s="222"/>
      <c r="DY101" s="222"/>
      <c r="DZ101" s="222"/>
      <c r="EA101" s="222"/>
      <c r="EB101" s="222"/>
      <c r="EC101" s="222"/>
      <c r="ED101" s="222"/>
      <c r="EE101" s="222"/>
      <c r="EF101" s="222"/>
      <c r="EG101" s="222"/>
      <c r="EH101" s="222"/>
    </row>
    <row r="102" spans="1:138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307"/>
      <c r="BZ102" s="222">
        <f>T101-8333333</f>
        <v>-14743393.032824628</v>
      </c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</row>
    <row r="103" spans="1:138" hidden="1">
      <c r="A103" s="222"/>
      <c r="B103" s="222"/>
      <c r="C103" s="222"/>
      <c r="D103" s="308" t="s">
        <v>290</v>
      </c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9"/>
      <c r="W103" s="309"/>
      <c r="X103" s="309"/>
      <c r="Y103" s="309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09"/>
      <c r="AR103" s="309"/>
      <c r="AS103" s="309"/>
      <c r="AT103" s="309"/>
      <c r="AU103" s="309"/>
      <c r="AV103" s="309"/>
      <c r="AW103" s="309"/>
      <c r="AX103" s="309"/>
      <c r="AY103" s="309"/>
      <c r="AZ103" s="309"/>
      <c r="BA103" s="309"/>
      <c r="BB103" s="309"/>
      <c r="BC103" s="309"/>
      <c r="BD103" s="309"/>
      <c r="BE103" s="309"/>
      <c r="BF103" s="309"/>
      <c r="BG103" s="309"/>
      <c r="BH103" s="309"/>
      <c r="BI103" s="309"/>
      <c r="BJ103" s="309"/>
      <c r="BK103" s="309"/>
      <c r="BL103" s="309"/>
      <c r="BM103" s="309"/>
      <c r="BN103" s="309"/>
      <c r="BO103" s="309"/>
      <c r="BP103" s="309"/>
      <c r="BQ103" s="309"/>
      <c r="BR103" s="309"/>
      <c r="BS103" s="309"/>
      <c r="BT103" s="309"/>
      <c r="BU103" s="309"/>
      <c r="BV103" s="309"/>
      <c r="BW103" s="309"/>
      <c r="BX103" s="309"/>
      <c r="BY103" s="307"/>
      <c r="BZ103" s="222"/>
      <c r="CA103" s="222"/>
      <c r="CB103" s="222"/>
      <c r="CC103" s="222"/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2"/>
      <c r="CV103" s="222"/>
      <c r="CW103" s="222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2"/>
      <c r="DI103" s="222"/>
      <c r="DJ103" s="222"/>
      <c r="DK103" s="222"/>
      <c r="DL103" s="222"/>
      <c r="DM103" s="222"/>
      <c r="DN103" s="222"/>
      <c r="DO103" s="222"/>
      <c r="DP103" s="222"/>
      <c r="DQ103" s="222"/>
      <c r="DR103" s="222"/>
      <c r="DS103" s="222"/>
      <c r="DT103" s="222"/>
      <c r="DU103" s="222"/>
      <c r="DV103" s="222"/>
      <c r="DW103" s="222"/>
      <c r="DX103" s="222"/>
      <c r="DY103" s="222"/>
      <c r="DZ103" s="222"/>
      <c r="EA103" s="222"/>
      <c r="EB103" s="222"/>
      <c r="EC103" s="222"/>
      <c r="ED103" s="222"/>
      <c r="EE103" s="222"/>
      <c r="EF103" s="222"/>
      <c r="EG103" s="222"/>
      <c r="EH103" s="222"/>
    </row>
    <row r="104" spans="1:138" hidden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307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</row>
    <row r="105" spans="1:138" hidden="1">
      <c r="A105" s="222"/>
      <c r="B105" s="222"/>
      <c r="C105" s="310" t="s">
        <v>291</v>
      </c>
      <c r="D105" s="311"/>
      <c r="E105" s="312">
        <f>E113+E131+E163+E179</f>
        <v>0</v>
      </c>
      <c r="F105" s="312">
        <f t="shared" ref="F105:BW105" si="37">F113+F179</f>
        <v>0</v>
      </c>
      <c r="G105" s="312">
        <f t="shared" si="37"/>
        <v>0</v>
      </c>
      <c r="H105" s="312">
        <f t="shared" si="37"/>
        <v>-21706207.5</v>
      </c>
      <c r="I105" s="312">
        <f t="shared" si="37"/>
        <v>0</v>
      </c>
      <c r="J105" s="312">
        <f t="shared" si="37"/>
        <v>0</v>
      </c>
      <c r="K105" s="312">
        <f t="shared" si="37"/>
        <v>-885000</v>
      </c>
      <c r="L105" s="312">
        <f t="shared" si="37"/>
        <v>-1940000</v>
      </c>
      <c r="M105" s="312">
        <f t="shared" si="37"/>
        <v>-4260000</v>
      </c>
      <c r="N105" s="312">
        <f t="shared" si="37"/>
        <v>0</v>
      </c>
      <c r="O105" s="312">
        <f t="shared" si="37"/>
        <v>0</v>
      </c>
      <c r="P105" s="312">
        <f t="shared" si="37"/>
        <v>-800000</v>
      </c>
      <c r="Q105" s="312">
        <f t="shared" si="37"/>
        <v>0</v>
      </c>
      <c r="R105" s="312">
        <f t="shared" si="37"/>
        <v>0</v>
      </c>
      <c r="S105" s="312">
        <f t="shared" si="37"/>
        <v>0</v>
      </c>
      <c r="T105" s="312">
        <f t="shared" si="37"/>
        <v>5341205.5</v>
      </c>
      <c r="U105" s="312">
        <f t="shared" si="37"/>
        <v>0</v>
      </c>
      <c r="V105" s="312">
        <f t="shared" si="37"/>
        <v>0</v>
      </c>
      <c r="W105" s="312">
        <f t="shared" si="37"/>
        <v>0</v>
      </c>
      <c r="X105" s="312">
        <f t="shared" si="37"/>
        <v>0</v>
      </c>
      <c r="Y105" s="312">
        <f t="shared" si="37"/>
        <v>0</v>
      </c>
      <c r="Z105" s="312">
        <f t="shared" si="37"/>
        <v>0</v>
      </c>
      <c r="AA105" s="312">
        <f t="shared" si="37"/>
        <v>24250002</v>
      </c>
      <c r="AB105" s="312">
        <f t="shared" si="37"/>
        <v>0</v>
      </c>
      <c r="AC105" s="312">
        <f t="shared" si="37"/>
        <v>0</v>
      </c>
      <c r="AD105" s="312">
        <f t="shared" si="37"/>
        <v>0</v>
      </c>
      <c r="AE105" s="312">
        <f t="shared" si="37"/>
        <v>0</v>
      </c>
      <c r="AF105" s="312">
        <f t="shared" si="37"/>
        <v>0</v>
      </c>
      <c r="AG105" s="312">
        <f t="shared" si="37"/>
        <v>0</v>
      </c>
      <c r="AH105" s="312">
        <f t="shared" si="37"/>
        <v>0</v>
      </c>
      <c r="AI105" s="312">
        <f t="shared" si="37"/>
        <v>0</v>
      </c>
      <c r="AJ105" s="312">
        <f t="shared" si="37"/>
        <v>0</v>
      </c>
      <c r="AK105" s="312">
        <f t="shared" si="37"/>
        <v>0</v>
      </c>
      <c r="AL105" s="312">
        <f t="shared" si="37"/>
        <v>0</v>
      </c>
      <c r="AM105" s="312">
        <f t="shared" si="37"/>
        <v>0</v>
      </c>
      <c r="AN105" s="312">
        <f t="shared" si="37"/>
        <v>0</v>
      </c>
      <c r="AO105" s="312">
        <f t="shared" si="37"/>
        <v>0</v>
      </c>
      <c r="AP105" s="312">
        <f t="shared" si="37"/>
        <v>0</v>
      </c>
      <c r="AQ105" s="312">
        <f t="shared" si="37"/>
        <v>0</v>
      </c>
      <c r="AR105" s="312">
        <f t="shared" si="37"/>
        <v>0</v>
      </c>
      <c r="AS105" s="312">
        <f t="shared" si="37"/>
        <v>0</v>
      </c>
      <c r="AT105" s="312">
        <f t="shared" si="37"/>
        <v>0</v>
      </c>
      <c r="AU105" s="312">
        <f t="shared" si="37"/>
        <v>0</v>
      </c>
      <c r="AV105" s="312">
        <f t="shared" si="37"/>
        <v>0</v>
      </c>
      <c r="AW105" s="312">
        <f t="shared" si="37"/>
        <v>0</v>
      </c>
      <c r="AX105" s="312">
        <f t="shared" si="37"/>
        <v>0</v>
      </c>
      <c r="AY105" s="312">
        <f t="shared" si="37"/>
        <v>0</v>
      </c>
      <c r="AZ105" s="312">
        <f t="shared" si="37"/>
        <v>0</v>
      </c>
      <c r="BA105" s="312">
        <f t="shared" si="37"/>
        <v>0</v>
      </c>
      <c r="BB105" s="312">
        <f t="shared" si="37"/>
        <v>0</v>
      </c>
      <c r="BC105" s="312">
        <f t="shared" si="37"/>
        <v>0</v>
      </c>
      <c r="BD105" s="312">
        <f t="shared" si="37"/>
        <v>0</v>
      </c>
      <c r="BE105" s="312">
        <f t="shared" si="37"/>
        <v>0</v>
      </c>
      <c r="BF105" s="312">
        <f t="shared" si="37"/>
        <v>0</v>
      </c>
      <c r="BG105" s="312">
        <f t="shared" si="37"/>
        <v>0</v>
      </c>
      <c r="BH105" s="312">
        <f t="shared" si="37"/>
        <v>0</v>
      </c>
      <c r="BI105" s="312">
        <f t="shared" si="37"/>
        <v>0</v>
      </c>
      <c r="BJ105" s="312">
        <f t="shared" si="37"/>
        <v>0</v>
      </c>
      <c r="BK105" s="312">
        <f t="shared" si="37"/>
        <v>0</v>
      </c>
      <c r="BL105" s="312">
        <f t="shared" si="37"/>
        <v>0</v>
      </c>
      <c r="BM105" s="312">
        <f t="shared" si="37"/>
        <v>0</v>
      </c>
      <c r="BN105" s="312">
        <f t="shared" si="37"/>
        <v>0</v>
      </c>
      <c r="BO105" s="312">
        <f t="shared" si="37"/>
        <v>0</v>
      </c>
      <c r="BP105" s="312">
        <f t="shared" si="37"/>
        <v>0</v>
      </c>
      <c r="BQ105" s="312">
        <f t="shared" si="37"/>
        <v>0</v>
      </c>
      <c r="BR105" s="312">
        <f t="shared" si="37"/>
        <v>0</v>
      </c>
      <c r="BS105" s="312">
        <f t="shared" si="37"/>
        <v>0</v>
      </c>
      <c r="BT105" s="312">
        <f t="shared" si="37"/>
        <v>0</v>
      </c>
      <c r="BU105" s="312">
        <f t="shared" si="37"/>
        <v>0</v>
      </c>
      <c r="BV105" s="312">
        <f t="shared" si="37"/>
        <v>0</v>
      </c>
      <c r="BW105" s="312">
        <f t="shared" si="37"/>
        <v>0</v>
      </c>
      <c r="BX105" s="312">
        <f>BX113+BX179+BX101</f>
        <v>57874395.925015084</v>
      </c>
      <c r="BY105" s="307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</row>
    <row r="106" spans="1:138" hidden="1">
      <c r="A106" s="222"/>
      <c r="B106" s="222"/>
      <c r="C106" s="313" t="s">
        <v>292</v>
      </c>
      <c r="D106" s="574">
        <f>IRR(E105:BX105)*12</f>
        <v>0.31508137589069651</v>
      </c>
      <c r="E106" s="599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22"/>
      <c r="BU106" s="222"/>
      <c r="BV106" s="222"/>
      <c r="BW106" s="222"/>
      <c r="BX106" s="222"/>
      <c r="BY106" s="307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  <c r="DF106" s="222"/>
      <c r="DG106" s="222"/>
      <c r="DH106" s="222"/>
      <c r="DI106" s="222"/>
      <c r="DJ106" s="222"/>
      <c r="DK106" s="222"/>
      <c r="DL106" s="222"/>
      <c r="DM106" s="222"/>
      <c r="DN106" s="222"/>
      <c r="DO106" s="222"/>
      <c r="DP106" s="222"/>
      <c r="DQ106" s="222"/>
      <c r="DR106" s="222"/>
      <c r="DS106" s="222"/>
      <c r="DT106" s="222"/>
      <c r="DU106" s="222"/>
      <c r="DV106" s="222"/>
      <c r="DW106" s="222"/>
      <c r="DX106" s="222"/>
      <c r="DY106" s="222"/>
      <c r="DZ106" s="222"/>
      <c r="EA106" s="222"/>
      <c r="EB106" s="222"/>
      <c r="EC106" s="222"/>
      <c r="ED106" s="222"/>
      <c r="EE106" s="222"/>
      <c r="EF106" s="222"/>
      <c r="EG106" s="222"/>
      <c r="EH106" s="222"/>
    </row>
    <row r="107" spans="1:138" hidden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307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2"/>
      <c r="DD107" s="222"/>
      <c r="DE107" s="222"/>
      <c r="DF107" s="222"/>
      <c r="DG107" s="222"/>
      <c r="DH107" s="222"/>
      <c r="DI107" s="222"/>
      <c r="DJ107" s="222"/>
      <c r="DK107" s="222"/>
      <c r="DL107" s="222"/>
      <c r="DM107" s="222"/>
      <c r="DN107" s="222"/>
      <c r="DO107" s="222"/>
      <c r="DP107" s="222"/>
      <c r="DQ107" s="222"/>
      <c r="DR107" s="222"/>
      <c r="DS107" s="222"/>
      <c r="DT107" s="222"/>
      <c r="DU107" s="222"/>
      <c r="DV107" s="222"/>
      <c r="DW107" s="222"/>
      <c r="DX107" s="222"/>
      <c r="DY107" s="222"/>
      <c r="DZ107" s="222"/>
      <c r="EA107" s="222"/>
      <c r="EB107" s="222"/>
      <c r="EC107" s="222"/>
      <c r="ED107" s="222"/>
      <c r="EE107" s="222"/>
      <c r="EF107" s="222"/>
      <c r="EG107" s="222"/>
      <c r="EH107" s="222"/>
    </row>
    <row r="108" spans="1:138" hidden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2"/>
      <c r="BN108" s="222"/>
      <c r="BO108" s="222"/>
      <c r="BP108" s="222"/>
      <c r="BQ108" s="222"/>
      <c r="BR108" s="222"/>
      <c r="BS108" s="222"/>
      <c r="BT108" s="222"/>
      <c r="BU108" s="222"/>
      <c r="BV108" s="222"/>
      <c r="BW108" s="222"/>
      <c r="BX108" s="222"/>
      <c r="BY108" s="307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2"/>
      <c r="DD108" s="222"/>
      <c r="DE108" s="222"/>
      <c r="DF108" s="222"/>
      <c r="DG108" s="222"/>
      <c r="DH108" s="222"/>
      <c r="DI108" s="222"/>
      <c r="DJ108" s="222"/>
      <c r="DK108" s="222"/>
      <c r="DL108" s="222"/>
      <c r="DM108" s="222"/>
      <c r="DN108" s="222"/>
      <c r="DO108" s="222"/>
      <c r="DP108" s="222"/>
      <c r="DQ108" s="222"/>
      <c r="DR108" s="222"/>
      <c r="DS108" s="222"/>
      <c r="DT108" s="222"/>
      <c r="DU108" s="222"/>
      <c r="DV108" s="222"/>
      <c r="DW108" s="222"/>
      <c r="DX108" s="222"/>
      <c r="DY108" s="222"/>
      <c r="DZ108" s="222"/>
      <c r="EA108" s="222"/>
      <c r="EB108" s="222"/>
      <c r="EC108" s="222"/>
      <c r="ED108" s="222"/>
      <c r="EE108" s="222"/>
      <c r="EF108" s="222"/>
      <c r="EG108" s="222"/>
      <c r="EH108" s="222"/>
    </row>
    <row r="109" spans="1:138" ht="17.100000000000001" hidden="1">
      <c r="A109" s="222"/>
      <c r="B109" s="222"/>
      <c r="C109" s="310" t="s">
        <v>293</v>
      </c>
      <c r="D109" s="604"/>
      <c r="E109" s="598"/>
      <c r="F109" s="598"/>
      <c r="G109" s="598"/>
      <c r="H109" s="598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8"/>
      <c r="Z109" s="598"/>
      <c r="AA109" s="598"/>
      <c r="AB109" s="598"/>
      <c r="AC109" s="598"/>
      <c r="AD109" s="598"/>
      <c r="AE109" s="598"/>
      <c r="AF109" s="598"/>
      <c r="AG109" s="598"/>
      <c r="AH109" s="598"/>
      <c r="AI109" s="598"/>
      <c r="AJ109" s="598"/>
      <c r="AK109" s="598"/>
      <c r="AL109" s="598"/>
      <c r="AM109" s="598"/>
      <c r="AN109" s="598"/>
      <c r="AO109" s="598"/>
      <c r="AP109" s="598"/>
      <c r="AQ109" s="598"/>
      <c r="AR109" s="598"/>
      <c r="AS109" s="598"/>
      <c r="AT109" s="598"/>
      <c r="AU109" s="598"/>
      <c r="AV109" s="598"/>
      <c r="AW109" s="598"/>
      <c r="AX109" s="598"/>
      <c r="AY109" s="598"/>
      <c r="AZ109" s="598"/>
      <c r="BA109" s="598"/>
      <c r="BB109" s="598"/>
      <c r="BC109" s="598"/>
      <c r="BD109" s="598"/>
      <c r="BE109" s="598"/>
      <c r="BF109" s="598"/>
      <c r="BG109" s="598"/>
      <c r="BH109" s="598"/>
      <c r="BI109" s="598"/>
      <c r="BJ109" s="598"/>
      <c r="BK109" s="598"/>
      <c r="BL109" s="598"/>
      <c r="BM109" s="598"/>
      <c r="BN109" s="598"/>
      <c r="BO109" s="598"/>
      <c r="BP109" s="598"/>
      <c r="BQ109" s="598"/>
      <c r="BR109" s="598"/>
      <c r="BS109" s="598"/>
      <c r="BT109" s="598"/>
      <c r="BU109" s="598"/>
      <c r="BV109" s="598"/>
      <c r="BW109" s="599"/>
      <c r="BX109" s="315">
        <f>BX101*C110</f>
        <v>11574879.185003018</v>
      </c>
      <c r="BY109" s="307"/>
      <c r="BZ109" s="222"/>
      <c r="CA109" s="222"/>
      <c r="CB109" s="222"/>
      <c r="CC109" s="222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222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222"/>
      <c r="DA109" s="222"/>
      <c r="DB109" s="222"/>
      <c r="DC109" s="222"/>
      <c r="DD109" s="222"/>
      <c r="DE109" s="222"/>
      <c r="DF109" s="222"/>
      <c r="DG109" s="222"/>
      <c r="DH109" s="222"/>
      <c r="DI109" s="222"/>
      <c r="DJ109" s="222"/>
      <c r="DK109" s="222"/>
      <c r="DL109" s="222"/>
      <c r="DM109" s="222"/>
      <c r="DN109" s="222"/>
      <c r="DO109" s="222"/>
      <c r="DP109" s="222"/>
      <c r="DQ109" s="222"/>
      <c r="DR109" s="222"/>
      <c r="DS109" s="222"/>
      <c r="DT109" s="222"/>
      <c r="DU109" s="222"/>
      <c r="DV109" s="222"/>
      <c r="DW109" s="222"/>
      <c r="DX109" s="222"/>
      <c r="DY109" s="222"/>
      <c r="DZ109" s="222"/>
      <c r="EA109" s="222"/>
      <c r="EB109" s="222"/>
      <c r="EC109" s="222"/>
      <c r="ED109" s="222"/>
      <c r="EE109" s="222"/>
      <c r="EF109" s="222"/>
      <c r="EG109" s="222"/>
      <c r="EH109" s="222"/>
    </row>
    <row r="110" spans="1:138" ht="18.95" hidden="1">
      <c r="A110" s="222"/>
      <c r="B110" s="222"/>
      <c r="C110" s="316">
        <v>0.2</v>
      </c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  <c r="AL110" s="222"/>
      <c r="AM110" s="222"/>
      <c r="AN110" s="222"/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  <c r="BB110" s="222"/>
      <c r="BC110" s="222"/>
      <c r="BD110" s="222"/>
      <c r="BE110" s="222"/>
      <c r="BF110" s="222"/>
      <c r="BG110" s="222"/>
      <c r="BH110" s="222"/>
      <c r="BI110" s="222"/>
      <c r="BJ110" s="222"/>
      <c r="BK110" s="222"/>
      <c r="BL110" s="222"/>
      <c r="BM110" s="222"/>
      <c r="BN110" s="222"/>
      <c r="BO110" s="222"/>
      <c r="BP110" s="222"/>
      <c r="BQ110" s="222"/>
      <c r="BR110" s="222"/>
      <c r="BS110" s="222"/>
      <c r="BT110" s="222"/>
      <c r="BU110" s="222"/>
      <c r="BV110" s="222"/>
      <c r="BW110" s="222"/>
      <c r="BX110" s="222"/>
      <c r="BY110" s="307"/>
      <c r="BZ110" s="222"/>
      <c r="CA110" s="222"/>
      <c r="CB110" s="222"/>
      <c r="CC110" s="222"/>
      <c r="CD110" s="222"/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2"/>
      <c r="CQ110" s="222"/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2"/>
      <c r="DD110" s="222"/>
      <c r="DE110" s="222"/>
      <c r="DF110" s="222"/>
      <c r="DG110" s="222"/>
      <c r="DH110" s="222"/>
      <c r="DI110" s="222"/>
      <c r="DJ110" s="222"/>
      <c r="DK110" s="222"/>
      <c r="DL110" s="222"/>
      <c r="DM110" s="222"/>
      <c r="DN110" s="222"/>
      <c r="DO110" s="222"/>
      <c r="DP110" s="222"/>
      <c r="DQ110" s="222"/>
      <c r="DR110" s="222"/>
      <c r="DS110" s="222"/>
      <c r="DT110" s="222"/>
      <c r="DU110" s="222"/>
      <c r="DV110" s="222"/>
      <c r="DW110" s="222"/>
      <c r="DX110" s="222"/>
      <c r="DY110" s="222"/>
      <c r="DZ110" s="222"/>
      <c r="EA110" s="222"/>
      <c r="EB110" s="222"/>
      <c r="EC110" s="222"/>
      <c r="ED110" s="222"/>
      <c r="EE110" s="222"/>
      <c r="EF110" s="222"/>
      <c r="EG110" s="222"/>
      <c r="EH110" s="222"/>
    </row>
    <row r="111" spans="1:138" hidden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222"/>
      <c r="AF111" s="222"/>
      <c r="AG111" s="222"/>
      <c r="AH111" s="222"/>
      <c r="AI111" s="222"/>
      <c r="AJ111" s="222"/>
      <c r="AK111" s="222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2"/>
      <c r="BH111" s="222"/>
      <c r="BI111" s="222"/>
      <c r="BJ111" s="222"/>
      <c r="BK111" s="222"/>
      <c r="BL111" s="222"/>
      <c r="BM111" s="222"/>
      <c r="BN111" s="222"/>
      <c r="BO111" s="222"/>
      <c r="BP111" s="222"/>
      <c r="BQ111" s="222"/>
      <c r="BR111" s="222"/>
      <c r="BS111" s="222"/>
      <c r="BT111" s="222"/>
      <c r="BU111" s="222"/>
      <c r="BV111" s="222"/>
      <c r="BW111" s="222"/>
      <c r="BX111" s="222"/>
      <c r="BY111" s="307"/>
      <c r="BZ111" s="222"/>
      <c r="CA111" s="222"/>
      <c r="CB111" s="222"/>
      <c r="CC111" s="222"/>
      <c r="CD111" s="222"/>
      <c r="CE111" s="222"/>
      <c r="CF111" s="222"/>
      <c r="CG111" s="222"/>
      <c r="CH111" s="222"/>
      <c r="CI111" s="222"/>
      <c r="CJ111" s="222"/>
      <c r="CK111" s="222"/>
      <c r="CL111" s="222"/>
      <c r="CM111" s="222"/>
      <c r="CN111" s="222"/>
      <c r="CO111" s="222"/>
      <c r="CP111" s="222"/>
      <c r="CQ111" s="222"/>
      <c r="CR111" s="222"/>
      <c r="CS111" s="222"/>
      <c r="CT111" s="222"/>
      <c r="CU111" s="222"/>
      <c r="CV111" s="222"/>
      <c r="CW111" s="222"/>
      <c r="CX111" s="222"/>
      <c r="CY111" s="222"/>
      <c r="CZ111" s="222"/>
      <c r="DA111" s="222"/>
      <c r="DB111" s="222"/>
      <c r="DC111" s="222"/>
      <c r="DD111" s="222"/>
      <c r="DE111" s="222"/>
      <c r="DF111" s="222"/>
      <c r="DG111" s="222"/>
      <c r="DH111" s="222"/>
      <c r="DI111" s="222"/>
      <c r="DJ111" s="222"/>
      <c r="DK111" s="222"/>
      <c r="DL111" s="222"/>
      <c r="DM111" s="222"/>
      <c r="DN111" s="222"/>
      <c r="DO111" s="222"/>
      <c r="DP111" s="222"/>
      <c r="DQ111" s="222"/>
      <c r="DR111" s="222"/>
      <c r="DS111" s="222"/>
      <c r="DT111" s="222"/>
      <c r="DU111" s="222"/>
      <c r="DV111" s="222"/>
      <c r="DW111" s="222"/>
      <c r="DX111" s="222"/>
      <c r="DY111" s="222"/>
      <c r="DZ111" s="222"/>
      <c r="EA111" s="222"/>
      <c r="EB111" s="222"/>
      <c r="EC111" s="222"/>
      <c r="ED111" s="222"/>
      <c r="EE111" s="222"/>
      <c r="EF111" s="222"/>
      <c r="EG111" s="222"/>
      <c r="EH111" s="222"/>
    </row>
    <row r="112" spans="1:138" hidden="1">
      <c r="A112" s="222"/>
      <c r="B112" s="222"/>
      <c r="C112" s="317"/>
      <c r="D112" s="317"/>
      <c r="E112" s="317"/>
      <c r="F112" s="317"/>
      <c r="G112" s="317"/>
      <c r="H112" s="317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7"/>
      <c r="V112" s="317"/>
      <c r="W112" s="317"/>
      <c r="X112" s="317"/>
      <c r="Y112" s="317"/>
      <c r="Z112" s="317"/>
      <c r="AA112" s="317"/>
      <c r="AB112" s="317"/>
      <c r="AC112" s="317"/>
      <c r="AD112" s="317"/>
      <c r="AE112" s="317"/>
      <c r="AF112" s="317"/>
      <c r="AG112" s="317"/>
      <c r="AH112" s="317"/>
      <c r="AI112" s="317"/>
      <c r="AJ112" s="317"/>
      <c r="AK112" s="317"/>
      <c r="AL112" s="317"/>
      <c r="AM112" s="317"/>
      <c r="AN112" s="317"/>
      <c r="AO112" s="317"/>
      <c r="AP112" s="317"/>
      <c r="AQ112" s="317"/>
      <c r="AR112" s="317"/>
      <c r="AS112" s="317"/>
      <c r="AT112" s="317"/>
      <c r="AU112" s="317"/>
      <c r="AV112" s="317"/>
      <c r="AW112" s="317"/>
      <c r="AX112" s="317"/>
      <c r="AY112" s="317"/>
      <c r="AZ112" s="317"/>
      <c r="BA112" s="317"/>
      <c r="BB112" s="317"/>
      <c r="BC112" s="317"/>
      <c r="BD112" s="317"/>
      <c r="BE112" s="317"/>
      <c r="BF112" s="317"/>
      <c r="BG112" s="317"/>
      <c r="BH112" s="317"/>
      <c r="BI112" s="317"/>
      <c r="BJ112" s="317"/>
      <c r="BK112" s="317"/>
      <c r="BL112" s="317"/>
      <c r="BM112" s="222"/>
      <c r="BN112" s="222"/>
      <c r="BO112" s="222"/>
      <c r="BP112" s="222"/>
      <c r="BQ112" s="222"/>
      <c r="BR112" s="222"/>
      <c r="BS112" s="222"/>
      <c r="BT112" s="222"/>
      <c r="BU112" s="222"/>
      <c r="BV112" s="222"/>
      <c r="BW112" s="222"/>
      <c r="BX112" s="222"/>
      <c r="BY112" s="222"/>
      <c r="BZ112" s="222"/>
      <c r="CA112" s="222"/>
      <c r="CB112" s="222"/>
      <c r="CC112" s="222"/>
      <c r="CD112" s="222"/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2"/>
      <c r="CQ112" s="222"/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2"/>
      <c r="DD112" s="222"/>
      <c r="DE112" s="222"/>
      <c r="DF112" s="222"/>
      <c r="DG112" s="222"/>
      <c r="DH112" s="222"/>
      <c r="DI112" s="222"/>
      <c r="DJ112" s="222"/>
      <c r="DK112" s="222"/>
      <c r="DL112" s="222"/>
      <c r="DM112" s="222"/>
      <c r="DN112" s="222"/>
      <c r="DO112" s="222"/>
      <c r="DP112" s="222"/>
      <c r="DQ112" s="222"/>
      <c r="DR112" s="222"/>
      <c r="DS112" s="222"/>
      <c r="DT112" s="222"/>
      <c r="DU112" s="222"/>
      <c r="DV112" s="222"/>
      <c r="DW112" s="222"/>
      <c r="DX112" s="222"/>
      <c r="DY112" s="222"/>
      <c r="DZ112" s="222"/>
      <c r="EA112" s="222"/>
      <c r="EB112" s="222"/>
      <c r="EC112" s="222"/>
      <c r="ED112" s="222"/>
      <c r="EE112" s="222"/>
      <c r="EF112" s="222"/>
      <c r="EG112" s="222"/>
      <c r="EH112" s="222"/>
    </row>
    <row r="113" spans="1:138">
      <c r="A113" s="222"/>
      <c r="B113" s="318"/>
      <c r="C113" s="310" t="s">
        <v>294</v>
      </c>
      <c r="D113" s="311"/>
      <c r="E113" s="312">
        <f t="shared" ref="E113:BM113" si="38">-(E5+E6+E91+E92)</f>
        <v>0</v>
      </c>
      <c r="F113" s="312">
        <f t="shared" si="38"/>
        <v>0</v>
      </c>
      <c r="G113" s="312">
        <f t="shared" si="38"/>
        <v>0</v>
      </c>
      <c r="H113" s="312">
        <f t="shared" si="38"/>
        <v>-16365002</v>
      </c>
      <c r="I113" s="312">
        <f t="shared" si="38"/>
        <v>0</v>
      </c>
      <c r="J113" s="312">
        <f t="shared" si="38"/>
        <v>0</v>
      </c>
      <c r="K113" s="312">
        <f t="shared" si="38"/>
        <v>-885000</v>
      </c>
      <c r="L113" s="312">
        <f t="shared" si="38"/>
        <v>-1940000</v>
      </c>
      <c r="M113" s="312">
        <f t="shared" si="38"/>
        <v>-4260000</v>
      </c>
      <c r="N113" s="312">
        <f t="shared" si="38"/>
        <v>0</v>
      </c>
      <c r="O113" s="312">
        <f t="shared" si="38"/>
        <v>0</v>
      </c>
      <c r="P113" s="312">
        <f t="shared" si="38"/>
        <v>-800000</v>
      </c>
      <c r="Q113" s="312">
        <f t="shared" si="38"/>
        <v>0</v>
      </c>
      <c r="R113" s="312">
        <f t="shared" si="38"/>
        <v>0</v>
      </c>
      <c r="S113" s="312">
        <f t="shared" si="38"/>
        <v>0</v>
      </c>
      <c r="T113" s="312">
        <f t="shared" si="38"/>
        <v>0</v>
      </c>
      <c r="U113" s="312">
        <f t="shared" si="38"/>
        <v>0</v>
      </c>
      <c r="V113" s="312">
        <f t="shared" si="38"/>
        <v>0</v>
      </c>
      <c r="W113" s="312">
        <f t="shared" si="38"/>
        <v>0</v>
      </c>
      <c r="X113" s="312">
        <f t="shared" si="38"/>
        <v>0</v>
      </c>
      <c r="Y113" s="312">
        <f t="shared" si="38"/>
        <v>0</v>
      </c>
      <c r="Z113" s="312">
        <f t="shared" si="38"/>
        <v>0</v>
      </c>
      <c r="AA113" s="312">
        <f t="shared" si="38"/>
        <v>24250002</v>
      </c>
      <c r="AB113" s="312">
        <f t="shared" si="38"/>
        <v>0</v>
      </c>
      <c r="AC113" s="312">
        <f t="shared" si="38"/>
        <v>0</v>
      </c>
      <c r="AD113" s="312">
        <f t="shared" si="38"/>
        <v>0</v>
      </c>
      <c r="AE113" s="312">
        <f t="shared" si="38"/>
        <v>0</v>
      </c>
      <c r="AF113" s="312">
        <f t="shared" si="38"/>
        <v>0</v>
      </c>
      <c r="AG113" s="312">
        <f t="shared" si="38"/>
        <v>0</v>
      </c>
      <c r="AH113" s="312">
        <f t="shared" si="38"/>
        <v>0</v>
      </c>
      <c r="AI113" s="312">
        <f t="shared" si="38"/>
        <v>0</v>
      </c>
      <c r="AJ113" s="312">
        <f t="shared" si="38"/>
        <v>0</v>
      </c>
      <c r="AK113" s="312">
        <f t="shared" si="38"/>
        <v>0</v>
      </c>
      <c r="AL113" s="312">
        <f t="shared" si="38"/>
        <v>0</v>
      </c>
      <c r="AM113" s="312">
        <f t="shared" si="38"/>
        <v>0</v>
      </c>
      <c r="AN113" s="312">
        <f t="shared" si="38"/>
        <v>0</v>
      </c>
      <c r="AO113" s="312">
        <f t="shared" si="38"/>
        <v>0</v>
      </c>
      <c r="AP113" s="312">
        <f t="shared" si="38"/>
        <v>0</v>
      </c>
      <c r="AQ113" s="312">
        <f t="shared" si="38"/>
        <v>0</v>
      </c>
      <c r="AR113" s="312">
        <f t="shared" si="38"/>
        <v>0</v>
      </c>
      <c r="AS113" s="312">
        <f t="shared" si="38"/>
        <v>0</v>
      </c>
      <c r="AT113" s="312">
        <f t="shared" si="38"/>
        <v>0</v>
      </c>
      <c r="AU113" s="312">
        <f t="shared" si="38"/>
        <v>0</v>
      </c>
      <c r="AV113" s="312">
        <f t="shared" si="38"/>
        <v>0</v>
      </c>
      <c r="AW113" s="312">
        <f t="shared" si="38"/>
        <v>0</v>
      </c>
      <c r="AX113" s="312">
        <f t="shared" si="38"/>
        <v>0</v>
      </c>
      <c r="AY113" s="312">
        <f t="shared" si="38"/>
        <v>0</v>
      </c>
      <c r="AZ113" s="312">
        <f t="shared" si="38"/>
        <v>0</v>
      </c>
      <c r="BA113" s="312">
        <f t="shared" si="38"/>
        <v>0</v>
      </c>
      <c r="BB113" s="312">
        <f t="shared" si="38"/>
        <v>0</v>
      </c>
      <c r="BC113" s="312">
        <f t="shared" si="38"/>
        <v>0</v>
      </c>
      <c r="BD113" s="312">
        <f t="shared" si="38"/>
        <v>0</v>
      </c>
      <c r="BE113" s="312">
        <f t="shared" si="38"/>
        <v>0</v>
      </c>
      <c r="BF113" s="312">
        <f t="shared" si="38"/>
        <v>0</v>
      </c>
      <c r="BG113" s="312">
        <f t="shared" si="38"/>
        <v>0</v>
      </c>
      <c r="BH113" s="312">
        <f t="shared" si="38"/>
        <v>0</v>
      </c>
      <c r="BI113" s="312">
        <f t="shared" si="38"/>
        <v>0</v>
      </c>
      <c r="BJ113" s="312">
        <f t="shared" si="38"/>
        <v>0</v>
      </c>
      <c r="BK113" s="312">
        <f t="shared" si="38"/>
        <v>0</v>
      </c>
      <c r="BL113" s="312">
        <f t="shared" si="38"/>
        <v>0</v>
      </c>
      <c r="BM113" s="312">
        <f t="shared" si="38"/>
        <v>0</v>
      </c>
      <c r="BN113" s="312">
        <f t="shared" ref="BN113:BX113" si="39">-(BN5+BN91)</f>
        <v>0</v>
      </c>
      <c r="BO113" s="312">
        <f t="shared" si="39"/>
        <v>0</v>
      </c>
      <c r="BP113" s="312">
        <f t="shared" si="39"/>
        <v>0</v>
      </c>
      <c r="BQ113" s="312">
        <f t="shared" si="39"/>
        <v>0</v>
      </c>
      <c r="BR113" s="312">
        <f t="shared" si="39"/>
        <v>0</v>
      </c>
      <c r="BS113" s="312">
        <f t="shared" si="39"/>
        <v>0</v>
      </c>
      <c r="BT113" s="312">
        <f t="shared" si="39"/>
        <v>0</v>
      </c>
      <c r="BU113" s="312">
        <f t="shared" si="39"/>
        <v>0</v>
      </c>
      <c r="BV113" s="312">
        <f t="shared" si="39"/>
        <v>0</v>
      </c>
      <c r="BW113" s="312">
        <f t="shared" si="39"/>
        <v>0</v>
      </c>
      <c r="BX113" s="312">
        <f t="shared" si="39"/>
        <v>0</v>
      </c>
      <c r="BY113" s="222"/>
      <c r="BZ113" s="222"/>
      <c r="CA113" s="222"/>
      <c r="CB113" s="222"/>
      <c r="CC113" s="222"/>
      <c r="CD113" s="222"/>
      <c r="CE113" s="222"/>
      <c r="CF113" s="222"/>
      <c r="CG113" s="222"/>
      <c r="CH113" s="222"/>
      <c r="CI113" s="222"/>
      <c r="CJ113" s="222"/>
      <c r="CK113" s="222"/>
      <c r="CL113" s="222"/>
      <c r="CM113" s="222"/>
      <c r="CN113" s="222"/>
      <c r="CO113" s="222"/>
      <c r="CP113" s="222"/>
      <c r="CQ113" s="222"/>
      <c r="CR113" s="222"/>
      <c r="CS113" s="222"/>
      <c r="CT113" s="222"/>
      <c r="CU113" s="222"/>
      <c r="CV113" s="222"/>
      <c r="CW113" s="222"/>
      <c r="CX113" s="222"/>
      <c r="CY113" s="222"/>
      <c r="CZ113" s="222"/>
      <c r="DA113" s="222"/>
      <c r="DB113" s="222"/>
      <c r="DC113" s="222"/>
      <c r="DD113" s="222"/>
      <c r="DE113" s="222"/>
      <c r="DF113" s="222"/>
      <c r="DG113" s="222"/>
      <c r="DH113" s="222"/>
      <c r="DI113" s="222"/>
      <c r="DJ113" s="222"/>
      <c r="DK113" s="222"/>
      <c r="DL113" s="222"/>
      <c r="DM113" s="222"/>
      <c r="DN113" s="222"/>
      <c r="DO113" s="222"/>
      <c r="DP113" s="222"/>
      <c r="DQ113" s="222"/>
      <c r="DR113" s="222"/>
      <c r="DS113" s="222"/>
      <c r="DT113" s="222"/>
      <c r="DU113" s="222"/>
      <c r="DV113" s="222"/>
      <c r="DW113" s="222"/>
      <c r="DX113" s="222"/>
      <c r="DY113" s="222"/>
      <c r="DZ113" s="222"/>
      <c r="EA113" s="222"/>
      <c r="EB113" s="222"/>
      <c r="EC113" s="222"/>
      <c r="ED113" s="222"/>
      <c r="EE113" s="222"/>
      <c r="EF113" s="222"/>
      <c r="EG113" s="222"/>
      <c r="EH113" s="222"/>
    </row>
    <row r="114" spans="1:138">
      <c r="A114" s="222"/>
      <c r="B114" s="318"/>
      <c r="C114" s="310" t="s">
        <v>295</v>
      </c>
      <c r="D114" s="319"/>
      <c r="E114" s="311"/>
      <c r="F114" s="311"/>
      <c r="G114" s="311"/>
      <c r="H114" s="311">
        <f>-8333333</f>
        <v>-8333333</v>
      </c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222"/>
      <c r="BZ114" s="222"/>
      <c r="CA114" s="222"/>
      <c r="CB114" s="222"/>
      <c r="CC114" s="222"/>
      <c r="CD114" s="222"/>
      <c r="CE114" s="222"/>
      <c r="CF114" s="222"/>
      <c r="CG114" s="222"/>
      <c r="CH114" s="222"/>
      <c r="CI114" s="222"/>
      <c r="CJ114" s="222"/>
      <c r="CK114" s="222"/>
      <c r="CL114" s="222"/>
      <c r="CM114" s="222"/>
      <c r="CN114" s="222"/>
      <c r="CO114" s="222"/>
      <c r="CP114" s="222"/>
      <c r="CQ114" s="222"/>
      <c r="CR114" s="222"/>
      <c r="CS114" s="222"/>
      <c r="CT114" s="222"/>
      <c r="CU114" s="222"/>
      <c r="CV114" s="222"/>
      <c r="CW114" s="222"/>
      <c r="CX114" s="222"/>
      <c r="CY114" s="222"/>
      <c r="CZ114" s="222"/>
      <c r="DA114" s="222"/>
      <c r="DB114" s="222"/>
      <c r="DC114" s="222"/>
      <c r="DD114" s="222"/>
      <c r="DE114" s="222"/>
      <c r="DF114" s="222"/>
      <c r="DG114" s="222"/>
      <c r="DH114" s="222"/>
      <c r="DI114" s="222"/>
      <c r="DJ114" s="222"/>
      <c r="DK114" s="222"/>
      <c r="DL114" s="222"/>
      <c r="DM114" s="222"/>
      <c r="DN114" s="222"/>
      <c r="DO114" s="222"/>
      <c r="DP114" s="222"/>
      <c r="DQ114" s="222"/>
      <c r="DR114" s="222"/>
      <c r="DS114" s="222"/>
      <c r="DT114" s="222"/>
      <c r="DU114" s="222"/>
      <c r="DV114" s="222"/>
      <c r="DW114" s="222"/>
      <c r="DX114" s="222"/>
      <c r="DY114" s="222"/>
      <c r="DZ114" s="222"/>
      <c r="EA114" s="222"/>
      <c r="EB114" s="222"/>
      <c r="EC114" s="222"/>
      <c r="ED114" s="222"/>
      <c r="EE114" s="222"/>
      <c r="EF114" s="222"/>
      <c r="EG114" s="222"/>
      <c r="EH114" s="222"/>
    </row>
    <row r="115" spans="1:138">
      <c r="A115" s="222"/>
      <c r="B115" s="318"/>
      <c r="C115" s="310" t="s">
        <v>296</v>
      </c>
      <c r="D115" s="319"/>
      <c r="E115" s="311">
        <f t="shared" ref="E115:S115" si="40">-E56</f>
        <v>0</v>
      </c>
      <c r="F115" s="311">
        <f t="shared" si="40"/>
        <v>0</v>
      </c>
      <c r="G115" s="311">
        <f t="shared" si="40"/>
        <v>0</v>
      </c>
      <c r="H115" s="311">
        <f t="shared" si="40"/>
        <v>0</v>
      </c>
      <c r="I115" s="311">
        <f t="shared" si="40"/>
        <v>0</v>
      </c>
      <c r="J115" s="311">
        <f t="shared" si="40"/>
        <v>0</v>
      </c>
      <c r="K115" s="311">
        <f t="shared" si="40"/>
        <v>0</v>
      </c>
      <c r="L115" s="311">
        <f t="shared" si="40"/>
        <v>0</v>
      </c>
      <c r="M115" s="311">
        <f t="shared" si="40"/>
        <v>0</v>
      </c>
      <c r="N115" s="311">
        <f t="shared" si="40"/>
        <v>0</v>
      </c>
      <c r="O115" s="311">
        <f t="shared" si="40"/>
        <v>0</v>
      </c>
      <c r="P115" s="311">
        <f t="shared" si="40"/>
        <v>0</v>
      </c>
      <c r="Q115" s="311">
        <f t="shared" si="40"/>
        <v>0</v>
      </c>
      <c r="R115" s="311">
        <f t="shared" si="40"/>
        <v>0</v>
      </c>
      <c r="S115" s="311">
        <f t="shared" si="40"/>
        <v>0</v>
      </c>
      <c r="T115" s="311">
        <f>-T56-T57</f>
        <v>0</v>
      </c>
      <c r="U115" s="311">
        <f t="shared" ref="U115:BX115" si="41">-U56</f>
        <v>0</v>
      </c>
      <c r="V115" s="311">
        <f t="shared" si="41"/>
        <v>0</v>
      </c>
      <c r="W115" s="311">
        <f t="shared" si="41"/>
        <v>0</v>
      </c>
      <c r="X115" s="311">
        <f t="shared" si="41"/>
        <v>0</v>
      </c>
      <c r="Y115" s="311">
        <f t="shared" si="41"/>
        <v>0</v>
      </c>
      <c r="Z115" s="311">
        <f t="shared" si="41"/>
        <v>0</v>
      </c>
      <c r="AA115" s="311">
        <f t="shared" si="41"/>
        <v>0</v>
      </c>
      <c r="AB115" s="311">
        <f t="shared" si="41"/>
        <v>0</v>
      </c>
      <c r="AC115" s="311">
        <f t="shared" si="41"/>
        <v>0</v>
      </c>
      <c r="AD115" s="311">
        <f t="shared" si="41"/>
        <v>0</v>
      </c>
      <c r="AE115" s="311">
        <f t="shared" si="41"/>
        <v>0</v>
      </c>
      <c r="AF115" s="311">
        <f t="shared" si="41"/>
        <v>0</v>
      </c>
      <c r="AG115" s="311">
        <f t="shared" si="41"/>
        <v>0</v>
      </c>
      <c r="AH115" s="311">
        <f t="shared" si="41"/>
        <v>0</v>
      </c>
      <c r="AI115" s="311">
        <f t="shared" si="41"/>
        <v>0</v>
      </c>
      <c r="AJ115" s="311">
        <f t="shared" si="41"/>
        <v>0</v>
      </c>
      <c r="AK115" s="311">
        <f t="shared" si="41"/>
        <v>0</v>
      </c>
      <c r="AL115" s="311">
        <f t="shared" si="41"/>
        <v>0</v>
      </c>
      <c r="AM115" s="311">
        <f t="shared" si="41"/>
        <v>0</v>
      </c>
      <c r="AN115" s="311">
        <f t="shared" si="41"/>
        <v>0</v>
      </c>
      <c r="AO115" s="311">
        <f t="shared" si="41"/>
        <v>0</v>
      </c>
      <c r="AP115" s="311">
        <f t="shared" si="41"/>
        <v>0</v>
      </c>
      <c r="AQ115" s="311">
        <f t="shared" si="41"/>
        <v>0</v>
      </c>
      <c r="AR115" s="311">
        <f t="shared" si="41"/>
        <v>0</v>
      </c>
      <c r="AS115" s="311">
        <f t="shared" si="41"/>
        <v>0</v>
      </c>
      <c r="AT115" s="311">
        <f t="shared" si="41"/>
        <v>0</v>
      </c>
      <c r="AU115" s="311">
        <f t="shared" si="41"/>
        <v>0</v>
      </c>
      <c r="AV115" s="311">
        <f t="shared" si="41"/>
        <v>0</v>
      </c>
      <c r="AW115" s="311">
        <f t="shared" si="41"/>
        <v>0</v>
      </c>
      <c r="AX115" s="311">
        <f t="shared" si="41"/>
        <v>0</v>
      </c>
      <c r="AY115" s="311">
        <f t="shared" si="41"/>
        <v>0</v>
      </c>
      <c r="AZ115" s="311">
        <f t="shared" si="41"/>
        <v>0</v>
      </c>
      <c r="BA115" s="311">
        <f t="shared" si="41"/>
        <v>0</v>
      </c>
      <c r="BB115" s="311">
        <f t="shared" si="41"/>
        <v>0</v>
      </c>
      <c r="BC115" s="311">
        <f t="shared" si="41"/>
        <v>0</v>
      </c>
      <c r="BD115" s="311">
        <f t="shared" si="41"/>
        <v>0</v>
      </c>
      <c r="BE115" s="311">
        <f t="shared" si="41"/>
        <v>0</v>
      </c>
      <c r="BF115" s="311">
        <f t="shared" si="41"/>
        <v>0</v>
      </c>
      <c r="BG115" s="311">
        <f t="shared" si="41"/>
        <v>0</v>
      </c>
      <c r="BH115" s="311">
        <f t="shared" si="41"/>
        <v>0</v>
      </c>
      <c r="BI115" s="311">
        <f t="shared" si="41"/>
        <v>0</v>
      </c>
      <c r="BJ115" s="311">
        <f t="shared" si="41"/>
        <v>0</v>
      </c>
      <c r="BK115" s="311">
        <f t="shared" si="41"/>
        <v>0</v>
      </c>
      <c r="BL115" s="311">
        <f t="shared" si="41"/>
        <v>0</v>
      </c>
      <c r="BM115" s="311">
        <f t="shared" si="41"/>
        <v>0</v>
      </c>
      <c r="BN115" s="311">
        <f t="shared" si="41"/>
        <v>0</v>
      </c>
      <c r="BO115" s="311">
        <f t="shared" si="41"/>
        <v>0</v>
      </c>
      <c r="BP115" s="311">
        <f t="shared" si="41"/>
        <v>0</v>
      </c>
      <c r="BQ115" s="311">
        <f t="shared" si="41"/>
        <v>0</v>
      </c>
      <c r="BR115" s="311">
        <f t="shared" si="41"/>
        <v>0</v>
      </c>
      <c r="BS115" s="311">
        <f t="shared" si="41"/>
        <v>0</v>
      </c>
      <c r="BT115" s="311">
        <f t="shared" si="41"/>
        <v>0</v>
      </c>
      <c r="BU115" s="311">
        <f t="shared" si="41"/>
        <v>0</v>
      </c>
      <c r="BV115" s="311">
        <f t="shared" si="41"/>
        <v>0</v>
      </c>
      <c r="BW115" s="311">
        <f t="shared" si="41"/>
        <v>0</v>
      </c>
      <c r="BX115" s="311">
        <f t="shared" si="41"/>
        <v>0</v>
      </c>
      <c r="BY115" s="222"/>
      <c r="BZ115" s="238"/>
      <c r="CA115" s="222"/>
      <c r="CB115" s="222"/>
      <c r="CC115" s="222"/>
      <c r="CD115" s="222"/>
      <c r="CE115" s="222"/>
      <c r="CF115" s="222"/>
      <c r="CG115" s="222"/>
      <c r="CH115" s="222"/>
      <c r="CI115" s="222"/>
      <c r="CJ115" s="222"/>
      <c r="CK115" s="222"/>
      <c r="CL115" s="222"/>
      <c r="CM115" s="222"/>
      <c r="CN115" s="222"/>
      <c r="CO115" s="222"/>
      <c r="CP115" s="222"/>
      <c r="CQ115" s="222"/>
      <c r="CR115" s="222"/>
      <c r="CS115" s="222"/>
      <c r="CT115" s="222"/>
      <c r="CU115" s="222"/>
      <c r="CV115" s="222"/>
      <c r="CW115" s="222"/>
      <c r="CX115" s="222"/>
      <c r="CY115" s="222"/>
      <c r="CZ115" s="222"/>
      <c r="DA115" s="222"/>
      <c r="DB115" s="222"/>
      <c r="DC115" s="222"/>
      <c r="DD115" s="222"/>
      <c r="DE115" s="222"/>
      <c r="DF115" s="222"/>
      <c r="DG115" s="222"/>
      <c r="DH115" s="222"/>
      <c r="DI115" s="222"/>
      <c r="DJ115" s="222"/>
      <c r="DK115" s="222"/>
      <c r="DL115" s="222"/>
      <c r="DM115" s="222"/>
      <c r="DN115" s="222"/>
      <c r="DO115" s="222"/>
      <c r="DP115" s="222"/>
      <c r="DQ115" s="222"/>
      <c r="DR115" s="222"/>
      <c r="DS115" s="222"/>
      <c r="DT115" s="222"/>
      <c r="DU115" s="222"/>
      <c r="DV115" s="222"/>
      <c r="DW115" s="222"/>
      <c r="DX115" s="222"/>
      <c r="DY115" s="222"/>
      <c r="DZ115" s="222"/>
      <c r="EA115" s="222"/>
      <c r="EB115" s="222"/>
      <c r="EC115" s="222"/>
      <c r="ED115" s="222"/>
      <c r="EE115" s="222"/>
      <c r="EF115" s="222"/>
      <c r="EG115" s="222"/>
      <c r="EH115" s="222"/>
    </row>
    <row r="116" spans="1:138">
      <c r="A116" s="222"/>
      <c r="B116" s="318"/>
      <c r="C116" s="310" t="s">
        <v>297</v>
      </c>
      <c r="D116" s="319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/>
      <c r="AB116" s="311"/>
      <c r="AC116" s="311"/>
      <c r="AD116" s="311"/>
      <c r="AE116" s="311"/>
      <c r="AF116" s="311"/>
      <c r="AG116" s="311"/>
      <c r="AH116" s="311"/>
      <c r="AI116" s="311"/>
      <c r="AJ116" s="311"/>
      <c r="AK116" s="311"/>
      <c r="AL116" s="311"/>
      <c r="AM116" s="311"/>
      <c r="AN116" s="311"/>
      <c r="AO116" s="311"/>
      <c r="AP116" s="311"/>
      <c r="AQ116" s="311"/>
      <c r="AR116" s="311"/>
      <c r="AS116" s="311"/>
      <c r="AT116" s="311"/>
      <c r="AU116" s="311"/>
      <c r="AV116" s="311"/>
      <c r="AW116" s="311"/>
      <c r="AX116" s="311"/>
      <c r="AY116" s="311"/>
      <c r="AZ116" s="311"/>
      <c r="BA116" s="311"/>
      <c r="BB116" s="311"/>
      <c r="BC116" s="311"/>
      <c r="BD116" s="311"/>
      <c r="BE116" s="311"/>
      <c r="BF116" s="311"/>
      <c r="BG116" s="311"/>
      <c r="BH116" s="311"/>
      <c r="BI116" s="311"/>
      <c r="BJ116" s="311"/>
      <c r="BK116" s="311"/>
      <c r="BL116" s="311"/>
      <c r="BM116" s="311"/>
      <c r="BN116" s="311"/>
      <c r="BO116" s="311"/>
      <c r="BP116" s="311"/>
      <c r="BQ116" s="311"/>
      <c r="BR116" s="311"/>
      <c r="BS116" s="311"/>
      <c r="BT116" s="311"/>
      <c r="BU116" s="311"/>
      <c r="BV116" s="311"/>
      <c r="BW116" s="311"/>
      <c r="BX116" s="311">
        <f>IF(D106&gt;0.25,(BX101-BX109)*D118,BX101*D118)</f>
        <v>46299516.740012065</v>
      </c>
      <c r="BY116" s="222"/>
      <c r="BZ116" s="222"/>
      <c r="CA116" s="222"/>
      <c r="CB116" s="222"/>
      <c r="CC116" s="222"/>
      <c r="CD116" s="222"/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2"/>
      <c r="CQ116" s="222"/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2"/>
      <c r="DD116" s="222"/>
      <c r="DE116" s="222"/>
      <c r="DF116" s="222"/>
      <c r="DG116" s="222"/>
      <c r="DH116" s="222"/>
      <c r="DI116" s="222"/>
      <c r="DJ116" s="222"/>
      <c r="DK116" s="222"/>
      <c r="DL116" s="222"/>
      <c r="DM116" s="222"/>
      <c r="DN116" s="222"/>
      <c r="DO116" s="222"/>
      <c r="DP116" s="222"/>
      <c r="DQ116" s="222"/>
      <c r="DR116" s="222"/>
      <c r="DS116" s="222"/>
      <c r="DT116" s="222"/>
      <c r="DU116" s="222"/>
      <c r="DV116" s="222"/>
      <c r="DW116" s="222"/>
      <c r="DX116" s="222"/>
      <c r="DY116" s="222"/>
      <c r="DZ116" s="222"/>
      <c r="EA116" s="222"/>
      <c r="EB116" s="222"/>
      <c r="EC116" s="222"/>
      <c r="ED116" s="222"/>
      <c r="EE116" s="222"/>
      <c r="EF116" s="222"/>
      <c r="EG116" s="222"/>
      <c r="EH116" s="222"/>
    </row>
    <row r="117" spans="1:138">
      <c r="A117" s="222"/>
      <c r="B117" s="318"/>
      <c r="C117" s="310" t="s">
        <v>293</v>
      </c>
      <c r="D117" s="319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11"/>
      <c r="V117" s="311"/>
      <c r="W117" s="311"/>
      <c r="X117" s="311"/>
      <c r="Y117" s="311"/>
      <c r="Z117" s="311"/>
      <c r="AA117" s="311"/>
      <c r="AB117" s="311"/>
      <c r="AC117" s="311"/>
      <c r="AD117" s="311"/>
      <c r="AE117" s="311"/>
      <c r="AF117" s="311"/>
      <c r="AG117" s="311"/>
      <c r="AH117" s="311"/>
      <c r="AI117" s="311"/>
      <c r="AJ117" s="311"/>
      <c r="AK117" s="311"/>
      <c r="AL117" s="311"/>
      <c r="AM117" s="311"/>
      <c r="AN117" s="311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1"/>
      <c r="AZ117" s="311"/>
      <c r="BA117" s="311"/>
      <c r="BB117" s="311"/>
      <c r="BC117" s="311"/>
      <c r="BD117" s="311"/>
      <c r="BE117" s="311"/>
      <c r="BF117" s="311"/>
      <c r="BG117" s="311"/>
      <c r="BH117" s="311"/>
      <c r="BI117" s="311"/>
      <c r="BJ117" s="311"/>
      <c r="BK117" s="311"/>
      <c r="BL117" s="311"/>
      <c r="BM117" s="311"/>
      <c r="BN117" s="311"/>
      <c r="BO117" s="311"/>
      <c r="BP117" s="311"/>
      <c r="BQ117" s="311"/>
      <c r="BR117" s="311"/>
      <c r="BS117" s="311"/>
      <c r="BT117" s="311"/>
      <c r="BU117" s="311"/>
      <c r="BV117" s="311"/>
      <c r="BW117" s="311"/>
      <c r="BX117" s="311">
        <f>IF(D106&gt;0.25,BX109,0)</f>
        <v>11574879.185003018</v>
      </c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</row>
    <row r="118" spans="1:138">
      <c r="A118" s="222"/>
      <c r="B118" s="318"/>
      <c r="C118" s="313" t="s">
        <v>298</v>
      </c>
      <c r="D118" s="319">
        <v>1</v>
      </c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>
        <f>T101</f>
        <v>-6410060.032824629</v>
      </c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320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2"/>
      <c r="CQ118" s="222"/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2"/>
      <c r="DD118" s="222"/>
      <c r="DE118" s="222"/>
      <c r="DF118" s="222"/>
      <c r="DG118" s="222"/>
      <c r="DH118" s="222"/>
      <c r="DI118" s="222"/>
      <c r="DJ118" s="222"/>
      <c r="DK118" s="222"/>
      <c r="DL118" s="222"/>
      <c r="DM118" s="222"/>
      <c r="DN118" s="222"/>
      <c r="DO118" s="222"/>
      <c r="DP118" s="222"/>
      <c r="DQ118" s="222"/>
      <c r="DR118" s="222"/>
      <c r="DS118" s="222"/>
      <c r="DT118" s="222"/>
      <c r="DU118" s="222"/>
      <c r="DV118" s="222"/>
      <c r="DW118" s="222"/>
      <c r="DX118" s="222"/>
      <c r="DY118" s="222"/>
      <c r="DZ118" s="222"/>
      <c r="EA118" s="222"/>
      <c r="EB118" s="222"/>
      <c r="EC118" s="222"/>
      <c r="ED118" s="222"/>
      <c r="EE118" s="222"/>
      <c r="EF118" s="222"/>
      <c r="EG118" s="222"/>
      <c r="EH118" s="222"/>
    </row>
    <row r="119" spans="1:138">
      <c r="A119" s="222"/>
      <c r="B119" s="318"/>
      <c r="C119" s="310" t="s">
        <v>299</v>
      </c>
      <c r="D119" s="314"/>
      <c r="E119" s="321">
        <f t="shared" ref="E119:BW119" si="42">E113+E114+E115+E116+E118</f>
        <v>0</v>
      </c>
      <c r="F119" s="321">
        <f t="shared" si="42"/>
        <v>0</v>
      </c>
      <c r="G119" s="321">
        <f t="shared" si="42"/>
        <v>0</v>
      </c>
      <c r="H119" s="321">
        <f t="shared" si="42"/>
        <v>-24698335</v>
      </c>
      <c r="I119" s="321">
        <f t="shared" si="42"/>
        <v>0</v>
      </c>
      <c r="J119" s="321">
        <f t="shared" si="42"/>
        <v>0</v>
      </c>
      <c r="K119" s="321">
        <f t="shared" si="42"/>
        <v>-885000</v>
      </c>
      <c r="L119" s="321">
        <f t="shared" si="42"/>
        <v>-1940000</v>
      </c>
      <c r="M119" s="321">
        <f t="shared" si="42"/>
        <v>-4260000</v>
      </c>
      <c r="N119" s="321">
        <f t="shared" si="42"/>
        <v>0</v>
      </c>
      <c r="O119" s="321">
        <f t="shared" si="42"/>
        <v>0</v>
      </c>
      <c r="P119" s="321">
        <f t="shared" si="42"/>
        <v>-800000</v>
      </c>
      <c r="Q119" s="321">
        <f t="shared" si="42"/>
        <v>0</v>
      </c>
      <c r="R119" s="321">
        <f t="shared" si="42"/>
        <v>0</v>
      </c>
      <c r="S119" s="321">
        <f t="shared" si="42"/>
        <v>0</v>
      </c>
      <c r="T119" s="321">
        <f t="shared" si="42"/>
        <v>-6410060.032824629</v>
      </c>
      <c r="U119" s="321">
        <f t="shared" si="42"/>
        <v>0</v>
      </c>
      <c r="V119" s="321">
        <f t="shared" si="42"/>
        <v>0</v>
      </c>
      <c r="W119" s="321">
        <f t="shared" si="42"/>
        <v>0</v>
      </c>
      <c r="X119" s="321">
        <f t="shared" si="42"/>
        <v>0</v>
      </c>
      <c r="Y119" s="321">
        <f t="shared" si="42"/>
        <v>0</v>
      </c>
      <c r="Z119" s="321">
        <f t="shared" si="42"/>
        <v>0</v>
      </c>
      <c r="AA119" s="321">
        <f t="shared" si="42"/>
        <v>24250002</v>
      </c>
      <c r="AB119" s="321">
        <f t="shared" si="42"/>
        <v>0</v>
      </c>
      <c r="AC119" s="321">
        <f t="shared" si="42"/>
        <v>0</v>
      </c>
      <c r="AD119" s="321">
        <f t="shared" si="42"/>
        <v>0</v>
      </c>
      <c r="AE119" s="321">
        <f t="shared" si="42"/>
        <v>0</v>
      </c>
      <c r="AF119" s="321">
        <f t="shared" si="42"/>
        <v>0</v>
      </c>
      <c r="AG119" s="321">
        <f t="shared" si="42"/>
        <v>0</v>
      </c>
      <c r="AH119" s="321">
        <f t="shared" si="42"/>
        <v>0</v>
      </c>
      <c r="AI119" s="321">
        <f t="shared" si="42"/>
        <v>0</v>
      </c>
      <c r="AJ119" s="321">
        <f t="shared" si="42"/>
        <v>0</v>
      </c>
      <c r="AK119" s="321">
        <f t="shared" si="42"/>
        <v>0</v>
      </c>
      <c r="AL119" s="321">
        <f t="shared" si="42"/>
        <v>0</v>
      </c>
      <c r="AM119" s="321">
        <f t="shared" si="42"/>
        <v>0</v>
      </c>
      <c r="AN119" s="321">
        <f t="shared" si="42"/>
        <v>0</v>
      </c>
      <c r="AO119" s="321">
        <f t="shared" si="42"/>
        <v>0</v>
      </c>
      <c r="AP119" s="321">
        <f t="shared" si="42"/>
        <v>0</v>
      </c>
      <c r="AQ119" s="321">
        <f t="shared" si="42"/>
        <v>0</v>
      </c>
      <c r="AR119" s="321">
        <f t="shared" si="42"/>
        <v>0</v>
      </c>
      <c r="AS119" s="321">
        <f t="shared" si="42"/>
        <v>0</v>
      </c>
      <c r="AT119" s="321">
        <f t="shared" si="42"/>
        <v>0</v>
      </c>
      <c r="AU119" s="321">
        <f t="shared" si="42"/>
        <v>0</v>
      </c>
      <c r="AV119" s="321">
        <f t="shared" si="42"/>
        <v>0</v>
      </c>
      <c r="AW119" s="321">
        <f t="shared" si="42"/>
        <v>0</v>
      </c>
      <c r="AX119" s="321">
        <f t="shared" si="42"/>
        <v>0</v>
      </c>
      <c r="AY119" s="321">
        <f t="shared" si="42"/>
        <v>0</v>
      </c>
      <c r="AZ119" s="321">
        <f t="shared" si="42"/>
        <v>0</v>
      </c>
      <c r="BA119" s="321">
        <f t="shared" si="42"/>
        <v>0</v>
      </c>
      <c r="BB119" s="321">
        <f t="shared" si="42"/>
        <v>0</v>
      </c>
      <c r="BC119" s="321">
        <f t="shared" si="42"/>
        <v>0</v>
      </c>
      <c r="BD119" s="321">
        <f t="shared" si="42"/>
        <v>0</v>
      </c>
      <c r="BE119" s="321">
        <f t="shared" si="42"/>
        <v>0</v>
      </c>
      <c r="BF119" s="321">
        <f t="shared" si="42"/>
        <v>0</v>
      </c>
      <c r="BG119" s="321">
        <f t="shared" si="42"/>
        <v>0</v>
      </c>
      <c r="BH119" s="321">
        <f t="shared" si="42"/>
        <v>0</v>
      </c>
      <c r="BI119" s="321">
        <f t="shared" si="42"/>
        <v>0</v>
      </c>
      <c r="BJ119" s="321">
        <f t="shared" si="42"/>
        <v>0</v>
      </c>
      <c r="BK119" s="321">
        <f t="shared" si="42"/>
        <v>0</v>
      </c>
      <c r="BL119" s="321">
        <f t="shared" si="42"/>
        <v>0</v>
      </c>
      <c r="BM119" s="321">
        <f t="shared" si="42"/>
        <v>0</v>
      </c>
      <c r="BN119" s="321">
        <f t="shared" si="42"/>
        <v>0</v>
      </c>
      <c r="BO119" s="321">
        <f t="shared" si="42"/>
        <v>0</v>
      </c>
      <c r="BP119" s="321">
        <f t="shared" si="42"/>
        <v>0</v>
      </c>
      <c r="BQ119" s="321">
        <f t="shared" si="42"/>
        <v>0</v>
      </c>
      <c r="BR119" s="321">
        <f t="shared" si="42"/>
        <v>0</v>
      </c>
      <c r="BS119" s="321">
        <f t="shared" si="42"/>
        <v>0</v>
      </c>
      <c r="BT119" s="321">
        <f t="shared" si="42"/>
        <v>0</v>
      </c>
      <c r="BU119" s="321">
        <f t="shared" si="42"/>
        <v>0</v>
      </c>
      <c r="BV119" s="321">
        <f t="shared" si="42"/>
        <v>0</v>
      </c>
      <c r="BW119" s="321">
        <f t="shared" si="42"/>
        <v>0</v>
      </c>
      <c r="BX119" s="321">
        <f>BX113+BX114+BX115+BX116+BX117+BX118</f>
        <v>57874395.925015084</v>
      </c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  <c r="CY119" s="222"/>
      <c r="CZ119" s="222"/>
      <c r="DA119" s="222"/>
      <c r="DB119" s="222"/>
      <c r="DC119" s="222"/>
      <c r="DD119" s="222"/>
      <c r="DE119" s="222"/>
      <c r="DF119" s="222"/>
      <c r="DG119" s="222"/>
      <c r="DH119" s="222"/>
      <c r="DI119" s="222"/>
      <c r="DJ119" s="222"/>
      <c r="DK119" s="222"/>
      <c r="DL119" s="222"/>
      <c r="DM119" s="222"/>
      <c r="DN119" s="222"/>
      <c r="DO119" s="222"/>
      <c r="DP119" s="222"/>
      <c r="DQ119" s="222"/>
      <c r="DR119" s="222"/>
      <c r="DS119" s="222"/>
      <c r="DT119" s="222"/>
      <c r="DU119" s="222"/>
      <c r="DV119" s="222"/>
      <c r="DW119" s="222"/>
      <c r="DX119" s="222"/>
      <c r="DY119" s="222"/>
      <c r="DZ119" s="222"/>
      <c r="EA119" s="222"/>
      <c r="EB119" s="222"/>
      <c r="EC119" s="222"/>
      <c r="ED119" s="222"/>
      <c r="EE119" s="222"/>
      <c r="EF119" s="222"/>
      <c r="EG119" s="222"/>
      <c r="EH119" s="222"/>
    </row>
    <row r="120" spans="1:138">
      <c r="A120" s="222"/>
      <c r="B120" s="318"/>
      <c r="C120" s="313" t="s">
        <v>292</v>
      </c>
      <c r="D120" s="322">
        <f>IRR(E119:BX119)*12</f>
        <v>0.19434097500958458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2"/>
      <c r="BN120" s="222"/>
      <c r="BO120" s="222"/>
      <c r="BP120" s="222"/>
      <c r="BQ120" s="222"/>
      <c r="BR120" s="222"/>
      <c r="BS120" s="222"/>
      <c r="BT120" s="222"/>
      <c r="BU120" s="222"/>
      <c r="BV120" s="222"/>
      <c r="BW120" s="222"/>
      <c r="BX120" s="222"/>
      <c r="BY120" s="222"/>
      <c r="BZ120" s="222"/>
      <c r="CA120" s="222"/>
      <c r="CB120" s="222"/>
      <c r="CC120" s="222"/>
      <c r="CD120" s="222"/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2"/>
      <c r="CQ120" s="222"/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2"/>
      <c r="DD120" s="222"/>
      <c r="DE120" s="222"/>
      <c r="DF120" s="222"/>
      <c r="DG120" s="222"/>
      <c r="DH120" s="222"/>
      <c r="DI120" s="222"/>
      <c r="DJ120" s="222"/>
      <c r="DK120" s="222"/>
      <c r="DL120" s="222"/>
      <c r="DM120" s="222"/>
      <c r="DN120" s="222"/>
      <c r="DO120" s="222"/>
      <c r="DP120" s="222"/>
      <c r="DQ120" s="222"/>
      <c r="DR120" s="222"/>
      <c r="DS120" s="222"/>
      <c r="DT120" s="222"/>
      <c r="DU120" s="222"/>
      <c r="DV120" s="222"/>
      <c r="DW120" s="222"/>
      <c r="DX120" s="222"/>
      <c r="DY120" s="222"/>
      <c r="DZ120" s="222"/>
      <c r="EA120" s="222"/>
      <c r="EB120" s="222"/>
      <c r="EC120" s="222"/>
      <c r="ED120" s="222"/>
      <c r="EE120" s="222"/>
      <c r="EF120" s="222"/>
      <c r="EG120" s="222"/>
      <c r="EH120" s="222"/>
    </row>
    <row r="121" spans="1:138">
      <c r="A121" s="222"/>
      <c r="B121" s="318"/>
      <c r="C121" s="323" t="s">
        <v>300</v>
      </c>
      <c r="D121" s="324">
        <f>SUM(BY5:BY6)</f>
        <v>24250002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2"/>
      <c r="BN121" s="222"/>
      <c r="BO121" s="222"/>
      <c r="BP121" s="222"/>
      <c r="BQ121" s="222"/>
      <c r="BR121" s="222"/>
      <c r="BS121" s="222"/>
      <c r="BT121" s="222"/>
      <c r="BU121" s="222"/>
      <c r="BV121" s="222"/>
      <c r="BW121" s="222"/>
      <c r="BX121" s="222"/>
      <c r="BY121" s="222"/>
      <c r="BZ121" s="222"/>
      <c r="CA121" s="222"/>
      <c r="CB121" s="222"/>
      <c r="CC121" s="222"/>
      <c r="CD121" s="222"/>
      <c r="CE121" s="222"/>
      <c r="CF121" s="222"/>
      <c r="CG121" s="222"/>
      <c r="CH121" s="222"/>
      <c r="CI121" s="222"/>
      <c r="CJ121" s="222"/>
      <c r="CK121" s="222"/>
      <c r="CL121" s="222"/>
      <c r="CM121" s="222"/>
      <c r="CN121" s="222"/>
      <c r="CO121" s="222"/>
      <c r="CP121" s="222"/>
      <c r="CQ121" s="222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222"/>
      <c r="DC121" s="222"/>
      <c r="DD121" s="222"/>
      <c r="DE121" s="222"/>
      <c r="DF121" s="222"/>
      <c r="DG121" s="222"/>
      <c r="DH121" s="222"/>
      <c r="DI121" s="222"/>
      <c r="DJ121" s="222"/>
      <c r="DK121" s="222"/>
      <c r="DL121" s="222"/>
      <c r="DM121" s="222"/>
      <c r="DN121" s="222"/>
      <c r="DO121" s="222"/>
      <c r="DP121" s="222"/>
      <c r="DQ121" s="222"/>
      <c r="DR121" s="222"/>
      <c r="DS121" s="222"/>
      <c r="DT121" s="222"/>
      <c r="DU121" s="222"/>
      <c r="DV121" s="222"/>
      <c r="DW121" s="222"/>
      <c r="DX121" s="222"/>
      <c r="DY121" s="222"/>
      <c r="DZ121" s="222"/>
      <c r="EA121" s="222"/>
      <c r="EB121" s="222"/>
      <c r="EC121" s="222"/>
      <c r="ED121" s="222"/>
      <c r="EE121" s="222"/>
      <c r="EF121" s="222"/>
      <c r="EG121" s="222"/>
      <c r="EH121" s="222"/>
    </row>
    <row r="122" spans="1:138">
      <c r="A122" s="222"/>
      <c r="B122" s="318"/>
      <c r="C122" s="323" t="s">
        <v>301</v>
      </c>
      <c r="D122" s="324">
        <f>-SUM(E114:BM114)</f>
        <v>8333333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30">
        <f>SUM(Rentroll!$M$2:$M$4)</f>
        <v>613130.50199999986</v>
      </c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2"/>
      <c r="BO122" s="222"/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2"/>
      <c r="CB122" s="222"/>
      <c r="CC122" s="222"/>
      <c r="CD122" s="222"/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2"/>
      <c r="CQ122" s="222"/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22"/>
      <c r="DO122" s="222"/>
      <c r="DP122" s="222"/>
      <c r="DQ122" s="222"/>
      <c r="DR122" s="222"/>
      <c r="DS122" s="222"/>
      <c r="DT122" s="222"/>
      <c r="DU122" s="222"/>
      <c r="DV122" s="222"/>
      <c r="DW122" s="325"/>
      <c r="DX122" s="325"/>
      <c r="DY122" s="325"/>
      <c r="DZ122" s="325"/>
      <c r="EA122" s="325"/>
      <c r="EB122" s="325"/>
      <c r="EC122" s="325"/>
      <c r="ED122" s="325"/>
      <c r="EE122" s="325"/>
      <c r="EF122" s="325"/>
      <c r="EG122" s="325"/>
      <c r="EH122" s="325"/>
    </row>
    <row r="123" spans="1:138">
      <c r="A123" s="222"/>
      <c r="B123" s="318"/>
      <c r="C123" s="313" t="s">
        <v>302</v>
      </c>
      <c r="D123" s="326">
        <f>D121+D122</f>
        <v>32583335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605" t="s">
        <v>331</v>
      </c>
      <c r="T123" s="588"/>
      <c r="U123" s="222"/>
      <c r="V123" s="222">
        <f>T113+5000000+3333333</f>
        <v>8333333</v>
      </c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2"/>
      <c r="BN123" s="222"/>
      <c r="BO123" s="222"/>
      <c r="BP123" s="222"/>
      <c r="BQ123" s="222"/>
      <c r="BR123" s="222"/>
      <c r="BS123" s="222"/>
      <c r="BT123" s="222"/>
      <c r="BU123" s="222"/>
      <c r="BV123" s="222"/>
      <c r="BW123" s="222"/>
      <c r="BX123" s="222"/>
      <c r="BY123" s="222"/>
      <c r="BZ123" s="222"/>
      <c r="CA123" s="222"/>
      <c r="CB123" s="222"/>
      <c r="CC123" s="222"/>
      <c r="CD123" s="222"/>
      <c r="CE123" s="222"/>
      <c r="CF123" s="222"/>
      <c r="CG123" s="222"/>
      <c r="CH123" s="222"/>
      <c r="CI123" s="222"/>
      <c r="CJ123" s="222"/>
      <c r="CK123" s="222"/>
      <c r="CL123" s="222"/>
      <c r="CM123" s="222"/>
      <c r="CN123" s="222"/>
      <c r="CO123" s="222"/>
      <c r="CP123" s="222"/>
      <c r="CQ123" s="222"/>
      <c r="CR123" s="222"/>
      <c r="CS123" s="222"/>
      <c r="CT123" s="222"/>
      <c r="CU123" s="222"/>
      <c r="CV123" s="222"/>
      <c r="CW123" s="222"/>
      <c r="CX123" s="222"/>
      <c r="CY123" s="222"/>
      <c r="CZ123" s="222"/>
      <c r="DA123" s="222"/>
      <c r="DB123" s="222"/>
      <c r="DC123" s="222"/>
      <c r="DD123" s="222"/>
      <c r="DE123" s="222"/>
      <c r="DF123" s="222"/>
      <c r="DG123" s="222"/>
      <c r="DH123" s="222"/>
      <c r="DI123" s="222"/>
      <c r="DJ123" s="222"/>
      <c r="DK123" s="222"/>
      <c r="DL123" s="222"/>
      <c r="DM123" s="222"/>
      <c r="DN123" s="222"/>
      <c r="DO123" s="222"/>
      <c r="DP123" s="222"/>
      <c r="DQ123" s="222"/>
      <c r="DR123" s="222"/>
      <c r="DS123" s="222"/>
      <c r="DT123" s="222"/>
      <c r="DU123" s="222"/>
      <c r="DV123" s="222"/>
      <c r="DW123" s="325"/>
      <c r="DX123" s="325"/>
      <c r="DY123" s="325"/>
      <c r="DZ123" s="325"/>
      <c r="EA123" s="325"/>
      <c r="EB123" s="325"/>
      <c r="EC123" s="325"/>
      <c r="ED123" s="325"/>
      <c r="EE123" s="325"/>
      <c r="EF123" s="325"/>
      <c r="EG123" s="325"/>
      <c r="EH123" s="325"/>
    </row>
    <row r="124" spans="1:138">
      <c r="A124" s="222"/>
      <c r="B124" s="318"/>
      <c r="C124" s="313" t="s">
        <v>303</v>
      </c>
      <c r="D124" s="326">
        <f>T119-D121</f>
        <v>-30660062.032824628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605" t="s">
        <v>332</v>
      </c>
      <c r="T124" s="588"/>
      <c r="U124" s="222"/>
      <c r="V124" s="222">
        <f>V123+11000000</f>
        <v>19333333</v>
      </c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2"/>
      <c r="BV124" s="222"/>
      <c r="BW124" s="222"/>
      <c r="BX124" s="222"/>
      <c r="BY124" s="222"/>
      <c r="BZ124" s="238"/>
      <c r="CA124" s="222"/>
      <c r="CB124" s="222"/>
      <c r="CC124" s="222"/>
      <c r="CD124" s="222"/>
      <c r="CE124" s="222"/>
      <c r="CF124" s="222"/>
      <c r="CG124" s="222"/>
      <c r="CH124" s="222"/>
      <c r="CI124" s="222"/>
      <c r="CJ124" s="222"/>
      <c r="CK124" s="222"/>
      <c r="CL124" s="222"/>
      <c r="CM124" s="222"/>
      <c r="CN124" s="222"/>
      <c r="CO124" s="222"/>
      <c r="CP124" s="222"/>
      <c r="CQ124" s="222"/>
      <c r="CR124" s="222"/>
      <c r="CS124" s="222"/>
      <c r="CT124" s="222"/>
      <c r="CU124" s="222"/>
      <c r="CV124" s="222"/>
      <c r="CW124" s="222"/>
      <c r="CX124" s="222"/>
      <c r="CY124" s="222"/>
      <c r="CZ124" s="222"/>
      <c r="DA124" s="222"/>
      <c r="DB124" s="222"/>
      <c r="DC124" s="222"/>
      <c r="DD124" s="222"/>
      <c r="DE124" s="222"/>
      <c r="DF124" s="222"/>
      <c r="DG124" s="222"/>
      <c r="DH124" s="222"/>
      <c r="DI124" s="222"/>
      <c r="DJ124" s="222"/>
      <c r="DK124" s="222"/>
      <c r="DL124" s="222"/>
      <c r="DM124" s="222"/>
      <c r="DN124" s="222"/>
      <c r="DO124" s="222"/>
      <c r="DP124" s="222"/>
      <c r="DQ124" s="222"/>
      <c r="DR124" s="222"/>
      <c r="DS124" s="222"/>
      <c r="DT124" s="222"/>
      <c r="DU124" s="222"/>
      <c r="DV124" s="222"/>
      <c r="DW124" s="325"/>
      <c r="DX124" s="325"/>
      <c r="DY124" s="325"/>
      <c r="DZ124" s="325"/>
      <c r="EA124" s="325"/>
      <c r="EB124" s="325"/>
      <c r="EC124" s="325"/>
      <c r="ED124" s="325"/>
      <c r="EE124" s="325"/>
      <c r="EF124" s="325"/>
      <c r="EG124" s="325"/>
      <c r="EH124" s="325"/>
    </row>
    <row r="125" spans="1:138">
      <c r="A125" s="222"/>
      <c r="B125" s="318"/>
      <c r="C125" s="313" t="s">
        <v>147</v>
      </c>
      <c r="D125" s="322">
        <f>(D124-D122)/D123</f>
        <v>-1.1967281750878058</v>
      </c>
      <c r="E125" s="222"/>
      <c r="F125" s="238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 t="s">
        <v>333</v>
      </c>
      <c r="T125" s="222"/>
      <c r="U125" s="222"/>
      <c r="V125" s="222">
        <f>T119-V124</f>
        <v>-25743393.032824628</v>
      </c>
      <c r="W125" s="222"/>
      <c r="X125" s="222">
        <f>V124-T113-T101</f>
        <v>25743393.032824628</v>
      </c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325"/>
      <c r="DX125" s="325"/>
      <c r="DY125" s="325"/>
      <c r="DZ125" s="325"/>
      <c r="EA125" s="325"/>
      <c r="EB125" s="325"/>
      <c r="EC125" s="325"/>
      <c r="ED125" s="325"/>
      <c r="EE125" s="325"/>
      <c r="EF125" s="325"/>
      <c r="EG125" s="325"/>
      <c r="EH125" s="325"/>
    </row>
    <row r="126" spans="1:138">
      <c r="A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38" t="e">
        <f>V125/-J113</f>
        <v>#DIV/0!</v>
      </c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  <c r="BB126" s="222"/>
      <c r="BC126" s="222"/>
      <c r="BD126" s="222"/>
      <c r="BE126" s="222"/>
      <c r="BF126" s="222"/>
      <c r="BG126" s="222"/>
      <c r="BH126" s="222"/>
      <c r="BI126" s="222"/>
      <c r="BJ126" s="222"/>
      <c r="BK126" s="222"/>
      <c r="BL126" s="222"/>
      <c r="BM126" s="222"/>
      <c r="BN126" s="222"/>
      <c r="BO126" s="222"/>
      <c r="BP126" s="222"/>
      <c r="BQ126" s="222"/>
      <c r="BR126" s="222"/>
      <c r="BS126" s="222"/>
      <c r="BT126" s="222"/>
      <c r="BU126" s="222"/>
      <c r="BV126" s="222"/>
      <c r="BW126" s="222"/>
      <c r="BX126" s="222"/>
      <c r="BY126" s="222"/>
      <c r="BZ126" s="222"/>
      <c r="CA126" s="222"/>
      <c r="CB126" s="222"/>
      <c r="CC126" s="222"/>
      <c r="CD126" s="222"/>
      <c r="CE126" s="222"/>
      <c r="CF126" s="222"/>
      <c r="CG126" s="222"/>
      <c r="CH126" s="222"/>
      <c r="CI126" s="222"/>
      <c r="CJ126" s="222"/>
      <c r="CK126" s="222"/>
      <c r="CL126" s="222"/>
      <c r="CM126" s="222"/>
      <c r="CN126" s="222"/>
      <c r="CO126" s="222"/>
      <c r="CP126" s="222"/>
      <c r="CQ126" s="222"/>
      <c r="CR126" s="222"/>
      <c r="CS126" s="222"/>
      <c r="CT126" s="222"/>
      <c r="CU126" s="222"/>
      <c r="CV126" s="222"/>
      <c r="CW126" s="222"/>
      <c r="CX126" s="222"/>
      <c r="CY126" s="222"/>
      <c r="CZ126" s="222"/>
      <c r="DA126" s="222"/>
      <c r="DB126" s="222"/>
      <c r="DC126" s="222"/>
      <c r="DD126" s="222"/>
      <c r="DE126" s="222"/>
      <c r="DF126" s="222"/>
      <c r="DG126" s="222"/>
      <c r="DH126" s="222"/>
      <c r="DI126" s="222"/>
      <c r="DJ126" s="222"/>
      <c r="DK126" s="222"/>
      <c r="DL126" s="222"/>
      <c r="DM126" s="222"/>
      <c r="DN126" s="222"/>
      <c r="DO126" s="222"/>
      <c r="DP126" s="222"/>
      <c r="DQ126" s="222"/>
      <c r="DR126" s="222"/>
      <c r="DS126" s="222"/>
      <c r="DT126" s="222"/>
      <c r="DU126" s="222"/>
      <c r="DV126" s="222"/>
      <c r="DW126" s="325"/>
      <c r="DX126" s="325"/>
      <c r="DY126" s="325"/>
      <c r="DZ126" s="325"/>
      <c r="EA126" s="325"/>
      <c r="EB126" s="325"/>
      <c r="EC126" s="325"/>
      <c r="ED126" s="325"/>
      <c r="EE126" s="325"/>
      <c r="EF126" s="325"/>
      <c r="EG126" s="325"/>
      <c r="EH126" s="325"/>
    </row>
    <row r="127" spans="1:138">
      <c r="A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  <c r="BB127" s="222"/>
      <c r="BC127" s="222"/>
      <c r="BD127" s="222"/>
      <c r="BE127" s="222"/>
      <c r="BF127" s="222"/>
      <c r="BG127" s="222"/>
      <c r="BH127" s="222"/>
      <c r="BI127" s="222"/>
      <c r="BJ127" s="222"/>
      <c r="BK127" s="222"/>
      <c r="BL127" s="222"/>
      <c r="BM127" s="222"/>
      <c r="BN127" s="222"/>
      <c r="BO127" s="222"/>
      <c r="BP127" s="222"/>
      <c r="BQ127" s="222"/>
      <c r="BR127" s="222"/>
      <c r="BS127" s="222"/>
      <c r="BT127" s="222"/>
      <c r="BU127" s="222"/>
      <c r="BV127" s="222"/>
      <c r="BW127" s="222"/>
      <c r="BX127" s="222"/>
      <c r="BY127" s="222"/>
      <c r="BZ127" s="222"/>
      <c r="CA127" s="222"/>
      <c r="CB127" s="222"/>
      <c r="CC127" s="222"/>
      <c r="CD127" s="222"/>
      <c r="CE127" s="222"/>
      <c r="CF127" s="222"/>
      <c r="CG127" s="222"/>
      <c r="CH127" s="222"/>
      <c r="CI127" s="222"/>
      <c r="CJ127" s="222"/>
      <c r="CK127" s="222"/>
      <c r="CL127" s="222"/>
      <c r="CM127" s="222"/>
      <c r="CN127" s="222"/>
      <c r="CO127" s="222"/>
      <c r="CP127" s="222"/>
      <c r="CQ127" s="222"/>
      <c r="CR127" s="222"/>
      <c r="CS127" s="222"/>
      <c r="CT127" s="222"/>
      <c r="CU127" s="222"/>
      <c r="CV127" s="222"/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2"/>
      <c r="DI127" s="222"/>
      <c r="DJ127" s="222"/>
      <c r="DK127" s="222"/>
      <c r="DL127" s="222"/>
      <c r="DM127" s="222"/>
      <c r="DN127" s="222"/>
      <c r="DO127" s="222"/>
      <c r="DP127" s="222"/>
      <c r="DQ127" s="222"/>
      <c r="DR127" s="222"/>
      <c r="DS127" s="222"/>
      <c r="DT127" s="222"/>
      <c r="DU127" s="222"/>
      <c r="DV127" s="222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</row>
    <row r="128" spans="1:138">
      <c r="A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222"/>
      <c r="AF128" s="222"/>
      <c r="AG128" s="222"/>
      <c r="AH128" s="222"/>
      <c r="AI128" s="222"/>
      <c r="AJ128" s="222"/>
      <c r="AK128" s="222"/>
      <c r="AL128" s="222"/>
      <c r="AM128" s="222"/>
      <c r="AN128" s="222"/>
      <c r="AO128" s="222"/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22"/>
      <c r="BC128" s="222"/>
      <c r="BD128" s="222"/>
      <c r="BE128" s="222"/>
      <c r="BF128" s="222"/>
      <c r="BG128" s="222"/>
      <c r="BH128" s="222"/>
      <c r="BI128" s="222"/>
      <c r="BJ128" s="222"/>
      <c r="BK128" s="222"/>
      <c r="BL128" s="222"/>
      <c r="BM128" s="222"/>
      <c r="BN128" s="222"/>
      <c r="BO128" s="222"/>
      <c r="BP128" s="222"/>
      <c r="BQ128" s="222"/>
      <c r="BR128" s="222"/>
      <c r="BS128" s="222"/>
      <c r="BT128" s="222"/>
      <c r="BU128" s="222"/>
      <c r="BV128" s="222"/>
      <c r="BW128" s="222"/>
      <c r="BX128" s="222"/>
      <c r="BY128" s="222"/>
      <c r="BZ128" s="222"/>
      <c r="CA128" s="222"/>
      <c r="CB128" s="222"/>
      <c r="CC128" s="222"/>
      <c r="CD128" s="222"/>
      <c r="CE128" s="222"/>
      <c r="CF128" s="222"/>
      <c r="CG128" s="222"/>
      <c r="CH128" s="222"/>
      <c r="CI128" s="222"/>
      <c r="CJ128" s="222"/>
      <c r="CK128" s="222"/>
      <c r="CL128" s="222"/>
      <c r="CM128" s="222"/>
      <c r="CN128" s="222"/>
      <c r="CO128" s="222"/>
      <c r="CP128" s="222"/>
      <c r="CQ128" s="222"/>
      <c r="CR128" s="222"/>
      <c r="CS128" s="222"/>
      <c r="CT128" s="222"/>
      <c r="CU128" s="222"/>
      <c r="CV128" s="222"/>
      <c r="CW128" s="222"/>
      <c r="CX128" s="222"/>
      <c r="CY128" s="222"/>
      <c r="CZ128" s="222"/>
      <c r="DA128" s="222"/>
      <c r="DB128" s="222"/>
      <c r="DC128" s="222"/>
      <c r="DD128" s="222"/>
      <c r="DE128" s="222"/>
      <c r="DF128" s="222"/>
      <c r="DG128" s="222"/>
      <c r="DH128" s="222"/>
      <c r="DI128" s="222"/>
      <c r="DJ128" s="222"/>
      <c r="DK128" s="222"/>
      <c r="DL128" s="222"/>
      <c r="DM128" s="222"/>
      <c r="DN128" s="222"/>
      <c r="DO128" s="222"/>
      <c r="DP128" s="222"/>
      <c r="DQ128" s="222"/>
      <c r="DR128" s="222"/>
      <c r="DS128" s="222"/>
      <c r="DT128" s="222"/>
      <c r="DU128" s="222"/>
      <c r="DV128" s="222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</row>
    <row r="129" spans="1:138">
      <c r="A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2"/>
      <c r="AQ129" s="222"/>
      <c r="AR129" s="222"/>
      <c r="AS129" s="222"/>
      <c r="AT129" s="222"/>
      <c r="AU129" s="222"/>
      <c r="AV129" s="222"/>
      <c r="AW129" s="222"/>
      <c r="AX129" s="222"/>
      <c r="AY129" s="222"/>
      <c r="AZ129" s="222"/>
      <c r="BA129" s="222"/>
      <c r="BB129" s="222"/>
      <c r="BC129" s="222"/>
      <c r="BD129" s="222"/>
      <c r="BE129" s="222"/>
      <c r="BF129" s="222"/>
      <c r="BG129" s="222"/>
      <c r="BH129" s="222"/>
      <c r="BI129" s="222"/>
      <c r="BJ129" s="222"/>
      <c r="BK129" s="222"/>
      <c r="BL129" s="222"/>
      <c r="BM129" s="222"/>
      <c r="BN129" s="222"/>
      <c r="BO129" s="222"/>
      <c r="BP129" s="222"/>
      <c r="BQ129" s="222"/>
      <c r="BR129" s="222"/>
      <c r="BS129" s="222"/>
      <c r="BT129" s="222"/>
      <c r="BU129" s="222"/>
      <c r="BV129" s="222"/>
      <c r="BW129" s="222"/>
      <c r="BX129" s="222"/>
      <c r="BY129" s="222"/>
      <c r="BZ129" s="222"/>
      <c r="CA129" s="222"/>
      <c r="CB129" s="222"/>
      <c r="CC129" s="222"/>
      <c r="CD129" s="222"/>
      <c r="CE129" s="222"/>
      <c r="CF129" s="222"/>
      <c r="CG129" s="222"/>
      <c r="CH129" s="222"/>
      <c r="CI129" s="222"/>
      <c r="CJ129" s="222"/>
      <c r="CK129" s="222"/>
      <c r="CL129" s="222"/>
      <c r="CM129" s="222"/>
      <c r="CN129" s="222"/>
      <c r="CO129" s="222"/>
      <c r="CP129" s="222"/>
      <c r="CQ129" s="222"/>
      <c r="CR129" s="222"/>
      <c r="CS129" s="222"/>
      <c r="CT129" s="222"/>
      <c r="CU129" s="222"/>
      <c r="CV129" s="222"/>
      <c r="CW129" s="222"/>
      <c r="CX129" s="222"/>
      <c r="CY129" s="222"/>
      <c r="CZ129" s="222"/>
      <c r="DA129" s="222"/>
      <c r="DB129" s="222"/>
      <c r="DC129" s="222"/>
      <c r="DD129" s="222"/>
      <c r="DE129" s="222"/>
      <c r="DF129" s="222"/>
      <c r="DG129" s="222"/>
      <c r="DH129" s="222"/>
      <c r="DI129" s="222"/>
      <c r="DJ129" s="222"/>
      <c r="DK129" s="222"/>
      <c r="DL129" s="222"/>
      <c r="DM129" s="222"/>
      <c r="DN129" s="222"/>
      <c r="DO129" s="222"/>
      <c r="DP129" s="222"/>
      <c r="DQ129" s="222"/>
      <c r="DR129" s="222"/>
      <c r="DS129" s="222"/>
      <c r="DT129" s="222"/>
      <c r="DU129" s="222"/>
      <c r="DV129" s="222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</row>
    <row r="130" spans="1:138">
      <c r="A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222"/>
      <c r="AF130" s="222"/>
      <c r="AG130" s="222"/>
      <c r="AH130" s="222"/>
      <c r="AI130" s="222"/>
      <c r="AJ130" s="222"/>
      <c r="AK130" s="222"/>
      <c r="AL130" s="222"/>
      <c r="AM130" s="222"/>
      <c r="AN130" s="222"/>
      <c r="AO130" s="222"/>
      <c r="AP130" s="222"/>
      <c r="AQ130" s="222"/>
      <c r="AR130" s="222"/>
      <c r="AS130" s="222"/>
      <c r="AT130" s="222"/>
      <c r="AU130" s="222"/>
      <c r="AV130" s="222"/>
      <c r="AW130" s="222"/>
      <c r="AX130" s="222"/>
      <c r="AY130" s="222"/>
      <c r="AZ130" s="222"/>
      <c r="BA130" s="222"/>
      <c r="BB130" s="222"/>
      <c r="BC130" s="222"/>
      <c r="BD130" s="222"/>
      <c r="BE130" s="222"/>
      <c r="BF130" s="222"/>
      <c r="BG130" s="222"/>
      <c r="BH130" s="222"/>
      <c r="BI130" s="222"/>
      <c r="BJ130" s="222"/>
      <c r="BK130" s="222"/>
      <c r="BL130" s="222"/>
      <c r="BM130" s="222"/>
      <c r="BN130" s="222"/>
      <c r="BO130" s="222"/>
      <c r="BP130" s="222"/>
      <c r="BQ130" s="222"/>
      <c r="BR130" s="222"/>
      <c r="BS130" s="222"/>
      <c r="BT130" s="222"/>
      <c r="BU130" s="222"/>
      <c r="BV130" s="222"/>
      <c r="BW130" s="222"/>
      <c r="BX130" s="222"/>
      <c r="BY130" s="222"/>
      <c r="BZ130" s="222"/>
      <c r="CA130" s="222"/>
      <c r="CB130" s="222"/>
      <c r="CC130" s="222"/>
      <c r="CD130" s="222"/>
      <c r="CE130" s="222"/>
      <c r="CF130" s="222"/>
      <c r="CG130" s="222"/>
      <c r="CH130" s="222"/>
      <c r="CI130" s="222"/>
      <c r="CJ130" s="222"/>
      <c r="CK130" s="222"/>
      <c r="CL130" s="222"/>
      <c r="CM130" s="222"/>
      <c r="CN130" s="222"/>
      <c r="CO130" s="222"/>
      <c r="CP130" s="222"/>
      <c r="CQ130" s="222"/>
      <c r="CR130" s="222"/>
      <c r="CS130" s="222"/>
      <c r="CT130" s="222"/>
      <c r="CU130" s="222"/>
      <c r="CV130" s="222"/>
      <c r="CW130" s="222"/>
      <c r="CX130" s="222"/>
      <c r="CY130" s="222"/>
      <c r="CZ130" s="222"/>
      <c r="DA130" s="222"/>
      <c r="DB130" s="222"/>
      <c r="DC130" s="222"/>
      <c r="DD130" s="222"/>
      <c r="DE130" s="222"/>
      <c r="DF130" s="222"/>
      <c r="DG130" s="222"/>
      <c r="DH130" s="222"/>
      <c r="DI130" s="222"/>
      <c r="DJ130" s="222"/>
      <c r="DK130" s="222"/>
      <c r="DL130" s="222"/>
      <c r="DM130" s="222"/>
      <c r="DN130" s="222"/>
      <c r="DO130" s="222"/>
      <c r="DP130" s="222"/>
      <c r="DQ130" s="222"/>
      <c r="DR130" s="222"/>
      <c r="DS130" s="222"/>
      <c r="DT130" s="222"/>
      <c r="DU130" s="222"/>
      <c r="DV130" s="222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</row>
    <row r="131" spans="1:138">
      <c r="A131" s="222"/>
      <c r="B131" s="318"/>
      <c r="C131" s="310" t="s">
        <v>304</v>
      </c>
      <c r="D131" s="311"/>
      <c r="E131" s="311">
        <f t="shared" ref="E131:BX131" si="43">-(E6+E92)</f>
        <v>0</v>
      </c>
      <c r="F131" s="311">
        <f t="shared" si="43"/>
        <v>0</v>
      </c>
      <c r="G131" s="311">
        <f t="shared" si="43"/>
        <v>0</v>
      </c>
      <c r="H131" s="311">
        <f t="shared" si="43"/>
        <v>0</v>
      </c>
      <c r="I131" s="311">
        <f t="shared" si="43"/>
        <v>0</v>
      </c>
      <c r="J131" s="311">
        <f t="shared" si="43"/>
        <v>0</v>
      </c>
      <c r="K131" s="311">
        <f t="shared" si="43"/>
        <v>-885000</v>
      </c>
      <c r="L131" s="311">
        <f t="shared" si="43"/>
        <v>-1940000</v>
      </c>
      <c r="M131" s="311">
        <f t="shared" si="43"/>
        <v>-4260000</v>
      </c>
      <c r="N131" s="311">
        <f t="shared" si="43"/>
        <v>0</v>
      </c>
      <c r="O131" s="311">
        <f t="shared" si="43"/>
        <v>0</v>
      </c>
      <c r="P131" s="311">
        <f t="shared" si="43"/>
        <v>-800000</v>
      </c>
      <c r="Q131" s="311">
        <f t="shared" si="43"/>
        <v>0</v>
      </c>
      <c r="R131" s="311">
        <f t="shared" si="43"/>
        <v>0</v>
      </c>
      <c r="S131" s="311">
        <f t="shared" si="43"/>
        <v>0</v>
      </c>
      <c r="T131" s="311">
        <f t="shared" si="43"/>
        <v>0</v>
      </c>
      <c r="U131" s="311">
        <f t="shared" si="43"/>
        <v>0</v>
      </c>
      <c r="V131" s="311">
        <f t="shared" si="43"/>
        <v>0</v>
      </c>
      <c r="W131" s="311">
        <f t="shared" si="43"/>
        <v>0</v>
      </c>
      <c r="X131" s="311">
        <f t="shared" si="43"/>
        <v>0</v>
      </c>
      <c r="Y131" s="311">
        <f t="shared" si="43"/>
        <v>0</v>
      </c>
      <c r="Z131" s="311">
        <f t="shared" si="43"/>
        <v>0</v>
      </c>
      <c r="AA131" s="311">
        <f t="shared" si="43"/>
        <v>7885000</v>
      </c>
      <c r="AB131" s="311">
        <f t="shared" si="43"/>
        <v>0</v>
      </c>
      <c r="AC131" s="311">
        <f t="shared" si="43"/>
        <v>0</v>
      </c>
      <c r="AD131" s="311">
        <f t="shared" si="43"/>
        <v>0</v>
      </c>
      <c r="AE131" s="311">
        <f t="shared" si="43"/>
        <v>0</v>
      </c>
      <c r="AF131" s="311">
        <f t="shared" si="43"/>
        <v>0</v>
      </c>
      <c r="AG131" s="311">
        <f t="shared" si="43"/>
        <v>0</v>
      </c>
      <c r="AH131" s="311">
        <f t="shared" si="43"/>
        <v>0</v>
      </c>
      <c r="AI131" s="311">
        <f t="shared" si="43"/>
        <v>0</v>
      </c>
      <c r="AJ131" s="311">
        <f t="shared" si="43"/>
        <v>0</v>
      </c>
      <c r="AK131" s="311">
        <f t="shared" si="43"/>
        <v>0</v>
      </c>
      <c r="AL131" s="311">
        <f t="shared" si="43"/>
        <v>0</v>
      </c>
      <c r="AM131" s="311">
        <f t="shared" si="43"/>
        <v>0</v>
      </c>
      <c r="AN131" s="311">
        <f t="shared" si="43"/>
        <v>0</v>
      </c>
      <c r="AO131" s="311">
        <f t="shared" si="43"/>
        <v>0</v>
      </c>
      <c r="AP131" s="311">
        <f t="shared" si="43"/>
        <v>0</v>
      </c>
      <c r="AQ131" s="311">
        <f t="shared" si="43"/>
        <v>0</v>
      </c>
      <c r="AR131" s="311">
        <f t="shared" si="43"/>
        <v>0</v>
      </c>
      <c r="AS131" s="311">
        <f t="shared" si="43"/>
        <v>0</v>
      </c>
      <c r="AT131" s="311">
        <f t="shared" si="43"/>
        <v>0</v>
      </c>
      <c r="AU131" s="311">
        <f t="shared" si="43"/>
        <v>0</v>
      </c>
      <c r="AV131" s="311">
        <f t="shared" si="43"/>
        <v>0</v>
      </c>
      <c r="AW131" s="311">
        <f t="shared" si="43"/>
        <v>0</v>
      </c>
      <c r="AX131" s="311">
        <f t="shared" si="43"/>
        <v>0</v>
      </c>
      <c r="AY131" s="311">
        <f t="shared" si="43"/>
        <v>0</v>
      </c>
      <c r="AZ131" s="311">
        <f t="shared" si="43"/>
        <v>0</v>
      </c>
      <c r="BA131" s="311">
        <f t="shared" si="43"/>
        <v>0</v>
      </c>
      <c r="BB131" s="311">
        <f t="shared" si="43"/>
        <v>0</v>
      </c>
      <c r="BC131" s="311">
        <f t="shared" si="43"/>
        <v>0</v>
      </c>
      <c r="BD131" s="311">
        <f t="shared" si="43"/>
        <v>0</v>
      </c>
      <c r="BE131" s="311">
        <f t="shared" si="43"/>
        <v>0</v>
      </c>
      <c r="BF131" s="311">
        <f t="shared" si="43"/>
        <v>0</v>
      </c>
      <c r="BG131" s="311">
        <f t="shared" si="43"/>
        <v>0</v>
      </c>
      <c r="BH131" s="311">
        <f t="shared" si="43"/>
        <v>0</v>
      </c>
      <c r="BI131" s="311">
        <f t="shared" si="43"/>
        <v>0</v>
      </c>
      <c r="BJ131" s="311">
        <f t="shared" si="43"/>
        <v>0</v>
      </c>
      <c r="BK131" s="311">
        <f t="shared" si="43"/>
        <v>0</v>
      </c>
      <c r="BL131" s="311">
        <f t="shared" si="43"/>
        <v>0</v>
      </c>
      <c r="BM131" s="311">
        <f t="shared" si="43"/>
        <v>0</v>
      </c>
      <c r="BN131" s="311">
        <f t="shared" si="43"/>
        <v>0</v>
      </c>
      <c r="BO131" s="311">
        <f t="shared" si="43"/>
        <v>0</v>
      </c>
      <c r="BP131" s="311">
        <f t="shared" si="43"/>
        <v>0</v>
      </c>
      <c r="BQ131" s="311">
        <f t="shared" si="43"/>
        <v>0</v>
      </c>
      <c r="BR131" s="311">
        <f t="shared" si="43"/>
        <v>0</v>
      </c>
      <c r="BS131" s="311">
        <f t="shared" si="43"/>
        <v>0</v>
      </c>
      <c r="BT131" s="311">
        <f t="shared" si="43"/>
        <v>0</v>
      </c>
      <c r="BU131" s="311">
        <f t="shared" si="43"/>
        <v>0</v>
      </c>
      <c r="BV131" s="311">
        <f t="shared" si="43"/>
        <v>0</v>
      </c>
      <c r="BW131" s="311">
        <f t="shared" si="43"/>
        <v>0</v>
      </c>
      <c r="BX131" s="311">
        <f t="shared" si="43"/>
        <v>0</v>
      </c>
      <c r="BY131" s="222"/>
      <c r="BZ131" s="222"/>
      <c r="CA131" s="222"/>
      <c r="CB131" s="222"/>
      <c r="CC131" s="222"/>
      <c r="CD131" s="222"/>
      <c r="CE131" s="222"/>
      <c r="CF131" s="222"/>
      <c r="CG131" s="222"/>
      <c r="CH131" s="222"/>
      <c r="CI131" s="222"/>
      <c r="CJ131" s="222"/>
      <c r="CK131" s="222"/>
      <c r="CL131" s="222"/>
      <c r="CM131" s="222"/>
      <c r="CN131" s="222"/>
      <c r="CO131" s="222"/>
      <c r="CP131" s="222"/>
      <c r="CQ131" s="222"/>
      <c r="CR131" s="222"/>
      <c r="CS131" s="222"/>
      <c r="CT131" s="222"/>
      <c r="CU131" s="222"/>
      <c r="CV131" s="222"/>
      <c r="CW131" s="222"/>
      <c r="CX131" s="222"/>
      <c r="CY131" s="222"/>
      <c r="CZ131" s="222"/>
      <c r="DA131" s="222"/>
      <c r="DB131" s="222"/>
      <c r="DC131" s="222"/>
      <c r="DD131" s="222"/>
      <c r="DE131" s="222"/>
      <c r="DF131" s="222"/>
      <c r="DG131" s="222"/>
      <c r="DH131" s="222"/>
      <c r="DI131" s="222"/>
      <c r="DJ131" s="222"/>
      <c r="DK131" s="222"/>
      <c r="DL131" s="222"/>
      <c r="DM131" s="222"/>
      <c r="DN131" s="222"/>
      <c r="DO131" s="222"/>
      <c r="DP131" s="222"/>
      <c r="DQ131" s="222"/>
      <c r="DR131" s="222"/>
      <c r="DS131" s="222"/>
      <c r="DT131" s="222"/>
      <c r="DU131" s="222"/>
      <c r="DV131" s="222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</row>
    <row r="132" spans="1:138">
      <c r="A132" s="222"/>
      <c r="B132" s="318"/>
      <c r="C132" s="310" t="s">
        <v>305</v>
      </c>
      <c r="D132" s="319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  <c r="T132" s="311"/>
      <c r="U132" s="311"/>
      <c r="V132" s="311"/>
      <c r="W132" s="311"/>
      <c r="X132" s="311"/>
      <c r="Y132" s="311"/>
      <c r="Z132" s="311"/>
      <c r="AA132" s="311"/>
      <c r="AB132" s="311"/>
      <c r="AC132" s="311"/>
      <c r="AD132" s="311"/>
      <c r="AE132" s="311"/>
      <c r="AF132" s="311"/>
      <c r="AG132" s="311"/>
      <c r="AH132" s="311"/>
      <c r="AI132" s="311"/>
      <c r="AJ132" s="311"/>
      <c r="AK132" s="311"/>
      <c r="AL132" s="311"/>
      <c r="AM132" s="311"/>
      <c r="AN132" s="311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1"/>
      <c r="AZ132" s="311"/>
      <c r="BA132" s="311"/>
      <c r="BB132" s="311"/>
      <c r="BC132" s="311"/>
      <c r="BD132" s="311"/>
      <c r="BE132" s="311"/>
      <c r="BF132" s="311"/>
      <c r="BG132" s="311"/>
      <c r="BH132" s="311"/>
      <c r="BI132" s="311"/>
      <c r="BJ132" s="311"/>
      <c r="BK132" s="311"/>
      <c r="BL132" s="311"/>
      <c r="BM132" s="311"/>
      <c r="BN132" s="311"/>
      <c r="BO132" s="311"/>
      <c r="BP132" s="311"/>
      <c r="BQ132" s="311"/>
      <c r="BR132" s="311"/>
      <c r="BS132" s="311"/>
      <c r="BT132" s="311"/>
      <c r="BU132" s="311"/>
      <c r="BV132" s="311"/>
      <c r="BW132" s="311"/>
      <c r="BX132" s="311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2"/>
      <c r="DL132" s="222"/>
      <c r="DM132" s="222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</row>
    <row r="133" spans="1:138">
      <c r="A133" s="222"/>
      <c r="B133" s="318"/>
      <c r="C133" s="310" t="s">
        <v>296</v>
      </c>
      <c r="D133" s="319"/>
      <c r="E133" s="311">
        <f t="shared" ref="E133:BX133" si="44">-E57</f>
        <v>0</v>
      </c>
      <c r="F133" s="311">
        <f t="shared" si="44"/>
        <v>0</v>
      </c>
      <c r="G133" s="311">
        <f t="shared" si="44"/>
        <v>0</v>
      </c>
      <c r="H133" s="311">
        <f t="shared" si="44"/>
        <v>0</v>
      </c>
      <c r="I133" s="311">
        <f t="shared" si="44"/>
        <v>0</v>
      </c>
      <c r="J133" s="311">
        <f t="shared" si="44"/>
        <v>0</v>
      </c>
      <c r="K133" s="311">
        <f t="shared" si="44"/>
        <v>0</v>
      </c>
      <c r="L133" s="311">
        <f t="shared" si="44"/>
        <v>0</v>
      </c>
      <c r="M133" s="311">
        <f t="shared" si="44"/>
        <v>0</v>
      </c>
      <c r="N133" s="311">
        <f t="shared" si="44"/>
        <v>0</v>
      </c>
      <c r="O133" s="311">
        <f t="shared" si="44"/>
        <v>0</v>
      </c>
      <c r="P133" s="311">
        <f t="shared" si="44"/>
        <v>0</v>
      </c>
      <c r="Q133" s="311">
        <f t="shared" si="44"/>
        <v>0</v>
      </c>
      <c r="R133" s="311">
        <f t="shared" si="44"/>
        <v>0</v>
      </c>
      <c r="S133" s="311">
        <f t="shared" si="44"/>
        <v>0</v>
      </c>
      <c r="T133" s="311">
        <f t="shared" si="44"/>
        <v>0</v>
      </c>
      <c r="U133" s="311">
        <f t="shared" si="44"/>
        <v>0</v>
      </c>
      <c r="V133" s="311">
        <f t="shared" si="44"/>
        <v>0</v>
      </c>
      <c r="W133" s="311">
        <f t="shared" si="44"/>
        <v>0</v>
      </c>
      <c r="X133" s="311">
        <f t="shared" si="44"/>
        <v>0</v>
      </c>
      <c r="Y133" s="311">
        <f t="shared" si="44"/>
        <v>0</v>
      </c>
      <c r="Z133" s="311">
        <f t="shared" si="44"/>
        <v>0</v>
      </c>
      <c r="AA133" s="311">
        <f t="shared" si="44"/>
        <v>0</v>
      </c>
      <c r="AB133" s="311">
        <f t="shared" si="44"/>
        <v>0</v>
      </c>
      <c r="AC133" s="311">
        <f t="shared" si="44"/>
        <v>0</v>
      </c>
      <c r="AD133" s="311">
        <f t="shared" si="44"/>
        <v>0</v>
      </c>
      <c r="AE133" s="311">
        <f t="shared" si="44"/>
        <v>0</v>
      </c>
      <c r="AF133" s="311">
        <f t="shared" si="44"/>
        <v>0</v>
      </c>
      <c r="AG133" s="311">
        <f t="shared" si="44"/>
        <v>0</v>
      </c>
      <c r="AH133" s="311">
        <f t="shared" si="44"/>
        <v>0</v>
      </c>
      <c r="AI133" s="311">
        <f t="shared" si="44"/>
        <v>0</v>
      </c>
      <c r="AJ133" s="311">
        <f t="shared" si="44"/>
        <v>0</v>
      </c>
      <c r="AK133" s="311">
        <f t="shared" si="44"/>
        <v>0</v>
      </c>
      <c r="AL133" s="311">
        <f t="shared" si="44"/>
        <v>0</v>
      </c>
      <c r="AM133" s="311">
        <f t="shared" si="44"/>
        <v>0</v>
      </c>
      <c r="AN133" s="311">
        <f t="shared" si="44"/>
        <v>0</v>
      </c>
      <c r="AO133" s="311">
        <f t="shared" si="44"/>
        <v>0</v>
      </c>
      <c r="AP133" s="311">
        <f t="shared" si="44"/>
        <v>0</v>
      </c>
      <c r="AQ133" s="311">
        <f t="shared" si="44"/>
        <v>0</v>
      </c>
      <c r="AR133" s="311">
        <f t="shared" si="44"/>
        <v>0</v>
      </c>
      <c r="AS133" s="311">
        <f t="shared" si="44"/>
        <v>0</v>
      </c>
      <c r="AT133" s="311">
        <f t="shared" si="44"/>
        <v>0</v>
      </c>
      <c r="AU133" s="311">
        <f t="shared" si="44"/>
        <v>0</v>
      </c>
      <c r="AV133" s="311">
        <f t="shared" si="44"/>
        <v>0</v>
      </c>
      <c r="AW133" s="311">
        <f t="shared" si="44"/>
        <v>0</v>
      </c>
      <c r="AX133" s="311">
        <f t="shared" si="44"/>
        <v>0</v>
      </c>
      <c r="AY133" s="311">
        <f t="shared" si="44"/>
        <v>0</v>
      </c>
      <c r="AZ133" s="311">
        <f t="shared" si="44"/>
        <v>0</v>
      </c>
      <c r="BA133" s="311">
        <f t="shared" si="44"/>
        <v>0</v>
      </c>
      <c r="BB133" s="311">
        <f t="shared" si="44"/>
        <v>0</v>
      </c>
      <c r="BC133" s="311">
        <f t="shared" si="44"/>
        <v>0</v>
      </c>
      <c r="BD133" s="311">
        <f t="shared" si="44"/>
        <v>0</v>
      </c>
      <c r="BE133" s="311">
        <f t="shared" si="44"/>
        <v>0</v>
      </c>
      <c r="BF133" s="311">
        <f t="shared" si="44"/>
        <v>0</v>
      </c>
      <c r="BG133" s="311">
        <f t="shared" si="44"/>
        <v>0</v>
      </c>
      <c r="BH133" s="311">
        <f t="shared" si="44"/>
        <v>0</v>
      </c>
      <c r="BI133" s="311">
        <f t="shared" si="44"/>
        <v>0</v>
      </c>
      <c r="BJ133" s="311">
        <f t="shared" si="44"/>
        <v>0</v>
      </c>
      <c r="BK133" s="311">
        <f t="shared" si="44"/>
        <v>0</v>
      </c>
      <c r="BL133" s="311">
        <f t="shared" si="44"/>
        <v>0</v>
      </c>
      <c r="BM133" s="311">
        <f t="shared" si="44"/>
        <v>0</v>
      </c>
      <c r="BN133" s="311">
        <f t="shared" si="44"/>
        <v>0</v>
      </c>
      <c r="BO133" s="311">
        <f t="shared" si="44"/>
        <v>0</v>
      </c>
      <c r="BP133" s="311">
        <f t="shared" si="44"/>
        <v>0</v>
      </c>
      <c r="BQ133" s="311">
        <f t="shared" si="44"/>
        <v>0</v>
      </c>
      <c r="BR133" s="311">
        <f t="shared" si="44"/>
        <v>0</v>
      </c>
      <c r="BS133" s="311">
        <f t="shared" si="44"/>
        <v>0</v>
      </c>
      <c r="BT133" s="311">
        <f t="shared" si="44"/>
        <v>0</v>
      </c>
      <c r="BU133" s="311">
        <f t="shared" si="44"/>
        <v>0</v>
      </c>
      <c r="BV133" s="311">
        <f t="shared" si="44"/>
        <v>0</v>
      </c>
      <c r="BW133" s="311">
        <f t="shared" si="44"/>
        <v>0</v>
      </c>
      <c r="BX133" s="311">
        <f t="shared" si="44"/>
        <v>0</v>
      </c>
      <c r="BY133" s="222"/>
      <c r="BZ133" s="222"/>
      <c r="CA133" s="222"/>
      <c r="CB133" s="222"/>
      <c r="CC133" s="222"/>
      <c r="CD133" s="222"/>
      <c r="CE133" s="222"/>
      <c r="CF133" s="222"/>
      <c r="CG133" s="222"/>
      <c r="CH133" s="222"/>
      <c r="CI133" s="222"/>
      <c r="CJ133" s="222"/>
      <c r="CK133" s="222"/>
      <c r="CL133" s="222"/>
      <c r="CM133" s="222"/>
      <c r="CN133" s="222"/>
      <c r="CO133" s="222"/>
      <c r="CP133" s="222"/>
      <c r="CQ133" s="222"/>
      <c r="CR133" s="222"/>
      <c r="CS133" s="222"/>
      <c r="CT133" s="222"/>
      <c r="CU133" s="222"/>
      <c r="CV133" s="222"/>
      <c r="CW133" s="222"/>
      <c r="CX133" s="222"/>
      <c r="CY133" s="222"/>
      <c r="CZ133" s="222"/>
      <c r="DA133" s="222"/>
      <c r="DB133" s="222"/>
      <c r="DC133" s="222"/>
      <c r="DD133" s="222"/>
      <c r="DE133" s="222"/>
      <c r="DF133" s="222"/>
      <c r="DG133" s="222"/>
      <c r="DH133" s="222"/>
      <c r="DI133" s="222"/>
      <c r="DJ133" s="222"/>
      <c r="DK133" s="222"/>
      <c r="DL133" s="222"/>
      <c r="DM133" s="222"/>
      <c r="DN133" s="222"/>
      <c r="DO133" s="222"/>
      <c r="DP133" s="222"/>
      <c r="DQ133" s="222"/>
      <c r="DR133" s="222"/>
      <c r="DS133" s="222"/>
      <c r="DT133" s="222"/>
      <c r="DU133" s="222"/>
      <c r="DV133" s="222"/>
      <c r="DW133" s="325"/>
      <c r="DX133" s="325"/>
      <c r="DY133" s="325"/>
      <c r="DZ133" s="325"/>
      <c r="EA133" s="325"/>
      <c r="EB133" s="325"/>
      <c r="EC133" s="325"/>
      <c r="ED133" s="325"/>
      <c r="EE133" s="325"/>
      <c r="EF133" s="325"/>
      <c r="EG133" s="325"/>
      <c r="EH133" s="325"/>
    </row>
    <row r="134" spans="1:138">
      <c r="A134" s="222"/>
      <c r="B134" s="318"/>
      <c r="C134" s="310" t="s">
        <v>297</v>
      </c>
      <c r="D134" s="319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  <c r="O134" s="311"/>
      <c r="P134" s="311"/>
      <c r="Q134" s="311"/>
      <c r="R134" s="311"/>
      <c r="S134" s="311"/>
      <c r="T134" s="311">
        <f>T101-T150-T166-T182</f>
        <v>-17410060.032824628</v>
      </c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1"/>
      <c r="AJ134" s="311"/>
      <c r="AK134" s="311"/>
      <c r="AL134" s="311"/>
      <c r="AM134" s="311"/>
      <c r="AN134" s="311"/>
      <c r="AO134" s="311"/>
      <c r="AP134" s="311"/>
      <c r="AQ134" s="311"/>
      <c r="AR134" s="311"/>
      <c r="AS134" s="311"/>
      <c r="AT134" s="311"/>
      <c r="AU134" s="311"/>
      <c r="AV134" s="311"/>
      <c r="AW134" s="311"/>
      <c r="AX134" s="311"/>
      <c r="AY134" s="311"/>
      <c r="AZ134" s="311"/>
      <c r="BA134" s="311"/>
      <c r="BB134" s="311"/>
      <c r="BC134" s="311"/>
      <c r="BD134" s="311"/>
      <c r="BE134" s="311"/>
      <c r="BF134" s="311"/>
      <c r="BG134" s="311"/>
      <c r="BH134" s="311"/>
      <c r="BI134" s="311"/>
      <c r="BJ134" s="311"/>
      <c r="BK134" s="311"/>
      <c r="BL134" s="311"/>
      <c r="BM134" s="311"/>
      <c r="BN134" s="311"/>
      <c r="BO134" s="311"/>
      <c r="BP134" s="311"/>
      <c r="BQ134" s="311"/>
      <c r="BR134" s="311"/>
      <c r="BS134" s="311"/>
      <c r="BT134" s="311"/>
      <c r="BU134" s="311"/>
      <c r="BV134" s="311"/>
      <c r="BW134" s="311"/>
      <c r="BX134" s="311">
        <f>IF(D106&gt;0.25,(BX101-BX109)*D135,BX101*D135)</f>
        <v>0</v>
      </c>
      <c r="BY134" s="222"/>
      <c r="BZ134" s="222"/>
      <c r="CA134" s="222"/>
      <c r="CB134" s="222"/>
      <c r="CC134" s="222"/>
      <c r="CD134" s="222"/>
      <c r="CE134" s="222"/>
      <c r="CF134" s="222"/>
      <c r="CG134" s="222"/>
      <c r="CH134" s="222"/>
      <c r="CI134" s="222"/>
      <c r="CJ134" s="222"/>
      <c r="CK134" s="222"/>
      <c r="CL134" s="222"/>
      <c r="CM134" s="222"/>
      <c r="CN134" s="222"/>
      <c r="CO134" s="222"/>
      <c r="CP134" s="222"/>
      <c r="CQ134" s="222"/>
      <c r="CR134" s="222"/>
      <c r="CS134" s="222"/>
      <c r="CT134" s="222"/>
      <c r="CU134" s="222"/>
      <c r="CV134" s="222"/>
      <c r="CW134" s="222"/>
      <c r="CX134" s="222"/>
      <c r="CY134" s="222"/>
      <c r="CZ134" s="222"/>
      <c r="DA134" s="222"/>
      <c r="DB134" s="222"/>
      <c r="DC134" s="222"/>
      <c r="DD134" s="222"/>
      <c r="DE134" s="222"/>
      <c r="DF134" s="222"/>
      <c r="DG134" s="222"/>
      <c r="DH134" s="222"/>
      <c r="DI134" s="222"/>
      <c r="DJ134" s="222"/>
      <c r="DK134" s="222"/>
      <c r="DL134" s="222"/>
      <c r="DM134" s="222"/>
      <c r="DN134" s="222"/>
      <c r="DO134" s="222"/>
      <c r="DP134" s="222"/>
      <c r="DQ134" s="222"/>
      <c r="DR134" s="222"/>
      <c r="DS134" s="222"/>
      <c r="DT134" s="222"/>
      <c r="DU134" s="222"/>
      <c r="DV134" s="222"/>
      <c r="DW134" s="325"/>
      <c r="DX134" s="325"/>
      <c r="DY134" s="325"/>
      <c r="DZ134" s="325"/>
      <c r="EA134" s="325"/>
      <c r="EB134" s="325"/>
      <c r="EC134" s="325"/>
      <c r="ED134" s="325"/>
      <c r="EE134" s="325"/>
      <c r="EF134" s="325"/>
      <c r="EG134" s="325"/>
      <c r="EH134" s="325"/>
    </row>
    <row r="135" spans="1:138">
      <c r="A135" s="222"/>
      <c r="B135" s="318"/>
      <c r="C135" s="313" t="s">
        <v>298</v>
      </c>
      <c r="D135" s="319">
        <v>0</v>
      </c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22"/>
      <c r="BZ135" s="222"/>
      <c r="CA135" s="222"/>
      <c r="CB135" s="222"/>
      <c r="CC135" s="222"/>
      <c r="CD135" s="222"/>
      <c r="CE135" s="222"/>
      <c r="CF135" s="222"/>
      <c r="CG135" s="222"/>
      <c r="CH135" s="222"/>
      <c r="CI135" s="222"/>
      <c r="CJ135" s="222"/>
      <c r="CK135" s="222"/>
      <c r="CL135" s="222"/>
      <c r="CM135" s="222"/>
      <c r="CN135" s="222"/>
      <c r="CO135" s="222"/>
      <c r="CP135" s="222"/>
      <c r="CQ135" s="222"/>
      <c r="CR135" s="222"/>
      <c r="CS135" s="222"/>
      <c r="CT135" s="222"/>
      <c r="CU135" s="222"/>
      <c r="CV135" s="222"/>
      <c r="CW135" s="222"/>
      <c r="CX135" s="222"/>
      <c r="CY135" s="222"/>
      <c r="CZ135" s="222"/>
      <c r="DA135" s="222"/>
      <c r="DB135" s="222"/>
      <c r="DC135" s="222"/>
      <c r="DD135" s="222"/>
      <c r="DE135" s="222"/>
      <c r="DF135" s="222"/>
      <c r="DG135" s="222"/>
      <c r="DH135" s="222"/>
      <c r="DI135" s="222"/>
      <c r="DJ135" s="222"/>
      <c r="DK135" s="222"/>
      <c r="DL135" s="222"/>
      <c r="DM135" s="222"/>
      <c r="DN135" s="222"/>
      <c r="DO135" s="222"/>
      <c r="DP135" s="222"/>
      <c r="DQ135" s="222"/>
      <c r="DR135" s="222"/>
      <c r="DS135" s="222"/>
      <c r="DT135" s="222"/>
      <c r="DU135" s="222"/>
      <c r="DV135" s="222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</row>
    <row r="136" spans="1:138">
      <c r="A136" s="222"/>
      <c r="B136" s="318"/>
      <c r="C136" s="310" t="s">
        <v>299</v>
      </c>
      <c r="D136" s="311"/>
      <c r="E136" s="321">
        <f t="shared" ref="E136:BX136" si="45">E131+E132+E133+E134+E135</f>
        <v>0</v>
      </c>
      <c r="F136" s="321">
        <f t="shared" si="45"/>
        <v>0</v>
      </c>
      <c r="G136" s="321">
        <f t="shared" si="45"/>
        <v>0</v>
      </c>
      <c r="H136" s="321">
        <f t="shared" si="45"/>
        <v>0</v>
      </c>
      <c r="I136" s="321">
        <f t="shared" si="45"/>
        <v>0</v>
      </c>
      <c r="J136" s="321">
        <f t="shared" si="45"/>
        <v>0</v>
      </c>
      <c r="K136" s="321">
        <f t="shared" si="45"/>
        <v>-885000</v>
      </c>
      <c r="L136" s="321">
        <f t="shared" si="45"/>
        <v>-1940000</v>
      </c>
      <c r="M136" s="321">
        <f t="shared" si="45"/>
        <v>-4260000</v>
      </c>
      <c r="N136" s="321">
        <f t="shared" si="45"/>
        <v>0</v>
      </c>
      <c r="O136" s="321">
        <f t="shared" si="45"/>
        <v>0</v>
      </c>
      <c r="P136" s="321">
        <f t="shared" si="45"/>
        <v>-800000</v>
      </c>
      <c r="Q136" s="321">
        <f t="shared" si="45"/>
        <v>0</v>
      </c>
      <c r="R136" s="321">
        <f t="shared" si="45"/>
        <v>0</v>
      </c>
      <c r="S136" s="321">
        <f t="shared" si="45"/>
        <v>0</v>
      </c>
      <c r="T136" s="321">
        <f t="shared" si="45"/>
        <v>-17410060.032824628</v>
      </c>
      <c r="U136" s="321">
        <f t="shared" si="45"/>
        <v>0</v>
      </c>
      <c r="V136" s="321">
        <f t="shared" si="45"/>
        <v>0</v>
      </c>
      <c r="W136" s="321">
        <f t="shared" si="45"/>
        <v>0</v>
      </c>
      <c r="X136" s="321">
        <f t="shared" si="45"/>
        <v>0</v>
      </c>
      <c r="Y136" s="321">
        <f t="shared" si="45"/>
        <v>0</v>
      </c>
      <c r="Z136" s="321">
        <f t="shared" si="45"/>
        <v>0</v>
      </c>
      <c r="AA136" s="321">
        <f t="shared" si="45"/>
        <v>7885000</v>
      </c>
      <c r="AB136" s="321">
        <f t="shared" si="45"/>
        <v>0</v>
      </c>
      <c r="AC136" s="321">
        <f t="shared" si="45"/>
        <v>0</v>
      </c>
      <c r="AD136" s="321">
        <f t="shared" si="45"/>
        <v>0</v>
      </c>
      <c r="AE136" s="321">
        <f t="shared" si="45"/>
        <v>0</v>
      </c>
      <c r="AF136" s="321">
        <f t="shared" si="45"/>
        <v>0</v>
      </c>
      <c r="AG136" s="321">
        <f t="shared" si="45"/>
        <v>0</v>
      </c>
      <c r="AH136" s="321">
        <f t="shared" si="45"/>
        <v>0</v>
      </c>
      <c r="AI136" s="321">
        <f t="shared" si="45"/>
        <v>0</v>
      </c>
      <c r="AJ136" s="321">
        <f t="shared" si="45"/>
        <v>0</v>
      </c>
      <c r="AK136" s="321">
        <f t="shared" si="45"/>
        <v>0</v>
      </c>
      <c r="AL136" s="321">
        <f t="shared" si="45"/>
        <v>0</v>
      </c>
      <c r="AM136" s="321">
        <f t="shared" si="45"/>
        <v>0</v>
      </c>
      <c r="AN136" s="321">
        <f t="shared" si="45"/>
        <v>0</v>
      </c>
      <c r="AO136" s="321">
        <f t="shared" si="45"/>
        <v>0</v>
      </c>
      <c r="AP136" s="321">
        <f t="shared" si="45"/>
        <v>0</v>
      </c>
      <c r="AQ136" s="321">
        <f t="shared" si="45"/>
        <v>0</v>
      </c>
      <c r="AR136" s="321">
        <f t="shared" si="45"/>
        <v>0</v>
      </c>
      <c r="AS136" s="321">
        <f t="shared" si="45"/>
        <v>0</v>
      </c>
      <c r="AT136" s="321">
        <f t="shared" si="45"/>
        <v>0</v>
      </c>
      <c r="AU136" s="321">
        <f t="shared" si="45"/>
        <v>0</v>
      </c>
      <c r="AV136" s="321">
        <f t="shared" si="45"/>
        <v>0</v>
      </c>
      <c r="AW136" s="321">
        <f t="shared" si="45"/>
        <v>0</v>
      </c>
      <c r="AX136" s="321">
        <f t="shared" si="45"/>
        <v>0</v>
      </c>
      <c r="AY136" s="321">
        <f t="shared" si="45"/>
        <v>0</v>
      </c>
      <c r="AZ136" s="321">
        <f t="shared" si="45"/>
        <v>0</v>
      </c>
      <c r="BA136" s="321">
        <f t="shared" si="45"/>
        <v>0</v>
      </c>
      <c r="BB136" s="321">
        <f t="shared" si="45"/>
        <v>0</v>
      </c>
      <c r="BC136" s="321">
        <f t="shared" si="45"/>
        <v>0</v>
      </c>
      <c r="BD136" s="321">
        <f t="shared" si="45"/>
        <v>0</v>
      </c>
      <c r="BE136" s="321">
        <f t="shared" si="45"/>
        <v>0</v>
      </c>
      <c r="BF136" s="321">
        <f t="shared" si="45"/>
        <v>0</v>
      </c>
      <c r="BG136" s="321">
        <f t="shared" si="45"/>
        <v>0</v>
      </c>
      <c r="BH136" s="321">
        <f t="shared" si="45"/>
        <v>0</v>
      </c>
      <c r="BI136" s="321">
        <f t="shared" si="45"/>
        <v>0</v>
      </c>
      <c r="BJ136" s="321">
        <f t="shared" si="45"/>
        <v>0</v>
      </c>
      <c r="BK136" s="321">
        <f t="shared" si="45"/>
        <v>0</v>
      </c>
      <c r="BL136" s="321">
        <f t="shared" si="45"/>
        <v>0</v>
      </c>
      <c r="BM136" s="321">
        <f t="shared" si="45"/>
        <v>0</v>
      </c>
      <c r="BN136" s="321">
        <f t="shared" si="45"/>
        <v>0</v>
      </c>
      <c r="BO136" s="321">
        <f t="shared" si="45"/>
        <v>0</v>
      </c>
      <c r="BP136" s="321">
        <f t="shared" si="45"/>
        <v>0</v>
      </c>
      <c r="BQ136" s="321">
        <f t="shared" si="45"/>
        <v>0</v>
      </c>
      <c r="BR136" s="321">
        <f t="shared" si="45"/>
        <v>0</v>
      </c>
      <c r="BS136" s="321">
        <f t="shared" si="45"/>
        <v>0</v>
      </c>
      <c r="BT136" s="321">
        <f t="shared" si="45"/>
        <v>0</v>
      </c>
      <c r="BU136" s="321">
        <f t="shared" si="45"/>
        <v>0</v>
      </c>
      <c r="BV136" s="321">
        <f t="shared" si="45"/>
        <v>0</v>
      </c>
      <c r="BW136" s="321">
        <f t="shared" si="45"/>
        <v>0</v>
      </c>
      <c r="BX136" s="321">
        <f t="shared" si="45"/>
        <v>0</v>
      </c>
      <c r="BY136" s="222"/>
      <c r="BZ136" s="222"/>
      <c r="CA136" s="222"/>
      <c r="CB136" s="222"/>
      <c r="CC136" s="222"/>
      <c r="CD136" s="222"/>
      <c r="CE136" s="222"/>
      <c r="CF136" s="222"/>
      <c r="CG136" s="222"/>
      <c r="CH136" s="222"/>
      <c r="CI136" s="222"/>
      <c r="CJ136" s="222"/>
      <c r="CK136" s="222"/>
      <c r="CL136" s="222"/>
      <c r="CM136" s="222"/>
      <c r="CN136" s="222"/>
      <c r="CO136" s="222"/>
      <c r="CP136" s="222"/>
      <c r="CQ136" s="222"/>
      <c r="CR136" s="222"/>
      <c r="CS136" s="222"/>
      <c r="CT136" s="222"/>
      <c r="CU136" s="222"/>
      <c r="CV136" s="222"/>
      <c r="CW136" s="222"/>
      <c r="CX136" s="222"/>
      <c r="CY136" s="222"/>
      <c r="CZ136" s="222"/>
      <c r="DA136" s="222"/>
      <c r="DB136" s="222"/>
      <c r="DC136" s="222"/>
      <c r="DD136" s="222"/>
      <c r="DE136" s="222"/>
      <c r="DF136" s="222"/>
      <c r="DG136" s="222"/>
      <c r="DH136" s="222"/>
      <c r="DI136" s="222"/>
      <c r="DJ136" s="222"/>
      <c r="DK136" s="222"/>
      <c r="DL136" s="222"/>
      <c r="DM136" s="222"/>
      <c r="DN136" s="222"/>
      <c r="DO136" s="222"/>
      <c r="DP136" s="222"/>
      <c r="DQ136" s="222"/>
      <c r="DR136" s="222"/>
      <c r="DS136" s="222"/>
      <c r="DT136" s="222"/>
      <c r="DU136" s="222"/>
      <c r="DV136" s="222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</row>
    <row r="137" spans="1:138">
      <c r="A137" s="222"/>
      <c r="B137" s="318"/>
      <c r="C137" s="314"/>
      <c r="D137" s="322" t="s">
        <v>306</v>
      </c>
      <c r="E137" s="327">
        <f>E136</f>
        <v>0</v>
      </c>
      <c r="F137" s="327">
        <f t="shared" ref="F137:BX137" si="46">E137+F136</f>
        <v>0</v>
      </c>
      <c r="G137" s="327">
        <f t="shared" si="46"/>
        <v>0</v>
      </c>
      <c r="H137" s="327">
        <f t="shared" si="46"/>
        <v>0</v>
      </c>
      <c r="I137" s="327">
        <f t="shared" si="46"/>
        <v>0</v>
      </c>
      <c r="J137" s="327">
        <f t="shared" si="46"/>
        <v>0</v>
      </c>
      <c r="K137" s="327">
        <f t="shared" si="46"/>
        <v>-885000</v>
      </c>
      <c r="L137" s="327">
        <f t="shared" si="46"/>
        <v>-2825000</v>
      </c>
      <c r="M137" s="327">
        <f t="shared" si="46"/>
        <v>-7085000</v>
      </c>
      <c r="N137" s="327">
        <f t="shared" si="46"/>
        <v>-7085000</v>
      </c>
      <c r="O137" s="327">
        <f t="shared" si="46"/>
        <v>-7085000</v>
      </c>
      <c r="P137" s="327">
        <f t="shared" si="46"/>
        <v>-7885000</v>
      </c>
      <c r="Q137" s="327">
        <f t="shared" si="46"/>
        <v>-7885000</v>
      </c>
      <c r="R137" s="327">
        <f t="shared" si="46"/>
        <v>-7885000</v>
      </c>
      <c r="S137" s="327">
        <f t="shared" si="46"/>
        <v>-7885000</v>
      </c>
      <c r="T137" s="327">
        <f t="shared" si="46"/>
        <v>-25295060.032824628</v>
      </c>
      <c r="U137" s="327">
        <f t="shared" si="46"/>
        <v>-25295060.032824628</v>
      </c>
      <c r="V137" s="327">
        <f t="shared" si="46"/>
        <v>-25295060.032824628</v>
      </c>
      <c r="W137" s="327">
        <f t="shared" si="46"/>
        <v>-25295060.032824628</v>
      </c>
      <c r="X137" s="327">
        <f t="shared" si="46"/>
        <v>-25295060.032824628</v>
      </c>
      <c r="Y137" s="327">
        <f t="shared" si="46"/>
        <v>-25295060.032824628</v>
      </c>
      <c r="Z137" s="327">
        <f t="shared" si="46"/>
        <v>-25295060.032824628</v>
      </c>
      <c r="AA137" s="327">
        <f t="shared" si="46"/>
        <v>-17410060.032824628</v>
      </c>
      <c r="AB137" s="327">
        <f t="shared" si="46"/>
        <v>-17410060.032824628</v>
      </c>
      <c r="AC137" s="327">
        <f t="shared" si="46"/>
        <v>-17410060.032824628</v>
      </c>
      <c r="AD137" s="327">
        <f t="shared" si="46"/>
        <v>-17410060.032824628</v>
      </c>
      <c r="AE137" s="327">
        <f t="shared" si="46"/>
        <v>-17410060.032824628</v>
      </c>
      <c r="AF137" s="327">
        <f t="shared" si="46"/>
        <v>-17410060.032824628</v>
      </c>
      <c r="AG137" s="327">
        <f t="shared" si="46"/>
        <v>-17410060.032824628</v>
      </c>
      <c r="AH137" s="327">
        <f t="shared" si="46"/>
        <v>-17410060.032824628</v>
      </c>
      <c r="AI137" s="327">
        <f t="shared" si="46"/>
        <v>-17410060.032824628</v>
      </c>
      <c r="AJ137" s="327">
        <f t="shared" si="46"/>
        <v>-17410060.032824628</v>
      </c>
      <c r="AK137" s="327">
        <f t="shared" si="46"/>
        <v>-17410060.032824628</v>
      </c>
      <c r="AL137" s="327">
        <f t="shared" si="46"/>
        <v>-17410060.032824628</v>
      </c>
      <c r="AM137" s="327">
        <f t="shared" si="46"/>
        <v>-17410060.032824628</v>
      </c>
      <c r="AN137" s="327">
        <f t="shared" si="46"/>
        <v>-17410060.032824628</v>
      </c>
      <c r="AO137" s="327">
        <f t="shared" si="46"/>
        <v>-17410060.032824628</v>
      </c>
      <c r="AP137" s="327">
        <f t="shared" si="46"/>
        <v>-17410060.032824628</v>
      </c>
      <c r="AQ137" s="327">
        <f t="shared" si="46"/>
        <v>-17410060.032824628</v>
      </c>
      <c r="AR137" s="327">
        <f t="shared" si="46"/>
        <v>-17410060.032824628</v>
      </c>
      <c r="AS137" s="327">
        <f t="shared" si="46"/>
        <v>-17410060.032824628</v>
      </c>
      <c r="AT137" s="327">
        <f t="shared" si="46"/>
        <v>-17410060.032824628</v>
      </c>
      <c r="AU137" s="327">
        <f t="shared" si="46"/>
        <v>-17410060.032824628</v>
      </c>
      <c r="AV137" s="327">
        <f t="shared" si="46"/>
        <v>-17410060.032824628</v>
      </c>
      <c r="AW137" s="327">
        <f t="shared" si="46"/>
        <v>-17410060.032824628</v>
      </c>
      <c r="AX137" s="327">
        <f t="shared" si="46"/>
        <v>-17410060.032824628</v>
      </c>
      <c r="AY137" s="327">
        <f t="shared" si="46"/>
        <v>-17410060.032824628</v>
      </c>
      <c r="AZ137" s="327">
        <f t="shared" si="46"/>
        <v>-17410060.032824628</v>
      </c>
      <c r="BA137" s="327">
        <f t="shared" si="46"/>
        <v>-17410060.032824628</v>
      </c>
      <c r="BB137" s="327">
        <f t="shared" si="46"/>
        <v>-17410060.032824628</v>
      </c>
      <c r="BC137" s="327">
        <f t="shared" si="46"/>
        <v>-17410060.032824628</v>
      </c>
      <c r="BD137" s="327">
        <f t="shared" si="46"/>
        <v>-17410060.032824628</v>
      </c>
      <c r="BE137" s="327">
        <f t="shared" si="46"/>
        <v>-17410060.032824628</v>
      </c>
      <c r="BF137" s="327">
        <f t="shared" si="46"/>
        <v>-17410060.032824628</v>
      </c>
      <c r="BG137" s="327">
        <f t="shared" si="46"/>
        <v>-17410060.032824628</v>
      </c>
      <c r="BH137" s="327">
        <f t="shared" si="46"/>
        <v>-17410060.032824628</v>
      </c>
      <c r="BI137" s="327">
        <f t="shared" si="46"/>
        <v>-17410060.032824628</v>
      </c>
      <c r="BJ137" s="327">
        <f t="shared" si="46"/>
        <v>-17410060.032824628</v>
      </c>
      <c r="BK137" s="327">
        <f t="shared" si="46"/>
        <v>-17410060.032824628</v>
      </c>
      <c r="BL137" s="327">
        <f t="shared" si="46"/>
        <v>-17410060.032824628</v>
      </c>
      <c r="BM137" s="327">
        <f t="shared" si="46"/>
        <v>-17410060.032824628</v>
      </c>
      <c r="BN137" s="327">
        <f t="shared" si="46"/>
        <v>-17410060.032824628</v>
      </c>
      <c r="BO137" s="327">
        <f t="shared" si="46"/>
        <v>-17410060.032824628</v>
      </c>
      <c r="BP137" s="327">
        <f t="shared" si="46"/>
        <v>-17410060.032824628</v>
      </c>
      <c r="BQ137" s="327">
        <f t="shared" si="46"/>
        <v>-17410060.032824628</v>
      </c>
      <c r="BR137" s="327">
        <f t="shared" si="46"/>
        <v>-17410060.032824628</v>
      </c>
      <c r="BS137" s="327">
        <f t="shared" si="46"/>
        <v>-17410060.032824628</v>
      </c>
      <c r="BT137" s="327">
        <f t="shared" si="46"/>
        <v>-17410060.032824628</v>
      </c>
      <c r="BU137" s="327">
        <f t="shared" si="46"/>
        <v>-17410060.032824628</v>
      </c>
      <c r="BV137" s="327">
        <f t="shared" si="46"/>
        <v>-17410060.032824628</v>
      </c>
      <c r="BW137" s="327">
        <f t="shared" si="46"/>
        <v>-17410060.032824628</v>
      </c>
      <c r="BX137" s="327">
        <f t="shared" si="46"/>
        <v>-17410060.032824628</v>
      </c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2"/>
      <c r="CV137" s="222"/>
      <c r="CW137" s="222"/>
      <c r="CX137" s="222"/>
      <c r="CY137" s="222"/>
      <c r="CZ137" s="222"/>
      <c r="DA137" s="222"/>
      <c r="DB137" s="222"/>
      <c r="DC137" s="222"/>
      <c r="DD137" s="222"/>
      <c r="DE137" s="222"/>
      <c r="DF137" s="222"/>
      <c r="DG137" s="222"/>
      <c r="DH137" s="222"/>
      <c r="DI137" s="222"/>
      <c r="DJ137" s="222"/>
      <c r="DK137" s="222"/>
      <c r="DL137" s="222"/>
      <c r="DM137" s="222"/>
      <c r="DN137" s="222"/>
      <c r="DO137" s="222"/>
      <c r="DP137" s="222"/>
      <c r="DQ137" s="222"/>
      <c r="DR137" s="222"/>
      <c r="DS137" s="222"/>
      <c r="DT137" s="222"/>
      <c r="DU137" s="222"/>
      <c r="DV137" s="222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</row>
    <row r="138" spans="1:138">
      <c r="A138" s="222"/>
      <c r="B138" s="318"/>
      <c r="C138" s="313" t="s">
        <v>292</v>
      </c>
      <c r="D138" s="322">
        <f>IRR(E136:BX136)*12</f>
        <v>-1.5260983353998294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  <c r="BQ138" s="22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22"/>
      <c r="CO138" s="222"/>
      <c r="CP138" s="222"/>
      <c r="CQ138" s="222"/>
      <c r="CR138" s="222"/>
      <c r="CS138" s="222"/>
      <c r="CT138" s="222"/>
      <c r="CU138" s="222"/>
      <c r="CV138" s="222"/>
      <c r="CW138" s="222"/>
      <c r="CX138" s="222"/>
      <c r="CY138" s="222"/>
      <c r="CZ138" s="222"/>
      <c r="DA138" s="222"/>
      <c r="DB138" s="222"/>
      <c r="DC138" s="222"/>
      <c r="DD138" s="222"/>
      <c r="DE138" s="222"/>
      <c r="DF138" s="222"/>
      <c r="DG138" s="222"/>
      <c r="DH138" s="222"/>
      <c r="DI138" s="222"/>
      <c r="DJ138" s="222"/>
      <c r="DK138" s="222"/>
      <c r="DL138" s="222"/>
      <c r="DM138" s="222"/>
      <c r="DN138" s="222"/>
      <c r="DO138" s="222"/>
      <c r="DP138" s="222"/>
      <c r="DQ138" s="222"/>
      <c r="DR138" s="222"/>
      <c r="DS138" s="222"/>
      <c r="DT138" s="222"/>
      <c r="DU138" s="222"/>
      <c r="DV138" s="222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</row>
    <row r="139" spans="1:138">
      <c r="A139" s="222"/>
      <c r="B139" s="318"/>
      <c r="C139" s="323" t="s">
        <v>300</v>
      </c>
      <c r="D139" s="324">
        <f>-MIN(E131:BL131)</f>
        <v>4260000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  <c r="BQ139" s="22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22"/>
      <c r="CO139" s="222"/>
      <c r="CP139" s="222"/>
      <c r="CQ139" s="222"/>
      <c r="CR139" s="222"/>
      <c r="CS139" s="222"/>
      <c r="CT139" s="222"/>
      <c r="CU139" s="222"/>
      <c r="CV139" s="222"/>
      <c r="CW139" s="222"/>
      <c r="CX139" s="222"/>
      <c r="CY139" s="222"/>
      <c r="CZ139" s="222"/>
      <c r="DA139" s="222"/>
      <c r="DB139" s="222"/>
      <c r="DC139" s="222"/>
      <c r="DD139" s="222"/>
      <c r="DE139" s="222"/>
      <c r="DF139" s="222"/>
      <c r="DG139" s="222"/>
      <c r="DH139" s="222"/>
      <c r="DI139" s="222"/>
      <c r="DJ139" s="222"/>
      <c r="DK139" s="222"/>
      <c r="DL139" s="222"/>
      <c r="DM139" s="222"/>
      <c r="DN139" s="222"/>
      <c r="DO139" s="222"/>
      <c r="DP139" s="222"/>
      <c r="DQ139" s="222"/>
      <c r="DR139" s="222"/>
      <c r="DS139" s="222"/>
      <c r="DT139" s="222"/>
      <c r="DU139" s="222"/>
      <c r="DV139" s="222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</row>
    <row r="140" spans="1:138">
      <c r="A140" s="222"/>
      <c r="B140" s="318"/>
      <c r="C140" s="323" t="s">
        <v>301</v>
      </c>
      <c r="D140" s="324">
        <f>-SUM(M135:BB135)</f>
        <v>0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  <c r="BQ140" s="22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22"/>
      <c r="CO140" s="222"/>
      <c r="CP140" s="222"/>
      <c r="CQ140" s="222"/>
      <c r="CR140" s="222"/>
      <c r="CS140" s="222"/>
      <c r="CT140" s="222"/>
      <c r="CU140" s="222"/>
      <c r="CV140" s="222"/>
      <c r="CW140" s="222"/>
      <c r="CX140" s="222"/>
      <c r="CY140" s="222"/>
      <c r="CZ140" s="222"/>
      <c r="DA140" s="222"/>
      <c r="DB140" s="222"/>
      <c r="DC140" s="222"/>
      <c r="DD140" s="222"/>
      <c r="DE140" s="222"/>
      <c r="DF140" s="222"/>
      <c r="DG140" s="222"/>
      <c r="DH140" s="222"/>
      <c r="DI140" s="222"/>
      <c r="DJ140" s="222"/>
      <c r="DK140" s="222"/>
      <c r="DL140" s="222"/>
      <c r="DM140" s="222"/>
      <c r="DN140" s="222"/>
      <c r="DO140" s="222"/>
      <c r="DP140" s="222"/>
      <c r="DQ140" s="222"/>
      <c r="DR140" s="222"/>
      <c r="DS140" s="222"/>
      <c r="DT140" s="222"/>
      <c r="DU140" s="222"/>
      <c r="DV140" s="222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</row>
    <row r="141" spans="1:138">
      <c r="A141" s="222"/>
      <c r="B141" s="318"/>
      <c r="C141" s="313" t="s">
        <v>302</v>
      </c>
      <c r="D141" s="326">
        <f>D140+D139</f>
        <v>4260000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  <c r="BQ141" s="22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22"/>
      <c r="CO141" s="222"/>
      <c r="CP141" s="222"/>
      <c r="CQ141" s="222"/>
      <c r="CR141" s="222"/>
      <c r="CS141" s="222"/>
      <c r="CT141" s="222"/>
      <c r="CU141" s="222"/>
      <c r="CV141" s="222"/>
      <c r="CW141" s="222"/>
      <c r="CX141" s="222"/>
      <c r="CY141" s="222"/>
      <c r="CZ141" s="222"/>
      <c r="DA141" s="222"/>
      <c r="DB141" s="222"/>
      <c r="DC141" s="222"/>
      <c r="DD141" s="222"/>
      <c r="DE141" s="222"/>
      <c r="DF141" s="222"/>
      <c r="DG141" s="222"/>
      <c r="DH141" s="222"/>
      <c r="DI141" s="222"/>
      <c r="DJ141" s="222"/>
      <c r="DK141" s="222"/>
      <c r="DL141" s="222"/>
      <c r="DM141" s="222"/>
      <c r="DN141" s="222"/>
      <c r="DO141" s="222"/>
      <c r="DP141" s="222"/>
      <c r="DQ141" s="222"/>
      <c r="DR141" s="222"/>
      <c r="DS141" s="222"/>
      <c r="DT141" s="222"/>
      <c r="DU141" s="222"/>
      <c r="DV141" s="222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</row>
    <row r="142" spans="1:138">
      <c r="A142" s="222"/>
      <c r="B142" s="318"/>
      <c r="C142" s="313" t="s">
        <v>303</v>
      </c>
      <c r="D142" s="326">
        <f>BX133+BX134</f>
        <v>0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222"/>
      <c r="AF142" s="222"/>
      <c r="AG142" s="222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222"/>
      <c r="BN142" s="222"/>
      <c r="BO142" s="222"/>
      <c r="BP142" s="222"/>
      <c r="BQ142" s="22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2"/>
      <c r="CV142" s="222"/>
      <c r="CW142" s="222"/>
      <c r="CX142" s="222"/>
      <c r="CY142" s="222"/>
      <c r="CZ142" s="222"/>
      <c r="DA142" s="222"/>
      <c r="DB142" s="222"/>
      <c r="DC142" s="222"/>
      <c r="DD142" s="222"/>
      <c r="DE142" s="222"/>
      <c r="DF142" s="222"/>
      <c r="DG142" s="222"/>
      <c r="DH142" s="222"/>
      <c r="DI142" s="222"/>
      <c r="DJ142" s="222"/>
      <c r="DK142" s="222"/>
      <c r="DL142" s="222"/>
      <c r="DM142" s="222"/>
      <c r="DN142" s="222"/>
      <c r="DO142" s="222"/>
      <c r="DP142" s="222"/>
      <c r="DQ142" s="222"/>
      <c r="DR142" s="222"/>
      <c r="DS142" s="222"/>
      <c r="DT142" s="222"/>
      <c r="DU142" s="222"/>
      <c r="DV142" s="222"/>
      <c r="DW142" s="325"/>
      <c r="DX142" s="325"/>
      <c r="DY142" s="325"/>
      <c r="DZ142" s="325"/>
      <c r="EA142" s="325"/>
      <c r="EB142" s="325"/>
      <c r="EC142" s="325"/>
      <c r="ED142" s="325"/>
      <c r="EE142" s="325"/>
      <c r="EF142" s="325"/>
      <c r="EG142" s="325"/>
      <c r="EH142" s="325"/>
    </row>
    <row r="143" spans="1:138">
      <c r="A143" s="222"/>
      <c r="B143" s="318"/>
      <c r="C143" s="313" t="s">
        <v>147</v>
      </c>
      <c r="D143" s="322">
        <f>(D142-D140)/D141</f>
        <v>0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  <c r="BL143" s="222"/>
      <c r="BM143" s="222"/>
      <c r="BN143" s="222"/>
      <c r="BO143" s="222"/>
      <c r="BP143" s="222"/>
      <c r="BQ143" s="22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22"/>
      <c r="CL143" s="222"/>
      <c r="CM143" s="222"/>
      <c r="CN143" s="222"/>
      <c r="CO143" s="222"/>
      <c r="CP143" s="222"/>
      <c r="CQ143" s="222"/>
      <c r="CR143" s="222"/>
      <c r="CS143" s="222"/>
      <c r="CT143" s="222"/>
      <c r="CU143" s="222"/>
      <c r="CV143" s="222"/>
      <c r="CW143" s="222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2"/>
      <c r="DI143" s="222"/>
      <c r="DJ143" s="222"/>
      <c r="DK143" s="222"/>
      <c r="DL143" s="222"/>
      <c r="DM143" s="222"/>
      <c r="DN143" s="222"/>
      <c r="DO143" s="222"/>
      <c r="DP143" s="222"/>
      <c r="DQ143" s="222"/>
      <c r="DR143" s="222"/>
      <c r="DS143" s="222"/>
      <c r="DT143" s="222"/>
      <c r="DU143" s="222"/>
      <c r="DV143" s="222"/>
      <c r="DW143" s="325"/>
      <c r="DX143" s="325"/>
      <c r="DY143" s="325"/>
      <c r="DZ143" s="325"/>
      <c r="EA143" s="325"/>
      <c r="EB143" s="325"/>
      <c r="EC143" s="325"/>
      <c r="ED143" s="325"/>
      <c r="EE143" s="325"/>
      <c r="EF143" s="325"/>
      <c r="EG143" s="325"/>
      <c r="EH143" s="325"/>
    </row>
    <row r="144" spans="1:138">
      <c r="A144" s="222"/>
      <c r="B144" s="318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AT144" s="222"/>
      <c r="AU144" s="222"/>
      <c r="AV144" s="222"/>
      <c r="AW144" s="222"/>
      <c r="AX144" s="222"/>
      <c r="AY144" s="222"/>
      <c r="AZ144" s="222"/>
      <c r="BA144" s="222"/>
      <c r="BB144" s="222"/>
      <c r="BC144" s="222"/>
      <c r="BD144" s="222"/>
      <c r="BE144" s="222"/>
      <c r="BF144" s="222"/>
      <c r="BG144" s="222"/>
      <c r="BH144" s="222"/>
      <c r="BI144" s="222"/>
      <c r="BJ144" s="222"/>
      <c r="BK144" s="222"/>
      <c r="BL144" s="222"/>
      <c r="BM144" s="222"/>
      <c r="BN144" s="222"/>
      <c r="BO144" s="222"/>
      <c r="BP144" s="222"/>
      <c r="BQ144" s="22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22"/>
      <c r="CL144" s="222"/>
      <c r="CM144" s="222"/>
      <c r="CN144" s="222"/>
      <c r="CO144" s="222"/>
      <c r="CP144" s="222"/>
      <c r="CQ144" s="222"/>
      <c r="CR144" s="222"/>
      <c r="CS144" s="222"/>
      <c r="CT144" s="222"/>
      <c r="CU144" s="222"/>
      <c r="CV144" s="222"/>
      <c r="CW144" s="222"/>
      <c r="CX144" s="222"/>
      <c r="CY144" s="222"/>
      <c r="CZ144" s="222"/>
      <c r="DA144" s="222"/>
      <c r="DB144" s="222"/>
      <c r="DC144" s="222"/>
      <c r="DD144" s="222"/>
      <c r="DE144" s="222"/>
      <c r="DF144" s="222"/>
      <c r="DG144" s="222"/>
      <c r="DH144" s="222"/>
      <c r="DI144" s="222"/>
      <c r="DJ144" s="222"/>
      <c r="DK144" s="222"/>
      <c r="DL144" s="222"/>
      <c r="DM144" s="222"/>
      <c r="DN144" s="222"/>
      <c r="DO144" s="222"/>
      <c r="DP144" s="222"/>
      <c r="DQ144" s="222"/>
      <c r="DR144" s="222"/>
      <c r="DS144" s="222"/>
      <c r="DT144" s="222"/>
      <c r="DU144" s="222"/>
      <c r="DV144" s="222"/>
      <c r="DW144" s="325"/>
      <c r="DX144" s="325"/>
      <c r="DY144" s="325"/>
      <c r="DZ144" s="325"/>
      <c r="EA144" s="325"/>
      <c r="EB144" s="325"/>
      <c r="EC144" s="325"/>
      <c r="ED144" s="325"/>
      <c r="EE144" s="325"/>
      <c r="EF144" s="325"/>
      <c r="EG144" s="325"/>
      <c r="EH144" s="325"/>
    </row>
    <row r="145" spans="1:138">
      <c r="A145" s="222"/>
      <c r="B145" s="318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222"/>
      <c r="AF145" s="222"/>
      <c r="AG145" s="222"/>
      <c r="AH145" s="222"/>
      <c r="AI145" s="222"/>
      <c r="AJ145" s="222"/>
      <c r="AK145" s="222"/>
      <c r="AL145" s="222"/>
      <c r="AM145" s="222"/>
      <c r="AN145" s="222"/>
      <c r="AO145" s="222"/>
      <c r="AP145" s="222"/>
      <c r="AQ145" s="222"/>
      <c r="AR145" s="222"/>
      <c r="AS145" s="222"/>
      <c r="AT145" s="222"/>
      <c r="AU145" s="222"/>
      <c r="AV145" s="222"/>
      <c r="AW145" s="222"/>
      <c r="AX145" s="222"/>
      <c r="AY145" s="222"/>
      <c r="AZ145" s="222"/>
      <c r="BA145" s="222"/>
      <c r="BB145" s="222"/>
      <c r="BC145" s="222"/>
      <c r="BD145" s="222"/>
      <c r="BE145" s="222"/>
      <c r="BF145" s="222"/>
      <c r="BG145" s="222"/>
      <c r="BH145" s="222"/>
      <c r="BI145" s="222"/>
      <c r="BJ145" s="222"/>
      <c r="BK145" s="222"/>
      <c r="BL145" s="222"/>
      <c r="BM145" s="222"/>
      <c r="BN145" s="222"/>
      <c r="BO145" s="222"/>
      <c r="BP145" s="222"/>
      <c r="BQ145" s="222"/>
      <c r="BR145" s="222"/>
      <c r="BS145" s="222"/>
      <c r="BT145" s="22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22"/>
      <c r="CL145" s="222"/>
      <c r="CM145" s="222"/>
      <c r="CN145" s="222"/>
      <c r="CO145" s="222"/>
      <c r="CP145" s="222"/>
      <c r="CQ145" s="222"/>
      <c r="CR145" s="222"/>
      <c r="CS145" s="222"/>
      <c r="CT145" s="222"/>
      <c r="CU145" s="222"/>
      <c r="CV145" s="222"/>
      <c r="CW145" s="222"/>
      <c r="CX145" s="222"/>
      <c r="CY145" s="222"/>
      <c r="CZ145" s="222"/>
      <c r="DA145" s="222"/>
      <c r="DB145" s="222"/>
      <c r="DC145" s="222"/>
      <c r="DD145" s="222"/>
      <c r="DE145" s="222"/>
      <c r="DF145" s="222"/>
      <c r="DG145" s="222"/>
      <c r="DH145" s="222"/>
      <c r="DI145" s="222"/>
      <c r="DJ145" s="222"/>
      <c r="DK145" s="222"/>
      <c r="DL145" s="222"/>
      <c r="DM145" s="222"/>
      <c r="DN145" s="222"/>
      <c r="DO145" s="222"/>
      <c r="DP145" s="222"/>
      <c r="DQ145" s="222"/>
      <c r="DR145" s="222"/>
      <c r="DS145" s="222"/>
      <c r="DT145" s="222"/>
      <c r="DU145" s="222"/>
      <c r="DV145" s="222"/>
      <c r="DW145" s="325"/>
      <c r="DX145" s="325"/>
      <c r="DY145" s="325"/>
      <c r="DZ145" s="325"/>
      <c r="EA145" s="325"/>
      <c r="EB145" s="325"/>
      <c r="EC145" s="325"/>
      <c r="ED145" s="325"/>
      <c r="EE145" s="325"/>
      <c r="EF145" s="325"/>
      <c r="EG145" s="325"/>
      <c r="EH145" s="325"/>
    </row>
    <row r="146" spans="1:138">
      <c r="A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2"/>
      <c r="BN146" s="222"/>
      <c r="BO146" s="222"/>
      <c r="BP146" s="222"/>
      <c r="BQ146" s="222"/>
      <c r="BR146" s="222"/>
      <c r="BS146" s="222"/>
      <c r="BT146" s="22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22"/>
      <c r="CO146" s="222"/>
      <c r="CP146" s="222"/>
      <c r="CQ146" s="222"/>
      <c r="CR146" s="222"/>
      <c r="CS146" s="222"/>
      <c r="CT146" s="222"/>
      <c r="CU146" s="222"/>
      <c r="CV146" s="222"/>
      <c r="CW146" s="222"/>
      <c r="CX146" s="222"/>
      <c r="CY146" s="222"/>
      <c r="CZ146" s="222"/>
      <c r="DA146" s="222"/>
      <c r="DB146" s="222"/>
      <c r="DC146" s="222"/>
      <c r="DD146" s="222"/>
      <c r="DE146" s="222"/>
      <c r="DF146" s="222"/>
      <c r="DG146" s="222"/>
      <c r="DH146" s="222"/>
      <c r="DI146" s="222"/>
      <c r="DJ146" s="222"/>
      <c r="DK146" s="222"/>
      <c r="DL146" s="222"/>
      <c r="DM146" s="222"/>
      <c r="DN146" s="222"/>
      <c r="DO146" s="222"/>
      <c r="DP146" s="222"/>
      <c r="DQ146" s="222"/>
      <c r="DR146" s="222"/>
      <c r="DS146" s="222"/>
      <c r="DT146" s="222"/>
      <c r="DU146" s="222"/>
      <c r="DV146" s="222"/>
      <c r="DW146" s="325"/>
      <c r="DX146" s="325"/>
      <c r="DY146" s="325"/>
      <c r="DZ146" s="325"/>
      <c r="EA146" s="325"/>
      <c r="EB146" s="325"/>
      <c r="EC146" s="325"/>
      <c r="ED146" s="325"/>
      <c r="EE146" s="325"/>
      <c r="EF146" s="325"/>
      <c r="EG146" s="325"/>
      <c r="EH146" s="325"/>
    </row>
    <row r="147" spans="1:138">
      <c r="A147" s="222"/>
      <c r="B147" s="318"/>
      <c r="C147" s="310" t="s">
        <v>307</v>
      </c>
      <c r="D147" s="311"/>
      <c r="E147" s="312">
        <f t="shared" ref="E147:G147" si="47">-(E24+E111)</f>
        <v>0</v>
      </c>
      <c r="F147" s="312">
        <f t="shared" si="47"/>
        <v>0</v>
      </c>
      <c r="G147" s="312">
        <f t="shared" si="47"/>
        <v>0</v>
      </c>
      <c r="H147" s="312">
        <f>-10682501</f>
        <v>-10682501</v>
      </c>
      <c r="I147" s="312">
        <v>0</v>
      </c>
      <c r="J147" s="312">
        <f>-(J24+J111)</f>
        <v>0</v>
      </c>
      <c r="K147" s="312">
        <v>0</v>
      </c>
      <c r="L147" s="312">
        <f t="shared" ref="L147:S147" si="48">-(L24+L111)</f>
        <v>15913.92</v>
      </c>
      <c r="M147" s="312">
        <f t="shared" si="48"/>
        <v>0</v>
      </c>
      <c r="N147" s="312">
        <f t="shared" si="48"/>
        <v>0</v>
      </c>
      <c r="O147" s="312">
        <f t="shared" si="48"/>
        <v>184525</v>
      </c>
      <c r="P147" s="312">
        <f t="shared" si="48"/>
        <v>250286.08000000007</v>
      </c>
      <c r="Q147" s="312">
        <f t="shared" si="48"/>
        <v>393250</v>
      </c>
      <c r="R147" s="312">
        <f t="shared" si="48"/>
        <v>393250</v>
      </c>
      <c r="S147" s="312">
        <f t="shared" si="48"/>
        <v>0</v>
      </c>
      <c r="T147" s="312">
        <f>-H147</f>
        <v>10682501</v>
      </c>
      <c r="U147" s="312">
        <f t="shared" ref="U147:BX147" si="49">-(U24+U111)</f>
        <v>0</v>
      </c>
      <c r="V147" s="312">
        <f t="shared" si="49"/>
        <v>0</v>
      </c>
      <c r="W147" s="312">
        <f t="shared" si="49"/>
        <v>0</v>
      </c>
      <c r="X147" s="312">
        <f t="shared" si="49"/>
        <v>0</v>
      </c>
      <c r="Y147" s="312">
        <f t="shared" si="49"/>
        <v>0</v>
      </c>
      <c r="Z147" s="312">
        <f t="shared" si="49"/>
        <v>0</v>
      </c>
      <c r="AA147" s="312">
        <f t="shared" si="49"/>
        <v>0</v>
      </c>
      <c r="AB147" s="312">
        <f t="shared" si="49"/>
        <v>0</v>
      </c>
      <c r="AC147" s="312">
        <f t="shared" si="49"/>
        <v>0</v>
      </c>
      <c r="AD147" s="312">
        <f t="shared" si="49"/>
        <v>0</v>
      </c>
      <c r="AE147" s="312">
        <f t="shared" si="49"/>
        <v>0</v>
      </c>
      <c r="AF147" s="312">
        <f t="shared" si="49"/>
        <v>0</v>
      </c>
      <c r="AG147" s="312">
        <f t="shared" si="49"/>
        <v>0</v>
      </c>
      <c r="AH147" s="312">
        <f t="shared" si="49"/>
        <v>0</v>
      </c>
      <c r="AI147" s="312">
        <f t="shared" si="49"/>
        <v>0</v>
      </c>
      <c r="AJ147" s="312">
        <f t="shared" si="49"/>
        <v>0</v>
      </c>
      <c r="AK147" s="312">
        <f t="shared" si="49"/>
        <v>0</v>
      </c>
      <c r="AL147" s="312">
        <f t="shared" si="49"/>
        <v>0</v>
      </c>
      <c r="AM147" s="312">
        <f t="shared" si="49"/>
        <v>0</v>
      </c>
      <c r="AN147" s="312">
        <f t="shared" si="49"/>
        <v>0</v>
      </c>
      <c r="AO147" s="312">
        <f t="shared" si="49"/>
        <v>0</v>
      </c>
      <c r="AP147" s="312">
        <f t="shared" si="49"/>
        <v>0</v>
      </c>
      <c r="AQ147" s="312">
        <f t="shared" si="49"/>
        <v>0</v>
      </c>
      <c r="AR147" s="312">
        <f t="shared" si="49"/>
        <v>0</v>
      </c>
      <c r="AS147" s="312">
        <f t="shared" si="49"/>
        <v>0</v>
      </c>
      <c r="AT147" s="312">
        <f t="shared" si="49"/>
        <v>0</v>
      </c>
      <c r="AU147" s="312">
        <f t="shared" si="49"/>
        <v>0</v>
      </c>
      <c r="AV147" s="312">
        <f t="shared" si="49"/>
        <v>0</v>
      </c>
      <c r="AW147" s="312">
        <f t="shared" si="49"/>
        <v>0</v>
      </c>
      <c r="AX147" s="312">
        <f t="shared" si="49"/>
        <v>0</v>
      </c>
      <c r="AY147" s="312">
        <f t="shared" si="49"/>
        <v>0</v>
      </c>
      <c r="AZ147" s="312">
        <f t="shared" si="49"/>
        <v>0</v>
      </c>
      <c r="BA147" s="312">
        <f t="shared" si="49"/>
        <v>0</v>
      </c>
      <c r="BB147" s="312">
        <f t="shared" si="49"/>
        <v>0</v>
      </c>
      <c r="BC147" s="312">
        <f t="shared" si="49"/>
        <v>0</v>
      </c>
      <c r="BD147" s="312">
        <f t="shared" si="49"/>
        <v>0</v>
      </c>
      <c r="BE147" s="312">
        <f t="shared" si="49"/>
        <v>0</v>
      </c>
      <c r="BF147" s="312">
        <f t="shared" si="49"/>
        <v>0</v>
      </c>
      <c r="BG147" s="312">
        <f t="shared" si="49"/>
        <v>0</v>
      </c>
      <c r="BH147" s="312">
        <f t="shared" si="49"/>
        <v>0</v>
      </c>
      <c r="BI147" s="312">
        <f t="shared" si="49"/>
        <v>0</v>
      </c>
      <c r="BJ147" s="312">
        <f t="shared" si="49"/>
        <v>0</v>
      </c>
      <c r="BK147" s="312">
        <f t="shared" si="49"/>
        <v>0</v>
      </c>
      <c r="BL147" s="312">
        <f t="shared" si="49"/>
        <v>0</v>
      </c>
      <c r="BM147" s="312">
        <f t="shared" si="49"/>
        <v>0</v>
      </c>
      <c r="BN147" s="312">
        <f t="shared" si="49"/>
        <v>0</v>
      </c>
      <c r="BO147" s="312">
        <f t="shared" si="49"/>
        <v>0</v>
      </c>
      <c r="BP147" s="312">
        <f t="shared" si="49"/>
        <v>0</v>
      </c>
      <c r="BQ147" s="312">
        <f t="shared" si="49"/>
        <v>0</v>
      </c>
      <c r="BR147" s="312">
        <f t="shared" si="49"/>
        <v>0</v>
      </c>
      <c r="BS147" s="312">
        <f t="shared" si="49"/>
        <v>0</v>
      </c>
      <c r="BT147" s="312">
        <f t="shared" si="49"/>
        <v>0</v>
      </c>
      <c r="BU147" s="312">
        <f t="shared" si="49"/>
        <v>0</v>
      </c>
      <c r="BV147" s="312">
        <f t="shared" si="49"/>
        <v>0</v>
      </c>
      <c r="BW147" s="312">
        <f t="shared" si="49"/>
        <v>0</v>
      </c>
      <c r="BX147" s="312">
        <f t="shared" si="49"/>
        <v>0</v>
      </c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22"/>
      <c r="CO147" s="222"/>
      <c r="CP147" s="222"/>
      <c r="CQ147" s="222"/>
      <c r="CR147" s="222"/>
      <c r="CS147" s="222"/>
      <c r="CT147" s="222"/>
      <c r="CU147" s="222"/>
      <c r="CV147" s="222"/>
      <c r="CW147" s="222"/>
      <c r="CX147" s="222"/>
      <c r="CY147" s="222"/>
      <c r="CZ147" s="222"/>
      <c r="DA147" s="222"/>
      <c r="DB147" s="222"/>
      <c r="DC147" s="222"/>
      <c r="DD147" s="222"/>
      <c r="DE147" s="222"/>
      <c r="DF147" s="222"/>
      <c r="DG147" s="222"/>
      <c r="DH147" s="222"/>
      <c r="DI147" s="222"/>
      <c r="DJ147" s="222"/>
      <c r="DK147" s="222"/>
      <c r="DL147" s="222"/>
      <c r="DM147" s="222"/>
      <c r="DN147" s="222"/>
      <c r="DO147" s="222"/>
      <c r="DP147" s="222"/>
      <c r="DQ147" s="222"/>
      <c r="DR147" s="222"/>
      <c r="DS147" s="222"/>
      <c r="DT147" s="222"/>
      <c r="DU147" s="222"/>
      <c r="DV147" s="222"/>
      <c r="DW147" s="222"/>
      <c r="DX147" s="222"/>
      <c r="DY147" s="222"/>
      <c r="DZ147" s="222"/>
      <c r="EA147" s="222"/>
      <c r="EB147" s="222"/>
      <c r="EC147" s="222"/>
      <c r="ED147" s="222"/>
      <c r="EE147" s="222"/>
      <c r="EF147" s="222"/>
      <c r="EG147" s="222"/>
      <c r="EH147" s="222"/>
    </row>
    <row r="148" spans="1:138">
      <c r="A148" s="222"/>
      <c r="B148" s="318"/>
      <c r="C148" s="310" t="s">
        <v>305</v>
      </c>
      <c r="D148" s="319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/>
      <c r="R148" s="311"/>
      <c r="S148" s="311"/>
      <c r="T148" s="311"/>
      <c r="U148" s="311"/>
      <c r="V148" s="311"/>
      <c r="W148" s="311"/>
      <c r="X148" s="311"/>
      <c r="Y148" s="311"/>
      <c r="Z148" s="311"/>
      <c r="AA148" s="311"/>
      <c r="AB148" s="311"/>
      <c r="AC148" s="311"/>
      <c r="AD148" s="311"/>
      <c r="AE148" s="311"/>
      <c r="AF148" s="311"/>
      <c r="AG148" s="311"/>
      <c r="AH148" s="311"/>
      <c r="AI148" s="311"/>
      <c r="AJ148" s="311"/>
      <c r="AK148" s="311"/>
      <c r="AL148" s="311"/>
      <c r="AM148" s="311"/>
      <c r="AN148" s="311"/>
      <c r="AO148" s="311"/>
      <c r="AP148" s="311"/>
      <c r="AQ148" s="311"/>
      <c r="AR148" s="311"/>
      <c r="AS148" s="311"/>
      <c r="AT148" s="311"/>
      <c r="AU148" s="311"/>
      <c r="AV148" s="311"/>
      <c r="AW148" s="311"/>
      <c r="AX148" s="311"/>
      <c r="AY148" s="311"/>
      <c r="AZ148" s="311"/>
      <c r="BA148" s="311"/>
      <c r="BB148" s="311"/>
      <c r="BC148" s="312"/>
      <c r="BD148" s="311"/>
      <c r="BE148" s="311"/>
      <c r="BF148" s="311"/>
      <c r="BG148" s="311"/>
      <c r="BH148" s="311"/>
      <c r="BI148" s="311"/>
      <c r="BJ148" s="311"/>
      <c r="BK148" s="311"/>
      <c r="BL148" s="311"/>
      <c r="BM148" s="311"/>
      <c r="BN148" s="311"/>
      <c r="BO148" s="311"/>
      <c r="BP148" s="311"/>
      <c r="BQ148" s="311"/>
      <c r="BR148" s="311"/>
      <c r="BS148" s="311"/>
      <c r="BT148" s="311"/>
      <c r="BU148" s="311"/>
      <c r="BV148" s="311"/>
      <c r="BW148" s="311"/>
      <c r="BX148" s="311"/>
      <c r="BY148" s="307"/>
      <c r="BZ148" s="307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2"/>
      <c r="CU148" s="222"/>
      <c r="CV148" s="222"/>
      <c r="CW148" s="222"/>
      <c r="CX148" s="222"/>
      <c r="CY148" s="222"/>
      <c r="CZ148" s="222"/>
      <c r="DA148" s="222"/>
      <c r="DB148" s="222"/>
      <c r="DC148" s="222"/>
      <c r="DD148" s="222"/>
      <c r="DE148" s="222"/>
      <c r="DF148" s="222"/>
      <c r="DG148" s="222"/>
      <c r="DH148" s="222"/>
      <c r="DI148" s="222"/>
      <c r="DJ148" s="222"/>
      <c r="DK148" s="222"/>
      <c r="DL148" s="222"/>
      <c r="DM148" s="222"/>
      <c r="DN148" s="222"/>
      <c r="DO148" s="222"/>
      <c r="DP148" s="222"/>
      <c r="DQ148" s="222"/>
      <c r="DR148" s="222"/>
      <c r="DS148" s="222"/>
      <c r="DT148" s="222"/>
      <c r="DU148" s="222"/>
      <c r="DV148" s="222"/>
      <c r="DW148" s="222"/>
      <c r="DX148" s="222"/>
      <c r="DY148" s="222"/>
      <c r="DZ148" s="222"/>
      <c r="EA148" s="222"/>
      <c r="EB148" s="222"/>
      <c r="EC148" s="222"/>
      <c r="ED148" s="222"/>
      <c r="EE148" s="222"/>
      <c r="EF148" s="222"/>
      <c r="EG148" s="222"/>
      <c r="EH148" s="222"/>
    </row>
    <row r="149" spans="1:138">
      <c r="A149" s="222"/>
      <c r="B149" s="318"/>
      <c r="C149" s="310" t="s">
        <v>296</v>
      </c>
      <c r="D149" s="319"/>
      <c r="E149" s="311">
        <f t="shared" ref="E149:BX149" si="50">-E75</f>
        <v>0</v>
      </c>
      <c r="F149" s="311">
        <f t="shared" si="50"/>
        <v>0</v>
      </c>
      <c r="G149" s="311">
        <f t="shared" si="50"/>
        <v>0</v>
      </c>
      <c r="H149" s="311">
        <f t="shared" si="50"/>
        <v>0</v>
      </c>
      <c r="I149" s="311">
        <f t="shared" si="50"/>
        <v>0</v>
      </c>
      <c r="J149" s="311">
        <f t="shared" si="50"/>
        <v>0</v>
      </c>
      <c r="K149" s="311">
        <f t="shared" si="50"/>
        <v>0</v>
      </c>
      <c r="L149" s="311">
        <f t="shared" si="50"/>
        <v>0</v>
      </c>
      <c r="M149" s="311">
        <f t="shared" si="50"/>
        <v>0</v>
      </c>
      <c r="N149" s="311">
        <f t="shared" si="50"/>
        <v>0</v>
      </c>
      <c r="O149" s="311">
        <f t="shared" si="50"/>
        <v>0</v>
      </c>
      <c r="P149" s="311">
        <f t="shared" si="50"/>
        <v>0</v>
      </c>
      <c r="Q149" s="311">
        <f t="shared" si="50"/>
        <v>0</v>
      </c>
      <c r="R149" s="311">
        <f t="shared" si="50"/>
        <v>0</v>
      </c>
      <c r="S149" s="311">
        <f t="shared" si="50"/>
        <v>0</v>
      </c>
      <c r="T149" s="311">
        <f t="shared" si="50"/>
        <v>0</v>
      </c>
      <c r="U149" s="311">
        <f t="shared" si="50"/>
        <v>0</v>
      </c>
      <c r="V149" s="311">
        <f t="shared" si="50"/>
        <v>0</v>
      </c>
      <c r="W149" s="311">
        <f t="shared" si="50"/>
        <v>0</v>
      </c>
      <c r="X149" s="311">
        <f t="shared" si="50"/>
        <v>0</v>
      </c>
      <c r="Y149" s="311">
        <f t="shared" si="50"/>
        <v>0</v>
      </c>
      <c r="Z149" s="311">
        <f t="shared" si="50"/>
        <v>0</v>
      </c>
      <c r="AA149" s="311">
        <f t="shared" si="50"/>
        <v>0</v>
      </c>
      <c r="AB149" s="311">
        <f t="shared" si="50"/>
        <v>0</v>
      </c>
      <c r="AC149" s="311">
        <f t="shared" si="50"/>
        <v>0</v>
      </c>
      <c r="AD149" s="311">
        <f t="shared" si="50"/>
        <v>0</v>
      </c>
      <c r="AE149" s="311">
        <f t="shared" si="50"/>
        <v>0</v>
      </c>
      <c r="AF149" s="311">
        <f t="shared" si="50"/>
        <v>0</v>
      </c>
      <c r="AG149" s="311">
        <f t="shared" si="50"/>
        <v>0</v>
      </c>
      <c r="AH149" s="311">
        <f t="shared" si="50"/>
        <v>0</v>
      </c>
      <c r="AI149" s="311">
        <f t="shared" si="50"/>
        <v>0</v>
      </c>
      <c r="AJ149" s="311">
        <f t="shared" si="50"/>
        <v>0</v>
      </c>
      <c r="AK149" s="311">
        <f t="shared" si="50"/>
        <v>0</v>
      </c>
      <c r="AL149" s="311">
        <f t="shared" si="50"/>
        <v>0</v>
      </c>
      <c r="AM149" s="311">
        <f t="shared" si="50"/>
        <v>0</v>
      </c>
      <c r="AN149" s="311">
        <f t="shared" si="50"/>
        <v>0</v>
      </c>
      <c r="AO149" s="311">
        <f t="shared" si="50"/>
        <v>0</v>
      </c>
      <c r="AP149" s="311">
        <f t="shared" si="50"/>
        <v>0</v>
      </c>
      <c r="AQ149" s="311">
        <f t="shared" si="50"/>
        <v>0</v>
      </c>
      <c r="AR149" s="311">
        <f t="shared" si="50"/>
        <v>0</v>
      </c>
      <c r="AS149" s="311">
        <f t="shared" si="50"/>
        <v>0</v>
      </c>
      <c r="AT149" s="311">
        <f t="shared" si="50"/>
        <v>0</v>
      </c>
      <c r="AU149" s="311">
        <f t="shared" si="50"/>
        <v>0</v>
      </c>
      <c r="AV149" s="311">
        <f t="shared" si="50"/>
        <v>0</v>
      </c>
      <c r="AW149" s="311">
        <f t="shared" si="50"/>
        <v>0</v>
      </c>
      <c r="AX149" s="311">
        <f t="shared" si="50"/>
        <v>0</v>
      </c>
      <c r="AY149" s="311">
        <f t="shared" si="50"/>
        <v>0</v>
      </c>
      <c r="AZ149" s="311">
        <f t="shared" si="50"/>
        <v>0</v>
      </c>
      <c r="BA149" s="311">
        <f t="shared" si="50"/>
        <v>0</v>
      </c>
      <c r="BB149" s="311">
        <f t="shared" si="50"/>
        <v>0</v>
      </c>
      <c r="BC149" s="311">
        <f t="shared" si="50"/>
        <v>0</v>
      </c>
      <c r="BD149" s="311">
        <f t="shared" si="50"/>
        <v>0</v>
      </c>
      <c r="BE149" s="311">
        <f t="shared" si="50"/>
        <v>0</v>
      </c>
      <c r="BF149" s="311">
        <f t="shared" si="50"/>
        <v>0</v>
      </c>
      <c r="BG149" s="311">
        <f t="shared" si="50"/>
        <v>0</v>
      </c>
      <c r="BH149" s="311">
        <f t="shared" si="50"/>
        <v>0</v>
      </c>
      <c r="BI149" s="311">
        <f t="shared" si="50"/>
        <v>0</v>
      </c>
      <c r="BJ149" s="311">
        <f t="shared" si="50"/>
        <v>0</v>
      </c>
      <c r="BK149" s="311">
        <f t="shared" si="50"/>
        <v>0</v>
      </c>
      <c r="BL149" s="311">
        <f t="shared" si="50"/>
        <v>0</v>
      </c>
      <c r="BM149" s="311">
        <f t="shared" si="50"/>
        <v>0</v>
      </c>
      <c r="BN149" s="311">
        <f t="shared" si="50"/>
        <v>0</v>
      </c>
      <c r="BO149" s="311">
        <f t="shared" si="50"/>
        <v>0</v>
      </c>
      <c r="BP149" s="311">
        <f t="shared" si="50"/>
        <v>0</v>
      </c>
      <c r="BQ149" s="311">
        <f t="shared" si="50"/>
        <v>0</v>
      </c>
      <c r="BR149" s="311">
        <f t="shared" si="50"/>
        <v>0</v>
      </c>
      <c r="BS149" s="311">
        <f t="shared" si="50"/>
        <v>0</v>
      </c>
      <c r="BT149" s="311">
        <f t="shared" si="50"/>
        <v>0</v>
      </c>
      <c r="BU149" s="311">
        <f t="shared" si="50"/>
        <v>0</v>
      </c>
      <c r="BV149" s="311">
        <f t="shared" si="50"/>
        <v>0</v>
      </c>
      <c r="BW149" s="311">
        <f t="shared" si="50"/>
        <v>0</v>
      </c>
      <c r="BX149" s="311">
        <f t="shared" si="50"/>
        <v>0</v>
      </c>
      <c r="BY149" s="307"/>
      <c r="BZ149" s="307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22"/>
      <c r="CO149" s="222"/>
      <c r="CP149" s="222"/>
      <c r="CQ149" s="222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222"/>
      <c r="DC149" s="222"/>
      <c r="DD149" s="222"/>
      <c r="DE149" s="222"/>
      <c r="DF149" s="222"/>
      <c r="DG149" s="222"/>
      <c r="DH149" s="222"/>
      <c r="DI149" s="222"/>
      <c r="DJ149" s="222"/>
      <c r="DK149" s="222"/>
      <c r="DL149" s="222"/>
      <c r="DM149" s="222"/>
      <c r="DN149" s="222"/>
      <c r="DO149" s="222"/>
      <c r="DP149" s="222"/>
      <c r="DQ149" s="222"/>
      <c r="DR149" s="222"/>
      <c r="DS149" s="222"/>
      <c r="DT149" s="222"/>
      <c r="DU149" s="222"/>
      <c r="DV149" s="222"/>
      <c r="DW149" s="222"/>
      <c r="DX149" s="222"/>
      <c r="DY149" s="222"/>
      <c r="DZ149" s="222"/>
      <c r="EA149" s="222"/>
      <c r="EB149" s="222"/>
      <c r="EC149" s="222"/>
      <c r="ED149" s="222"/>
      <c r="EE149" s="222"/>
      <c r="EF149" s="222"/>
      <c r="EG149" s="222"/>
      <c r="EH149" s="222"/>
    </row>
    <row r="150" spans="1:138">
      <c r="A150" s="222"/>
      <c r="B150" s="318"/>
      <c r="C150" s="310" t="s">
        <v>297</v>
      </c>
      <c r="D150" s="319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311"/>
      <c r="P150" s="311"/>
      <c r="Q150" s="311"/>
      <c r="R150" s="311"/>
      <c r="S150" s="311"/>
      <c r="T150" s="311">
        <f>5500000</f>
        <v>5500000</v>
      </c>
      <c r="U150" s="311"/>
      <c r="V150" s="311"/>
      <c r="W150" s="311"/>
      <c r="X150" s="311"/>
      <c r="Y150" s="311"/>
      <c r="Z150" s="311"/>
      <c r="AA150" s="311"/>
      <c r="AB150" s="311"/>
      <c r="AC150" s="311"/>
      <c r="AD150" s="311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1"/>
      <c r="AZ150" s="311"/>
      <c r="BA150" s="311"/>
      <c r="BB150" s="311"/>
      <c r="BC150" s="312"/>
      <c r="BD150" s="311"/>
      <c r="BE150" s="311"/>
      <c r="BF150" s="311"/>
      <c r="BG150" s="311"/>
      <c r="BH150" s="311"/>
      <c r="BI150" s="311"/>
      <c r="BJ150" s="311"/>
      <c r="BK150" s="311"/>
      <c r="BL150" s="311"/>
      <c r="BM150" s="311"/>
      <c r="BN150" s="311"/>
      <c r="BO150" s="311"/>
      <c r="BP150" s="311"/>
      <c r="BQ150" s="311"/>
      <c r="BR150" s="311"/>
      <c r="BS150" s="311"/>
      <c r="BT150" s="311"/>
      <c r="BU150" s="311"/>
      <c r="BV150" s="311"/>
      <c r="BW150" s="311"/>
      <c r="BX150" s="311">
        <f>IF(D122&gt;0.25,(BX117-BX125)*D151,BX117*D151)</f>
        <v>0</v>
      </c>
      <c r="BY150" s="307"/>
      <c r="BZ150" s="307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22"/>
      <c r="CO150" s="222"/>
      <c r="CP150" s="222"/>
      <c r="CQ150" s="222"/>
      <c r="CR150" s="222"/>
      <c r="CS150" s="222"/>
      <c r="CT150" s="222"/>
      <c r="CU150" s="222"/>
      <c r="CV150" s="222"/>
      <c r="CW150" s="222"/>
      <c r="CX150" s="222"/>
      <c r="CY150" s="222"/>
      <c r="CZ150" s="222"/>
      <c r="DA150" s="222"/>
      <c r="DB150" s="222"/>
      <c r="DC150" s="222"/>
      <c r="DD150" s="222"/>
      <c r="DE150" s="222"/>
      <c r="DF150" s="222"/>
      <c r="DG150" s="222"/>
      <c r="DH150" s="222"/>
      <c r="DI150" s="222"/>
      <c r="DJ150" s="222"/>
      <c r="DK150" s="222"/>
      <c r="DL150" s="222"/>
      <c r="DM150" s="222"/>
      <c r="DN150" s="222"/>
      <c r="DO150" s="222"/>
      <c r="DP150" s="222"/>
      <c r="DQ150" s="222"/>
      <c r="DR150" s="222"/>
      <c r="DS150" s="222"/>
      <c r="DT150" s="222"/>
      <c r="DU150" s="222"/>
      <c r="DV150" s="222"/>
      <c r="DW150" s="222"/>
      <c r="DX150" s="222"/>
      <c r="DY150" s="222"/>
      <c r="DZ150" s="222"/>
      <c r="EA150" s="222"/>
      <c r="EB150" s="222"/>
      <c r="EC150" s="222"/>
      <c r="ED150" s="222"/>
      <c r="EE150" s="222"/>
      <c r="EF150" s="222"/>
      <c r="EG150" s="222"/>
      <c r="EH150" s="222"/>
    </row>
    <row r="151" spans="1:138">
      <c r="A151" s="222"/>
      <c r="B151" s="318"/>
      <c r="C151" s="313" t="s">
        <v>298</v>
      </c>
      <c r="D151" s="319">
        <v>0</v>
      </c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311"/>
      <c r="AA151" s="311"/>
      <c r="AB151" s="311"/>
      <c r="AC151" s="311"/>
      <c r="AD151" s="311"/>
      <c r="AE151" s="311"/>
      <c r="AF151" s="311"/>
      <c r="AG151" s="311"/>
      <c r="AH151" s="311"/>
      <c r="AI151" s="311"/>
      <c r="AJ151" s="311"/>
      <c r="AK151" s="311"/>
      <c r="AL151" s="311"/>
      <c r="AM151" s="311"/>
      <c r="AN151" s="311"/>
      <c r="AO151" s="311"/>
      <c r="AP151" s="311"/>
      <c r="AQ151" s="311"/>
      <c r="AR151" s="311"/>
      <c r="AS151" s="311"/>
      <c r="AT151" s="311"/>
      <c r="AU151" s="311"/>
      <c r="AV151" s="311"/>
      <c r="AW151" s="311"/>
      <c r="AX151" s="311"/>
      <c r="AY151" s="311"/>
      <c r="AZ151" s="311"/>
      <c r="BA151" s="311"/>
      <c r="BB151" s="311"/>
      <c r="BC151" s="312"/>
      <c r="BD151" s="311"/>
      <c r="BE151" s="311"/>
      <c r="BF151" s="311"/>
      <c r="BG151" s="311"/>
      <c r="BH151" s="311"/>
      <c r="BI151" s="311"/>
      <c r="BJ151" s="311"/>
      <c r="BK151" s="311"/>
      <c r="BL151" s="311"/>
      <c r="BM151" s="311"/>
      <c r="BN151" s="311"/>
      <c r="BO151" s="311"/>
      <c r="BP151" s="311"/>
      <c r="BQ151" s="311"/>
      <c r="BR151" s="311"/>
      <c r="BS151" s="311"/>
      <c r="BT151" s="311"/>
      <c r="BU151" s="311"/>
      <c r="BV151" s="311"/>
      <c r="BW151" s="311"/>
      <c r="BX151" s="311"/>
      <c r="BY151" s="307"/>
      <c r="BZ151" s="307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222"/>
      <c r="DX151" s="222"/>
      <c r="DY151" s="222"/>
      <c r="DZ151" s="222"/>
      <c r="EA151" s="222"/>
      <c r="EB151" s="222"/>
      <c r="EC151" s="222"/>
      <c r="ED151" s="222"/>
      <c r="EE151" s="222"/>
      <c r="EF151" s="222"/>
      <c r="EG151" s="222"/>
      <c r="EH151" s="222"/>
    </row>
    <row r="152" spans="1:138">
      <c r="A152" s="222"/>
      <c r="B152" s="318"/>
      <c r="C152" s="310" t="s">
        <v>299</v>
      </c>
      <c r="D152" s="311"/>
      <c r="E152" s="321">
        <f t="shared" ref="E152:BX152" si="51">E147+E148+E149+E150+E151</f>
        <v>0</v>
      </c>
      <c r="F152" s="321">
        <f t="shared" si="51"/>
        <v>0</v>
      </c>
      <c r="G152" s="321">
        <f t="shared" si="51"/>
        <v>0</v>
      </c>
      <c r="H152" s="321">
        <f t="shared" si="51"/>
        <v>-10682501</v>
      </c>
      <c r="I152" s="321">
        <f t="shared" si="51"/>
        <v>0</v>
      </c>
      <c r="J152" s="321">
        <f t="shared" si="51"/>
        <v>0</v>
      </c>
      <c r="K152" s="321">
        <f t="shared" si="51"/>
        <v>0</v>
      </c>
      <c r="L152" s="321">
        <f t="shared" si="51"/>
        <v>15913.92</v>
      </c>
      <c r="M152" s="321">
        <f t="shared" si="51"/>
        <v>0</v>
      </c>
      <c r="N152" s="321">
        <f t="shared" si="51"/>
        <v>0</v>
      </c>
      <c r="O152" s="321">
        <f t="shared" si="51"/>
        <v>184525</v>
      </c>
      <c r="P152" s="321">
        <f t="shared" si="51"/>
        <v>250286.08000000007</v>
      </c>
      <c r="Q152" s="321">
        <f t="shared" si="51"/>
        <v>393250</v>
      </c>
      <c r="R152" s="321">
        <f t="shared" si="51"/>
        <v>393250</v>
      </c>
      <c r="S152" s="321">
        <f t="shared" si="51"/>
        <v>0</v>
      </c>
      <c r="T152" s="321">
        <f t="shared" si="51"/>
        <v>16182501</v>
      </c>
      <c r="U152" s="321">
        <f t="shared" si="51"/>
        <v>0</v>
      </c>
      <c r="V152" s="321">
        <f t="shared" si="51"/>
        <v>0</v>
      </c>
      <c r="W152" s="321">
        <f t="shared" si="51"/>
        <v>0</v>
      </c>
      <c r="X152" s="321">
        <f t="shared" si="51"/>
        <v>0</v>
      </c>
      <c r="Y152" s="321">
        <f t="shared" si="51"/>
        <v>0</v>
      </c>
      <c r="Z152" s="321">
        <f t="shared" si="51"/>
        <v>0</v>
      </c>
      <c r="AA152" s="321">
        <f t="shared" si="51"/>
        <v>0</v>
      </c>
      <c r="AB152" s="321">
        <f t="shared" si="51"/>
        <v>0</v>
      </c>
      <c r="AC152" s="321">
        <f t="shared" si="51"/>
        <v>0</v>
      </c>
      <c r="AD152" s="321">
        <f t="shared" si="51"/>
        <v>0</v>
      </c>
      <c r="AE152" s="321">
        <f t="shared" si="51"/>
        <v>0</v>
      </c>
      <c r="AF152" s="321">
        <f t="shared" si="51"/>
        <v>0</v>
      </c>
      <c r="AG152" s="321">
        <f t="shared" si="51"/>
        <v>0</v>
      </c>
      <c r="AH152" s="321">
        <f t="shared" si="51"/>
        <v>0</v>
      </c>
      <c r="AI152" s="321">
        <f t="shared" si="51"/>
        <v>0</v>
      </c>
      <c r="AJ152" s="321">
        <f t="shared" si="51"/>
        <v>0</v>
      </c>
      <c r="AK152" s="321">
        <f t="shared" si="51"/>
        <v>0</v>
      </c>
      <c r="AL152" s="321">
        <f t="shared" si="51"/>
        <v>0</v>
      </c>
      <c r="AM152" s="321">
        <f t="shared" si="51"/>
        <v>0</v>
      </c>
      <c r="AN152" s="321">
        <f t="shared" si="51"/>
        <v>0</v>
      </c>
      <c r="AO152" s="321">
        <f t="shared" si="51"/>
        <v>0</v>
      </c>
      <c r="AP152" s="321">
        <f t="shared" si="51"/>
        <v>0</v>
      </c>
      <c r="AQ152" s="321">
        <f t="shared" si="51"/>
        <v>0</v>
      </c>
      <c r="AR152" s="321">
        <f t="shared" si="51"/>
        <v>0</v>
      </c>
      <c r="AS152" s="321">
        <f t="shared" si="51"/>
        <v>0</v>
      </c>
      <c r="AT152" s="321">
        <f t="shared" si="51"/>
        <v>0</v>
      </c>
      <c r="AU152" s="321">
        <f t="shared" si="51"/>
        <v>0</v>
      </c>
      <c r="AV152" s="321">
        <f t="shared" si="51"/>
        <v>0</v>
      </c>
      <c r="AW152" s="321">
        <f t="shared" si="51"/>
        <v>0</v>
      </c>
      <c r="AX152" s="321">
        <f t="shared" si="51"/>
        <v>0</v>
      </c>
      <c r="AY152" s="321">
        <f t="shared" si="51"/>
        <v>0</v>
      </c>
      <c r="AZ152" s="321">
        <f t="shared" si="51"/>
        <v>0</v>
      </c>
      <c r="BA152" s="321">
        <f t="shared" si="51"/>
        <v>0</v>
      </c>
      <c r="BB152" s="321">
        <f t="shared" si="51"/>
        <v>0</v>
      </c>
      <c r="BC152" s="321">
        <f t="shared" si="51"/>
        <v>0</v>
      </c>
      <c r="BD152" s="321">
        <f t="shared" si="51"/>
        <v>0</v>
      </c>
      <c r="BE152" s="321">
        <f t="shared" si="51"/>
        <v>0</v>
      </c>
      <c r="BF152" s="321">
        <f t="shared" si="51"/>
        <v>0</v>
      </c>
      <c r="BG152" s="321">
        <f t="shared" si="51"/>
        <v>0</v>
      </c>
      <c r="BH152" s="321">
        <f t="shared" si="51"/>
        <v>0</v>
      </c>
      <c r="BI152" s="321">
        <f t="shared" si="51"/>
        <v>0</v>
      </c>
      <c r="BJ152" s="321">
        <f t="shared" si="51"/>
        <v>0</v>
      </c>
      <c r="BK152" s="321">
        <f t="shared" si="51"/>
        <v>0</v>
      </c>
      <c r="BL152" s="321">
        <f t="shared" si="51"/>
        <v>0</v>
      </c>
      <c r="BM152" s="321">
        <f t="shared" si="51"/>
        <v>0</v>
      </c>
      <c r="BN152" s="321">
        <f t="shared" si="51"/>
        <v>0</v>
      </c>
      <c r="BO152" s="321">
        <f t="shared" si="51"/>
        <v>0</v>
      </c>
      <c r="BP152" s="321">
        <f t="shared" si="51"/>
        <v>0</v>
      </c>
      <c r="BQ152" s="321">
        <f t="shared" si="51"/>
        <v>0</v>
      </c>
      <c r="BR152" s="321">
        <f t="shared" si="51"/>
        <v>0</v>
      </c>
      <c r="BS152" s="321">
        <f t="shared" si="51"/>
        <v>0</v>
      </c>
      <c r="BT152" s="321">
        <f t="shared" si="51"/>
        <v>0</v>
      </c>
      <c r="BU152" s="321">
        <f t="shared" si="51"/>
        <v>0</v>
      </c>
      <c r="BV152" s="321">
        <f t="shared" si="51"/>
        <v>0</v>
      </c>
      <c r="BW152" s="321">
        <f t="shared" si="51"/>
        <v>0</v>
      </c>
      <c r="BX152" s="321">
        <f t="shared" si="51"/>
        <v>0</v>
      </c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22"/>
      <c r="CO152" s="222"/>
      <c r="CP152" s="222"/>
      <c r="CQ152" s="222"/>
      <c r="CR152" s="222"/>
      <c r="CS152" s="222"/>
      <c r="CT152" s="222"/>
      <c r="CU152" s="222"/>
      <c r="CV152" s="222"/>
      <c r="CW152" s="222"/>
      <c r="CX152" s="222"/>
      <c r="CY152" s="222"/>
      <c r="CZ152" s="222"/>
      <c r="DA152" s="222"/>
      <c r="DB152" s="222"/>
      <c r="DC152" s="222"/>
      <c r="DD152" s="222"/>
      <c r="DE152" s="222"/>
      <c r="DF152" s="222"/>
      <c r="DG152" s="222"/>
      <c r="DH152" s="222"/>
      <c r="DI152" s="222"/>
      <c r="DJ152" s="222"/>
      <c r="DK152" s="222"/>
      <c r="DL152" s="222"/>
      <c r="DM152" s="222"/>
      <c r="DN152" s="222"/>
      <c r="DO152" s="222"/>
      <c r="DP152" s="222"/>
      <c r="DQ152" s="222"/>
      <c r="DR152" s="222"/>
      <c r="DS152" s="222"/>
      <c r="DT152" s="222"/>
      <c r="DU152" s="222"/>
      <c r="DV152" s="222"/>
      <c r="DW152" s="222"/>
      <c r="DX152" s="222"/>
      <c r="DY152" s="222"/>
      <c r="DZ152" s="222"/>
      <c r="EA152" s="222"/>
      <c r="EB152" s="222"/>
      <c r="EC152" s="222"/>
      <c r="ED152" s="222"/>
      <c r="EE152" s="222"/>
      <c r="EF152" s="222"/>
      <c r="EG152" s="222"/>
      <c r="EH152" s="222"/>
    </row>
    <row r="153" spans="1:138">
      <c r="A153" s="222"/>
      <c r="B153" s="318"/>
      <c r="C153" s="314"/>
      <c r="D153" s="322" t="s">
        <v>306</v>
      </c>
      <c r="E153" s="327">
        <f>E152</f>
        <v>0</v>
      </c>
      <c r="F153" s="327">
        <f t="shared" ref="F153:BX153" si="52">E153+F152</f>
        <v>0</v>
      </c>
      <c r="G153" s="327">
        <f t="shared" si="52"/>
        <v>0</v>
      </c>
      <c r="H153" s="327">
        <f t="shared" si="52"/>
        <v>-10682501</v>
      </c>
      <c r="I153" s="327">
        <f t="shared" si="52"/>
        <v>-10682501</v>
      </c>
      <c r="J153" s="327">
        <f t="shared" si="52"/>
        <v>-10682501</v>
      </c>
      <c r="K153" s="327">
        <f t="shared" si="52"/>
        <v>-10682501</v>
      </c>
      <c r="L153" s="327">
        <f t="shared" si="52"/>
        <v>-10666587.08</v>
      </c>
      <c r="M153" s="327">
        <f t="shared" si="52"/>
        <v>-10666587.08</v>
      </c>
      <c r="N153" s="327">
        <f t="shared" si="52"/>
        <v>-10666587.08</v>
      </c>
      <c r="O153" s="327">
        <f t="shared" si="52"/>
        <v>-10482062.08</v>
      </c>
      <c r="P153" s="327">
        <f t="shared" si="52"/>
        <v>-10231776</v>
      </c>
      <c r="Q153" s="327">
        <f t="shared" si="52"/>
        <v>-9838526</v>
      </c>
      <c r="R153" s="327">
        <f t="shared" si="52"/>
        <v>-9445276</v>
      </c>
      <c r="S153" s="327">
        <f t="shared" si="52"/>
        <v>-9445276</v>
      </c>
      <c r="T153" s="327">
        <f t="shared" si="52"/>
        <v>6737225</v>
      </c>
      <c r="U153" s="327">
        <f t="shared" si="52"/>
        <v>6737225</v>
      </c>
      <c r="V153" s="328">
        <f t="shared" si="52"/>
        <v>6737225</v>
      </c>
      <c r="W153" s="328">
        <f t="shared" si="52"/>
        <v>6737225</v>
      </c>
      <c r="X153" s="328">
        <f t="shared" si="52"/>
        <v>6737225</v>
      </c>
      <c r="Y153" s="328">
        <f t="shared" si="52"/>
        <v>6737225</v>
      </c>
      <c r="Z153" s="328">
        <f t="shared" si="52"/>
        <v>6737225</v>
      </c>
      <c r="AA153" s="328">
        <f t="shared" si="52"/>
        <v>6737225</v>
      </c>
      <c r="AB153" s="328">
        <f t="shared" si="52"/>
        <v>6737225</v>
      </c>
      <c r="AC153" s="328">
        <f t="shared" si="52"/>
        <v>6737225</v>
      </c>
      <c r="AD153" s="328">
        <f t="shared" si="52"/>
        <v>6737225</v>
      </c>
      <c r="AE153" s="328">
        <f t="shared" si="52"/>
        <v>6737225</v>
      </c>
      <c r="AF153" s="328">
        <f t="shared" si="52"/>
        <v>6737225</v>
      </c>
      <c r="AG153" s="328">
        <f t="shared" si="52"/>
        <v>6737225</v>
      </c>
      <c r="AH153" s="328">
        <f t="shared" si="52"/>
        <v>6737225</v>
      </c>
      <c r="AI153" s="328">
        <f t="shared" si="52"/>
        <v>6737225</v>
      </c>
      <c r="AJ153" s="328">
        <f t="shared" si="52"/>
        <v>6737225</v>
      </c>
      <c r="AK153" s="328">
        <f t="shared" si="52"/>
        <v>6737225</v>
      </c>
      <c r="AL153" s="328">
        <f t="shared" si="52"/>
        <v>6737225</v>
      </c>
      <c r="AM153" s="328">
        <f t="shared" si="52"/>
        <v>6737225</v>
      </c>
      <c r="AN153" s="328">
        <f t="shared" si="52"/>
        <v>6737225</v>
      </c>
      <c r="AO153" s="328">
        <f t="shared" si="52"/>
        <v>6737225</v>
      </c>
      <c r="AP153" s="328">
        <f t="shared" si="52"/>
        <v>6737225</v>
      </c>
      <c r="AQ153" s="328">
        <f t="shared" si="52"/>
        <v>6737225</v>
      </c>
      <c r="AR153" s="328">
        <f t="shared" si="52"/>
        <v>6737225</v>
      </c>
      <c r="AS153" s="328">
        <f t="shared" si="52"/>
        <v>6737225</v>
      </c>
      <c r="AT153" s="328">
        <f t="shared" si="52"/>
        <v>6737225</v>
      </c>
      <c r="AU153" s="328">
        <f t="shared" si="52"/>
        <v>6737225</v>
      </c>
      <c r="AV153" s="328">
        <f t="shared" si="52"/>
        <v>6737225</v>
      </c>
      <c r="AW153" s="328">
        <f t="shared" si="52"/>
        <v>6737225</v>
      </c>
      <c r="AX153" s="328">
        <f t="shared" si="52"/>
        <v>6737225</v>
      </c>
      <c r="AY153" s="328">
        <f t="shared" si="52"/>
        <v>6737225</v>
      </c>
      <c r="AZ153" s="328">
        <f t="shared" si="52"/>
        <v>6737225</v>
      </c>
      <c r="BA153" s="328">
        <f t="shared" si="52"/>
        <v>6737225</v>
      </c>
      <c r="BB153" s="328">
        <f t="shared" si="52"/>
        <v>6737225</v>
      </c>
      <c r="BC153" s="327">
        <f t="shared" si="52"/>
        <v>6737225</v>
      </c>
      <c r="BD153" s="327">
        <f t="shared" si="52"/>
        <v>6737225</v>
      </c>
      <c r="BE153" s="327">
        <f t="shared" si="52"/>
        <v>6737225</v>
      </c>
      <c r="BF153" s="327">
        <f t="shared" si="52"/>
        <v>6737225</v>
      </c>
      <c r="BG153" s="327">
        <f t="shared" si="52"/>
        <v>6737225</v>
      </c>
      <c r="BH153" s="327">
        <f t="shared" si="52"/>
        <v>6737225</v>
      </c>
      <c r="BI153" s="327">
        <f t="shared" si="52"/>
        <v>6737225</v>
      </c>
      <c r="BJ153" s="327">
        <f t="shared" si="52"/>
        <v>6737225</v>
      </c>
      <c r="BK153" s="327">
        <f t="shared" si="52"/>
        <v>6737225</v>
      </c>
      <c r="BL153" s="327">
        <f t="shared" si="52"/>
        <v>6737225</v>
      </c>
      <c r="BM153" s="327">
        <f t="shared" si="52"/>
        <v>6737225</v>
      </c>
      <c r="BN153" s="327">
        <f t="shared" si="52"/>
        <v>6737225</v>
      </c>
      <c r="BO153" s="327">
        <f t="shared" si="52"/>
        <v>6737225</v>
      </c>
      <c r="BP153" s="327">
        <f t="shared" si="52"/>
        <v>6737225</v>
      </c>
      <c r="BQ153" s="327">
        <f t="shared" si="52"/>
        <v>6737225</v>
      </c>
      <c r="BR153" s="327">
        <f t="shared" si="52"/>
        <v>6737225</v>
      </c>
      <c r="BS153" s="327">
        <f t="shared" si="52"/>
        <v>6737225</v>
      </c>
      <c r="BT153" s="327">
        <f t="shared" si="52"/>
        <v>6737225</v>
      </c>
      <c r="BU153" s="327">
        <f t="shared" si="52"/>
        <v>6737225</v>
      </c>
      <c r="BV153" s="327">
        <f t="shared" si="52"/>
        <v>6737225</v>
      </c>
      <c r="BW153" s="327">
        <f t="shared" si="52"/>
        <v>6737225</v>
      </c>
      <c r="BX153" s="327">
        <f t="shared" si="52"/>
        <v>6737225</v>
      </c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22"/>
      <c r="CO153" s="222"/>
      <c r="CP153" s="222"/>
      <c r="CQ153" s="222"/>
      <c r="CR153" s="222"/>
      <c r="CS153" s="222"/>
      <c r="CT153" s="222"/>
      <c r="CU153" s="222"/>
      <c r="CV153" s="222"/>
      <c r="CW153" s="222"/>
      <c r="CX153" s="222"/>
      <c r="CY153" s="222"/>
      <c r="CZ153" s="222"/>
      <c r="DA153" s="222"/>
      <c r="DB153" s="222"/>
      <c r="DC153" s="222"/>
      <c r="DD153" s="222"/>
      <c r="DE153" s="222"/>
      <c r="DF153" s="222"/>
      <c r="DG153" s="222"/>
      <c r="DH153" s="222"/>
      <c r="DI153" s="222"/>
      <c r="DJ153" s="222"/>
      <c r="DK153" s="222"/>
      <c r="DL153" s="222"/>
      <c r="DM153" s="222"/>
      <c r="DN153" s="222"/>
      <c r="DO153" s="222"/>
      <c r="DP153" s="222"/>
      <c r="DQ153" s="222"/>
      <c r="DR153" s="222"/>
      <c r="DS153" s="222"/>
      <c r="DT153" s="222"/>
      <c r="DU153" s="222"/>
      <c r="DV153" s="222"/>
      <c r="DW153" s="222"/>
      <c r="DX153" s="222"/>
      <c r="DY153" s="222"/>
      <c r="DZ153" s="222"/>
      <c r="EA153" s="222"/>
      <c r="EB153" s="222"/>
      <c r="EC153" s="222"/>
      <c r="ED153" s="222"/>
      <c r="EE153" s="222"/>
      <c r="EF153" s="222"/>
      <c r="EG153" s="222"/>
      <c r="EH153" s="222"/>
    </row>
    <row r="154" spans="1:138">
      <c r="A154" s="222"/>
      <c r="B154" s="318"/>
      <c r="C154" s="313" t="s">
        <v>292</v>
      </c>
      <c r="D154" s="322">
        <f>IRR(H152:T152)*12</f>
        <v>0.50984970210104663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2"/>
      <c r="BN154" s="222"/>
      <c r="BO154" s="222"/>
      <c r="BP154" s="222"/>
      <c r="BQ154" s="22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22"/>
      <c r="CO154" s="222"/>
      <c r="CP154" s="222"/>
      <c r="CQ154" s="222"/>
      <c r="CR154" s="222"/>
      <c r="CS154" s="222"/>
      <c r="CT154" s="222"/>
      <c r="CU154" s="222"/>
      <c r="CV154" s="222"/>
      <c r="CW154" s="222"/>
      <c r="CX154" s="222"/>
      <c r="CY154" s="222"/>
      <c r="CZ154" s="222"/>
      <c r="DA154" s="222"/>
      <c r="DB154" s="222"/>
      <c r="DC154" s="222"/>
      <c r="DD154" s="222"/>
      <c r="DE154" s="222"/>
      <c r="DF154" s="222"/>
      <c r="DG154" s="222"/>
      <c r="DH154" s="222"/>
      <c r="DI154" s="222"/>
      <c r="DJ154" s="222"/>
      <c r="DK154" s="222"/>
      <c r="DL154" s="222"/>
      <c r="DM154" s="222"/>
      <c r="DN154" s="222"/>
      <c r="DO154" s="222"/>
      <c r="DP154" s="222"/>
      <c r="DQ154" s="222"/>
      <c r="DR154" s="222"/>
      <c r="DS154" s="222"/>
      <c r="DT154" s="222"/>
      <c r="DU154" s="222"/>
      <c r="DV154" s="222"/>
      <c r="DW154" s="222"/>
      <c r="DX154" s="222"/>
      <c r="DY154" s="222"/>
      <c r="DZ154" s="222"/>
      <c r="EA154" s="222"/>
      <c r="EB154" s="222"/>
      <c r="EC154" s="222"/>
      <c r="ED154" s="222"/>
      <c r="EE154" s="222"/>
      <c r="EF154" s="222"/>
      <c r="EG154" s="222"/>
      <c r="EH154" s="222"/>
    </row>
    <row r="155" spans="1:138">
      <c r="A155" s="222"/>
      <c r="B155" s="318"/>
      <c r="C155" s="323" t="s">
        <v>300</v>
      </c>
      <c r="D155" s="324">
        <f>-MIN(M153:BL153)-D156</f>
        <v>10666587.08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  <c r="BQ155" s="22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22"/>
      <c r="CO155" s="222"/>
      <c r="CP155" s="222"/>
      <c r="CQ155" s="222"/>
      <c r="CR155" s="222"/>
      <c r="CS155" s="222"/>
      <c r="CT155" s="222"/>
      <c r="CU155" s="222"/>
      <c r="CV155" s="222"/>
      <c r="CW155" s="222"/>
      <c r="CX155" s="222"/>
      <c r="CY155" s="222"/>
      <c r="CZ155" s="222"/>
      <c r="DA155" s="222"/>
      <c r="DB155" s="222"/>
      <c r="DC155" s="222"/>
      <c r="DD155" s="222"/>
      <c r="DE155" s="222"/>
      <c r="DF155" s="222"/>
      <c r="DG155" s="222"/>
      <c r="DH155" s="222"/>
      <c r="DI155" s="222"/>
      <c r="DJ155" s="222"/>
      <c r="DK155" s="222"/>
      <c r="DL155" s="222"/>
      <c r="DM155" s="222"/>
      <c r="DN155" s="222"/>
      <c r="DO155" s="222"/>
      <c r="DP155" s="222"/>
      <c r="DQ155" s="222"/>
      <c r="DR155" s="222"/>
      <c r="DS155" s="222"/>
      <c r="DT155" s="222"/>
      <c r="DU155" s="222"/>
      <c r="DV155" s="222"/>
      <c r="DW155" s="222"/>
      <c r="DX155" s="222"/>
      <c r="DY155" s="222"/>
      <c r="DZ155" s="222"/>
      <c r="EA155" s="222"/>
      <c r="EB155" s="222"/>
      <c r="EC155" s="222"/>
      <c r="ED155" s="222"/>
      <c r="EE155" s="222"/>
      <c r="EF155" s="222"/>
      <c r="EG155" s="222"/>
      <c r="EH155" s="222"/>
    </row>
    <row r="156" spans="1:138">
      <c r="A156" s="222"/>
      <c r="B156" s="318"/>
      <c r="C156" s="323" t="s">
        <v>301</v>
      </c>
      <c r="D156" s="324">
        <f>-SUM(M151:BB151)</f>
        <v>0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2"/>
      <c r="BN156" s="222"/>
      <c r="BO156" s="222"/>
      <c r="BP156" s="222"/>
      <c r="BQ156" s="222"/>
      <c r="BR156" s="222"/>
      <c r="BS156" s="222"/>
      <c r="BT156" s="222"/>
      <c r="BU156" s="222"/>
      <c r="BV156" s="222"/>
      <c r="BW156" s="222"/>
      <c r="BX156" s="222"/>
      <c r="BY156" s="222"/>
      <c r="BZ156" s="222"/>
      <c r="CA156" s="222"/>
      <c r="CB156" s="222"/>
      <c r="CC156" s="222"/>
      <c r="CD156" s="222"/>
      <c r="CE156" s="222"/>
      <c r="CF156" s="222"/>
      <c r="CG156" s="222"/>
      <c r="CH156" s="222"/>
      <c r="CI156" s="222"/>
      <c r="CJ156" s="222"/>
      <c r="CK156" s="222"/>
      <c r="CL156" s="222"/>
      <c r="CM156" s="222"/>
      <c r="CN156" s="222"/>
      <c r="CO156" s="222"/>
      <c r="CP156" s="222"/>
      <c r="CQ156" s="222"/>
      <c r="CR156" s="222"/>
      <c r="CS156" s="222"/>
      <c r="CT156" s="222"/>
      <c r="CU156" s="222"/>
      <c r="CV156" s="222"/>
      <c r="CW156" s="222"/>
      <c r="CX156" s="222"/>
      <c r="CY156" s="222"/>
      <c r="CZ156" s="222"/>
      <c r="DA156" s="222"/>
      <c r="DB156" s="222"/>
      <c r="DC156" s="222"/>
      <c r="DD156" s="222"/>
      <c r="DE156" s="222"/>
      <c r="DF156" s="222"/>
      <c r="DG156" s="222"/>
      <c r="DH156" s="222"/>
      <c r="DI156" s="222"/>
      <c r="DJ156" s="222"/>
      <c r="DK156" s="222"/>
      <c r="DL156" s="222"/>
      <c r="DM156" s="222"/>
      <c r="DN156" s="222"/>
      <c r="DO156" s="222"/>
      <c r="DP156" s="222"/>
      <c r="DQ156" s="222"/>
      <c r="DR156" s="222"/>
      <c r="DS156" s="222"/>
      <c r="DT156" s="222"/>
      <c r="DU156" s="222"/>
      <c r="DV156" s="222"/>
      <c r="DW156" s="222"/>
      <c r="DX156" s="222"/>
      <c r="DY156" s="222"/>
      <c r="DZ156" s="222"/>
      <c r="EA156" s="222"/>
      <c r="EB156" s="222"/>
      <c r="EC156" s="222"/>
      <c r="ED156" s="222"/>
      <c r="EE156" s="222"/>
      <c r="EF156" s="222"/>
      <c r="EG156" s="222"/>
      <c r="EH156" s="222"/>
    </row>
    <row r="157" spans="1:138">
      <c r="A157" s="222"/>
      <c r="B157" s="318"/>
      <c r="C157" s="313" t="s">
        <v>302</v>
      </c>
      <c r="D157" s="326">
        <f>D156+D155</f>
        <v>10666587.08</v>
      </c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  <c r="BQ157" s="222"/>
      <c r="BR157" s="222"/>
      <c r="BS157" s="222"/>
      <c r="BT157" s="222"/>
      <c r="BU157" s="222"/>
      <c r="BV157" s="222"/>
      <c r="BW157" s="222"/>
      <c r="BX157" s="222"/>
      <c r="BY157" s="222"/>
      <c r="BZ157" s="222"/>
      <c r="CA157" s="222"/>
      <c r="CB157" s="222"/>
      <c r="CC157" s="222"/>
      <c r="CD157" s="222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2"/>
      <c r="CV157" s="222"/>
      <c r="CW157" s="222"/>
      <c r="CX157" s="222"/>
      <c r="CY157" s="222"/>
      <c r="CZ157" s="222"/>
      <c r="DA157" s="222"/>
      <c r="DB157" s="222"/>
      <c r="DC157" s="222"/>
      <c r="DD157" s="222"/>
      <c r="DE157" s="222"/>
      <c r="DF157" s="222"/>
      <c r="DG157" s="222"/>
      <c r="DH157" s="222"/>
      <c r="DI157" s="222"/>
      <c r="DJ157" s="222"/>
      <c r="DK157" s="222"/>
      <c r="DL157" s="222"/>
      <c r="DM157" s="222"/>
      <c r="DN157" s="222"/>
      <c r="DO157" s="222"/>
      <c r="DP157" s="222"/>
      <c r="DQ157" s="222"/>
      <c r="DR157" s="222"/>
      <c r="DS157" s="222"/>
      <c r="DT157" s="222"/>
      <c r="DU157" s="222"/>
      <c r="DV157" s="222"/>
      <c r="DW157" s="325"/>
      <c r="DX157" s="325"/>
      <c r="DY157" s="325"/>
      <c r="DZ157" s="325"/>
      <c r="EA157" s="325"/>
      <c r="EB157" s="325"/>
      <c r="EC157" s="325"/>
      <c r="ED157" s="325"/>
      <c r="EE157" s="325"/>
      <c r="EF157" s="325"/>
      <c r="EG157" s="325"/>
      <c r="EH157" s="325"/>
    </row>
    <row r="158" spans="1:138">
      <c r="A158" s="222"/>
      <c r="B158" s="318"/>
      <c r="C158" s="313" t="s">
        <v>303</v>
      </c>
      <c r="D158" s="326">
        <f>BX149+BX150</f>
        <v>0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  <c r="BL158" s="222"/>
      <c r="BM158" s="222"/>
      <c r="BN158" s="222"/>
      <c r="BO158" s="222"/>
      <c r="BP158" s="222"/>
      <c r="BQ158" s="222"/>
      <c r="BR158" s="222"/>
      <c r="BS158" s="222"/>
      <c r="BT158" s="222"/>
      <c r="BU158" s="222"/>
      <c r="BV158" s="222"/>
      <c r="BW158" s="222"/>
      <c r="BX158" s="222"/>
      <c r="BY158" s="222"/>
      <c r="BZ158" s="222"/>
      <c r="CA158" s="222"/>
      <c r="CB158" s="222"/>
      <c r="CC158" s="222"/>
      <c r="CD158" s="222"/>
      <c r="CE158" s="222"/>
      <c r="CF158" s="222"/>
      <c r="CG158" s="222"/>
      <c r="CH158" s="222"/>
      <c r="CI158" s="222"/>
      <c r="CJ158" s="222"/>
      <c r="CK158" s="222"/>
      <c r="CL158" s="222"/>
      <c r="CM158" s="222"/>
      <c r="CN158" s="222"/>
      <c r="CO158" s="222"/>
      <c r="CP158" s="222"/>
      <c r="CQ158" s="222"/>
      <c r="CR158" s="222"/>
      <c r="CS158" s="222"/>
      <c r="CT158" s="222"/>
      <c r="CU158" s="222"/>
      <c r="CV158" s="222"/>
      <c r="CW158" s="222"/>
      <c r="CX158" s="222"/>
      <c r="CY158" s="222"/>
      <c r="CZ158" s="222"/>
      <c r="DA158" s="222"/>
      <c r="DB158" s="222"/>
      <c r="DC158" s="222"/>
      <c r="DD158" s="222"/>
      <c r="DE158" s="222"/>
      <c r="DF158" s="222"/>
      <c r="DG158" s="222"/>
      <c r="DH158" s="222"/>
      <c r="DI158" s="222"/>
      <c r="DJ158" s="222"/>
      <c r="DK158" s="222"/>
      <c r="DL158" s="222"/>
      <c r="DM158" s="222"/>
      <c r="DN158" s="222"/>
      <c r="DO158" s="222"/>
      <c r="DP158" s="222"/>
      <c r="DQ158" s="222"/>
      <c r="DR158" s="222"/>
      <c r="DS158" s="222"/>
      <c r="DT158" s="222"/>
      <c r="DU158" s="222"/>
      <c r="DV158" s="222"/>
      <c r="DW158" s="325"/>
      <c r="DX158" s="325"/>
      <c r="DY158" s="325"/>
      <c r="DZ158" s="325"/>
      <c r="EA158" s="325"/>
      <c r="EB158" s="325"/>
      <c r="EC158" s="325"/>
      <c r="ED158" s="325"/>
      <c r="EE158" s="325"/>
      <c r="EF158" s="325"/>
      <c r="EG158" s="325"/>
      <c r="EH158" s="325"/>
    </row>
    <row r="159" spans="1:138">
      <c r="A159" s="222"/>
      <c r="B159" s="318"/>
      <c r="C159" s="313" t="s">
        <v>147</v>
      </c>
      <c r="D159" s="322">
        <f>T150/T147</f>
        <v>0.51486070537227191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2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2"/>
      <c r="BK159" s="222"/>
      <c r="BL159" s="222"/>
      <c r="BM159" s="222"/>
      <c r="BN159" s="222"/>
      <c r="BO159" s="222"/>
      <c r="BP159" s="222"/>
      <c r="BQ159" s="222"/>
      <c r="BR159" s="222"/>
      <c r="BS159" s="222"/>
      <c r="BT159" s="222"/>
      <c r="BU159" s="222"/>
      <c r="BV159" s="222"/>
      <c r="BW159" s="222"/>
      <c r="BX159" s="222"/>
      <c r="BY159" s="222"/>
      <c r="BZ159" s="222"/>
      <c r="CA159" s="222"/>
      <c r="CB159" s="222"/>
      <c r="CC159" s="222"/>
      <c r="CD159" s="222"/>
      <c r="CE159" s="222"/>
      <c r="CF159" s="222"/>
      <c r="CG159" s="222"/>
      <c r="CH159" s="222"/>
      <c r="CI159" s="222"/>
      <c r="CJ159" s="222"/>
      <c r="CK159" s="222"/>
      <c r="CL159" s="222"/>
      <c r="CM159" s="222"/>
      <c r="CN159" s="222"/>
      <c r="CO159" s="222"/>
      <c r="CP159" s="222"/>
      <c r="CQ159" s="222"/>
      <c r="CR159" s="222"/>
      <c r="CS159" s="222"/>
      <c r="CT159" s="222"/>
      <c r="CU159" s="222"/>
      <c r="CV159" s="222"/>
      <c r="CW159" s="222"/>
      <c r="CX159" s="222"/>
      <c r="CY159" s="222"/>
      <c r="CZ159" s="222"/>
      <c r="DA159" s="222"/>
      <c r="DB159" s="222"/>
      <c r="DC159" s="222"/>
      <c r="DD159" s="222"/>
      <c r="DE159" s="222"/>
      <c r="DF159" s="222"/>
      <c r="DG159" s="222"/>
      <c r="DH159" s="222"/>
      <c r="DI159" s="222"/>
      <c r="DJ159" s="222"/>
      <c r="DK159" s="222"/>
      <c r="DL159" s="222"/>
      <c r="DM159" s="222"/>
      <c r="DN159" s="222"/>
      <c r="DO159" s="222"/>
      <c r="DP159" s="222"/>
      <c r="DQ159" s="222"/>
      <c r="DR159" s="222"/>
      <c r="DS159" s="222"/>
      <c r="DT159" s="222"/>
      <c r="DU159" s="222"/>
      <c r="DV159" s="222"/>
      <c r="DW159" s="325"/>
      <c r="DX159" s="325"/>
      <c r="DY159" s="325"/>
      <c r="DZ159" s="325"/>
      <c r="EA159" s="325"/>
      <c r="EB159" s="325"/>
      <c r="EC159" s="325"/>
      <c r="ED159" s="325"/>
      <c r="EE159" s="325"/>
      <c r="EF159" s="325"/>
      <c r="EG159" s="325"/>
      <c r="EH159" s="325"/>
    </row>
    <row r="162" spans="1:138">
      <c r="A162" s="222"/>
      <c r="B162" s="318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222"/>
      <c r="AF162" s="222"/>
      <c r="AG162" s="222"/>
      <c r="AH162" s="222"/>
      <c r="AI162" s="222"/>
      <c r="AJ162" s="222"/>
      <c r="AK162" s="222"/>
      <c r="AL162" s="222"/>
      <c r="AM162" s="222"/>
      <c r="AN162" s="222"/>
      <c r="AO162" s="222"/>
      <c r="AP162" s="222"/>
      <c r="AQ162" s="222"/>
      <c r="AR162" s="222"/>
      <c r="AS162" s="222"/>
      <c r="AT162" s="222"/>
      <c r="AU162" s="222"/>
      <c r="AV162" s="222"/>
      <c r="AW162" s="222"/>
      <c r="AX162" s="222"/>
      <c r="AY162" s="222"/>
      <c r="AZ162" s="222"/>
      <c r="BA162" s="222"/>
      <c r="BB162" s="222"/>
      <c r="BC162" s="222"/>
      <c r="BD162" s="222"/>
      <c r="BE162" s="222"/>
      <c r="BF162" s="222"/>
      <c r="BG162" s="222"/>
      <c r="BH162" s="222"/>
      <c r="BI162" s="222"/>
      <c r="BJ162" s="222"/>
      <c r="BK162" s="222"/>
      <c r="BL162" s="222"/>
      <c r="BM162" s="222"/>
      <c r="BN162" s="222"/>
      <c r="BO162" s="222"/>
      <c r="BP162" s="222"/>
      <c r="BQ162" s="222"/>
      <c r="BR162" s="222"/>
      <c r="BS162" s="222"/>
      <c r="BT162" s="222"/>
      <c r="BU162" s="222"/>
      <c r="BV162" s="222"/>
      <c r="BW162" s="222"/>
      <c r="BX162" s="222"/>
      <c r="BY162" s="222"/>
      <c r="BZ162" s="222"/>
      <c r="CA162" s="222"/>
      <c r="CB162" s="222"/>
      <c r="CC162" s="222"/>
      <c r="CD162" s="222"/>
      <c r="CE162" s="222"/>
      <c r="CF162" s="222"/>
      <c r="CG162" s="222"/>
      <c r="CH162" s="222"/>
      <c r="CI162" s="222"/>
      <c r="CJ162" s="222"/>
      <c r="CK162" s="222"/>
      <c r="CL162" s="222"/>
      <c r="CM162" s="222"/>
      <c r="CN162" s="222"/>
      <c r="CO162" s="222"/>
      <c r="CP162" s="222"/>
      <c r="CQ162" s="222"/>
      <c r="CR162" s="222"/>
      <c r="CS162" s="222"/>
      <c r="CT162" s="222"/>
      <c r="CU162" s="222"/>
      <c r="CV162" s="222"/>
      <c r="CW162" s="222"/>
      <c r="CX162" s="222"/>
      <c r="CY162" s="222"/>
      <c r="CZ162" s="222"/>
      <c r="DA162" s="222"/>
      <c r="DB162" s="222"/>
      <c r="DC162" s="222"/>
      <c r="DD162" s="222"/>
      <c r="DE162" s="222"/>
      <c r="DF162" s="222"/>
      <c r="DG162" s="222"/>
      <c r="DH162" s="222"/>
      <c r="DI162" s="222"/>
      <c r="DJ162" s="222"/>
      <c r="DK162" s="222"/>
      <c r="DL162" s="222"/>
      <c r="DM162" s="222"/>
      <c r="DN162" s="222"/>
      <c r="DO162" s="222"/>
      <c r="DP162" s="222"/>
      <c r="DQ162" s="222"/>
      <c r="DR162" s="222"/>
      <c r="DS162" s="222"/>
      <c r="DT162" s="222"/>
      <c r="DU162" s="222"/>
      <c r="DV162" s="222"/>
      <c r="DW162" s="325"/>
      <c r="DX162" s="325"/>
      <c r="DY162" s="325"/>
      <c r="DZ162" s="325"/>
      <c r="EA162" s="325"/>
      <c r="EB162" s="325"/>
      <c r="EC162" s="325"/>
      <c r="ED162" s="325"/>
      <c r="EE162" s="325"/>
      <c r="EF162" s="325"/>
      <c r="EG162" s="325"/>
      <c r="EH162" s="325"/>
    </row>
    <row r="163" spans="1:138">
      <c r="A163" s="222"/>
      <c r="B163" s="318"/>
      <c r="C163" s="310" t="s">
        <v>308</v>
      </c>
      <c r="D163" s="311"/>
      <c r="E163" s="311">
        <f t="shared" ref="E163:G163" si="53">-(E7+E93)</f>
        <v>0</v>
      </c>
      <c r="F163" s="311">
        <f t="shared" si="53"/>
        <v>0</v>
      </c>
      <c r="G163" s="311">
        <f t="shared" si="53"/>
        <v>0</v>
      </c>
      <c r="H163" s="311">
        <f>-5341205.5</f>
        <v>-5341205.5</v>
      </c>
      <c r="I163" s="311">
        <f t="shared" ref="I163:S163" si="54">-(I7+I93)</f>
        <v>0</v>
      </c>
      <c r="J163" s="311">
        <f t="shared" si="54"/>
        <v>0</v>
      </c>
      <c r="K163" s="311">
        <f t="shared" si="54"/>
        <v>0</v>
      </c>
      <c r="L163" s="311">
        <f t="shared" si="54"/>
        <v>0</v>
      </c>
      <c r="M163" s="311">
        <f t="shared" si="54"/>
        <v>0</v>
      </c>
      <c r="N163" s="311">
        <f t="shared" si="54"/>
        <v>0</v>
      </c>
      <c r="O163" s="311">
        <f t="shared" si="54"/>
        <v>0</v>
      </c>
      <c r="P163" s="311">
        <f t="shared" si="54"/>
        <v>0</v>
      </c>
      <c r="Q163" s="311">
        <f t="shared" si="54"/>
        <v>0</v>
      </c>
      <c r="R163" s="311">
        <f t="shared" si="54"/>
        <v>0</v>
      </c>
      <c r="S163" s="311">
        <f t="shared" si="54"/>
        <v>0</v>
      </c>
      <c r="T163" s="311">
        <f>5341205.5</f>
        <v>5341205.5</v>
      </c>
      <c r="U163" s="311">
        <f t="shared" ref="U163:BX163" si="55">-(U7+U93)</f>
        <v>0</v>
      </c>
      <c r="V163" s="311">
        <f t="shared" si="55"/>
        <v>0</v>
      </c>
      <c r="W163" s="311">
        <f t="shared" si="55"/>
        <v>0</v>
      </c>
      <c r="X163" s="311">
        <f t="shared" si="55"/>
        <v>0</v>
      </c>
      <c r="Y163" s="311">
        <f t="shared" si="55"/>
        <v>0</v>
      </c>
      <c r="Z163" s="311">
        <f t="shared" si="55"/>
        <v>0</v>
      </c>
      <c r="AA163" s="311">
        <f t="shared" si="55"/>
        <v>0</v>
      </c>
      <c r="AB163" s="311">
        <f t="shared" si="55"/>
        <v>0</v>
      </c>
      <c r="AC163" s="311">
        <f t="shared" si="55"/>
        <v>0</v>
      </c>
      <c r="AD163" s="311">
        <f t="shared" si="55"/>
        <v>0</v>
      </c>
      <c r="AE163" s="311">
        <f t="shared" si="55"/>
        <v>0</v>
      </c>
      <c r="AF163" s="311">
        <f t="shared" si="55"/>
        <v>0</v>
      </c>
      <c r="AG163" s="311">
        <f t="shared" si="55"/>
        <v>0</v>
      </c>
      <c r="AH163" s="311">
        <f t="shared" si="55"/>
        <v>0</v>
      </c>
      <c r="AI163" s="311">
        <f t="shared" si="55"/>
        <v>0</v>
      </c>
      <c r="AJ163" s="311">
        <f t="shared" si="55"/>
        <v>0</v>
      </c>
      <c r="AK163" s="311">
        <f t="shared" si="55"/>
        <v>0</v>
      </c>
      <c r="AL163" s="311">
        <f t="shared" si="55"/>
        <v>0</v>
      </c>
      <c r="AM163" s="311">
        <f t="shared" si="55"/>
        <v>0</v>
      </c>
      <c r="AN163" s="311">
        <f t="shared" si="55"/>
        <v>0</v>
      </c>
      <c r="AO163" s="311">
        <f t="shared" si="55"/>
        <v>0</v>
      </c>
      <c r="AP163" s="311">
        <f t="shared" si="55"/>
        <v>0</v>
      </c>
      <c r="AQ163" s="311">
        <f t="shared" si="55"/>
        <v>0</v>
      </c>
      <c r="AR163" s="311">
        <f t="shared" si="55"/>
        <v>0</v>
      </c>
      <c r="AS163" s="311">
        <f t="shared" si="55"/>
        <v>0</v>
      </c>
      <c r="AT163" s="311">
        <f t="shared" si="55"/>
        <v>0</v>
      </c>
      <c r="AU163" s="311">
        <f t="shared" si="55"/>
        <v>0</v>
      </c>
      <c r="AV163" s="311">
        <f t="shared" si="55"/>
        <v>0</v>
      </c>
      <c r="AW163" s="311">
        <f t="shared" si="55"/>
        <v>0</v>
      </c>
      <c r="AX163" s="311">
        <f t="shared" si="55"/>
        <v>0</v>
      </c>
      <c r="AY163" s="311">
        <f t="shared" si="55"/>
        <v>0</v>
      </c>
      <c r="AZ163" s="311">
        <f t="shared" si="55"/>
        <v>0</v>
      </c>
      <c r="BA163" s="311">
        <f t="shared" si="55"/>
        <v>0</v>
      </c>
      <c r="BB163" s="311">
        <f t="shared" si="55"/>
        <v>0</v>
      </c>
      <c r="BC163" s="311">
        <f t="shared" si="55"/>
        <v>0</v>
      </c>
      <c r="BD163" s="311">
        <f t="shared" si="55"/>
        <v>0</v>
      </c>
      <c r="BE163" s="311">
        <f t="shared" si="55"/>
        <v>0</v>
      </c>
      <c r="BF163" s="311">
        <f t="shared" si="55"/>
        <v>0</v>
      </c>
      <c r="BG163" s="311">
        <f t="shared" si="55"/>
        <v>0</v>
      </c>
      <c r="BH163" s="311">
        <f t="shared" si="55"/>
        <v>0</v>
      </c>
      <c r="BI163" s="311">
        <f t="shared" si="55"/>
        <v>0</v>
      </c>
      <c r="BJ163" s="311">
        <f t="shared" si="55"/>
        <v>0</v>
      </c>
      <c r="BK163" s="311">
        <f t="shared" si="55"/>
        <v>0</v>
      </c>
      <c r="BL163" s="311">
        <f t="shared" si="55"/>
        <v>0</v>
      </c>
      <c r="BM163" s="311">
        <f t="shared" si="55"/>
        <v>0</v>
      </c>
      <c r="BN163" s="311">
        <f t="shared" si="55"/>
        <v>0</v>
      </c>
      <c r="BO163" s="311">
        <f t="shared" si="55"/>
        <v>0</v>
      </c>
      <c r="BP163" s="311">
        <f t="shared" si="55"/>
        <v>0</v>
      </c>
      <c r="BQ163" s="311">
        <f t="shared" si="55"/>
        <v>0</v>
      </c>
      <c r="BR163" s="311">
        <f t="shared" si="55"/>
        <v>0</v>
      </c>
      <c r="BS163" s="311">
        <f t="shared" si="55"/>
        <v>0</v>
      </c>
      <c r="BT163" s="311">
        <f t="shared" si="55"/>
        <v>0</v>
      </c>
      <c r="BU163" s="311">
        <f t="shared" si="55"/>
        <v>0</v>
      </c>
      <c r="BV163" s="311">
        <f t="shared" si="55"/>
        <v>0</v>
      </c>
      <c r="BW163" s="311">
        <f t="shared" si="55"/>
        <v>0</v>
      </c>
      <c r="BX163" s="311">
        <f t="shared" si="55"/>
        <v>0</v>
      </c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  <c r="CJ163" s="222"/>
      <c r="CK163" s="222"/>
      <c r="CL163" s="222"/>
      <c r="CM163" s="222"/>
      <c r="CN163" s="222"/>
      <c r="CO163" s="222"/>
      <c r="CP163" s="222"/>
      <c r="CQ163" s="222"/>
      <c r="CR163" s="222"/>
      <c r="CS163" s="222"/>
      <c r="CT163" s="222"/>
      <c r="CU163" s="222"/>
      <c r="CV163" s="222"/>
      <c r="CW163" s="222"/>
      <c r="CX163" s="222"/>
      <c r="CY163" s="222"/>
      <c r="CZ163" s="222"/>
      <c r="DA163" s="222"/>
      <c r="DB163" s="222"/>
      <c r="DC163" s="222"/>
      <c r="DD163" s="222"/>
      <c r="DE163" s="222"/>
      <c r="DF163" s="222"/>
      <c r="DG163" s="222"/>
      <c r="DH163" s="222"/>
      <c r="DI163" s="222"/>
      <c r="DJ163" s="222"/>
      <c r="DK163" s="222"/>
      <c r="DL163" s="222"/>
      <c r="DM163" s="222"/>
      <c r="DN163" s="222"/>
      <c r="DO163" s="222"/>
      <c r="DP163" s="222"/>
      <c r="DQ163" s="222"/>
      <c r="DR163" s="222"/>
      <c r="DS163" s="222"/>
      <c r="DT163" s="222"/>
      <c r="DU163" s="222"/>
      <c r="DV163" s="222"/>
      <c r="DW163" s="325"/>
      <c r="DX163" s="325"/>
      <c r="DY163" s="325"/>
      <c r="DZ163" s="325"/>
      <c r="EA163" s="325"/>
      <c r="EB163" s="325"/>
      <c r="EC163" s="325"/>
      <c r="ED163" s="325"/>
      <c r="EE163" s="325"/>
      <c r="EF163" s="325"/>
      <c r="EG163" s="325"/>
      <c r="EH163" s="325"/>
    </row>
    <row r="164" spans="1:138">
      <c r="A164" s="222"/>
      <c r="B164" s="318"/>
      <c r="C164" s="310" t="s">
        <v>305</v>
      </c>
      <c r="D164" s="319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222"/>
      <c r="BZ164" s="222"/>
      <c r="CA164" s="222"/>
      <c r="CB164" s="222"/>
      <c r="CC164" s="222"/>
      <c r="CD164" s="222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2"/>
      <c r="CV164" s="222"/>
      <c r="CW164" s="222"/>
      <c r="CX164" s="222"/>
      <c r="CY164" s="222"/>
      <c r="CZ164" s="222"/>
      <c r="DA164" s="222"/>
      <c r="DB164" s="222"/>
      <c r="DC164" s="222"/>
      <c r="DD164" s="222"/>
      <c r="DE164" s="222"/>
      <c r="DF164" s="222"/>
      <c r="DG164" s="222"/>
      <c r="DH164" s="222"/>
      <c r="DI164" s="222"/>
      <c r="DJ164" s="222"/>
      <c r="DK164" s="222"/>
      <c r="DL164" s="222"/>
      <c r="DM164" s="222"/>
      <c r="DN164" s="222"/>
      <c r="DO164" s="222"/>
      <c r="DP164" s="222"/>
      <c r="DQ164" s="222"/>
      <c r="DR164" s="222"/>
      <c r="DS164" s="222"/>
      <c r="DT164" s="222"/>
      <c r="DU164" s="222"/>
      <c r="DV164" s="222"/>
      <c r="DW164" s="325"/>
      <c r="DX164" s="325"/>
      <c r="DY164" s="325"/>
      <c r="DZ164" s="325"/>
      <c r="EA164" s="325"/>
      <c r="EB164" s="325"/>
      <c r="EC164" s="325"/>
      <c r="ED164" s="325"/>
      <c r="EE164" s="325"/>
      <c r="EF164" s="325"/>
      <c r="EG164" s="325"/>
      <c r="EH164" s="325"/>
    </row>
    <row r="165" spans="1:138">
      <c r="A165" s="222"/>
      <c r="B165" s="318"/>
      <c r="C165" s="310" t="s">
        <v>296</v>
      </c>
      <c r="D165" s="319"/>
      <c r="E165" s="311">
        <f t="shared" ref="E165:BX165" si="56">-E58</f>
        <v>0</v>
      </c>
      <c r="F165" s="311">
        <f t="shared" si="56"/>
        <v>0</v>
      </c>
      <c r="G165" s="311">
        <f t="shared" si="56"/>
        <v>0</v>
      </c>
      <c r="H165" s="311">
        <f t="shared" si="56"/>
        <v>0</v>
      </c>
      <c r="I165" s="311">
        <f t="shared" si="56"/>
        <v>0</v>
      </c>
      <c r="J165" s="311">
        <f t="shared" si="56"/>
        <v>0</v>
      </c>
      <c r="K165" s="311">
        <f t="shared" si="56"/>
        <v>0</v>
      </c>
      <c r="L165" s="311">
        <f t="shared" si="56"/>
        <v>0</v>
      </c>
      <c r="M165" s="311">
        <f t="shared" si="56"/>
        <v>0</v>
      </c>
      <c r="N165" s="311">
        <f t="shared" si="56"/>
        <v>0</v>
      </c>
      <c r="O165" s="311">
        <f t="shared" si="56"/>
        <v>0</v>
      </c>
      <c r="P165" s="311">
        <f t="shared" si="56"/>
        <v>0</v>
      </c>
      <c r="Q165" s="311">
        <f t="shared" si="56"/>
        <v>0</v>
      </c>
      <c r="R165" s="311">
        <f t="shared" si="56"/>
        <v>0</v>
      </c>
      <c r="S165" s="311">
        <f t="shared" si="56"/>
        <v>0</v>
      </c>
      <c r="T165" s="311">
        <f t="shared" si="56"/>
        <v>0</v>
      </c>
      <c r="U165" s="311">
        <f t="shared" si="56"/>
        <v>0</v>
      </c>
      <c r="V165" s="311">
        <f t="shared" si="56"/>
        <v>0</v>
      </c>
      <c r="W165" s="311">
        <f t="shared" si="56"/>
        <v>0</v>
      </c>
      <c r="X165" s="311">
        <f t="shared" si="56"/>
        <v>0</v>
      </c>
      <c r="Y165" s="311">
        <f t="shared" si="56"/>
        <v>0</v>
      </c>
      <c r="Z165" s="311">
        <f t="shared" si="56"/>
        <v>0</v>
      </c>
      <c r="AA165" s="311">
        <f t="shared" si="56"/>
        <v>0</v>
      </c>
      <c r="AB165" s="311">
        <f t="shared" si="56"/>
        <v>0</v>
      </c>
      <c r="AC165" s="311">
        <f t="shared" si="56"/>
        <v>0</v>
      </c>
      <c r="AD165" s="311">
        <f t="shared" si="56"/>
        <v>0</v>
      </c>
      <c r="AE165" s="311">
        <f t="shared" si="56"/>
        <v>0</v>
      </c>
      <c r="AF165" s="311">
        <f t="shared" si="56"/>
        <v>0</v>
      </c>
      <c r="AG165" s="311">
        <f t="shared" si="56"/>
        <v>0</v>
      </c>
      <c r="AH165" s="311">
        <f t="shared" si="56"/>
        <v>0</v>
      </c>
      <c r="AI165" s="311">
        <f t="shared" si="56"/>
        <v>0</v>
      </c>
      <c r="AJ165" s="311">
        <f t="shared" si="56"/>
        <v>0</v>
      </c>
      <c r="AK165" s="311">
        <f t="shared" si="56"/>
        <v>0</v>
      </c>
      <c r="AL165" s="311">
        <f t="shared" si="56"/>
        <v>0</v>
      </c>
      <c r="AM165" s="311">
        <f t="shared" si="56"/>
        <v>0</v>
      </c>
      <c r="AN165" s="311">
        <f t="shared" si="56"/>
        <v>0</v>
      </c>
      <c r="AO165" s="311">
        <f t="shared" si="56"/>
        <v>0</v>
      </c>
      <c r="AP165" s="311">
        <f t="shared" si="56"/>
        <v>0</v>
      </c>
      <c r="AQ165" s="311">
        <f t="shared" si="56"/>
        <v>0</v>
      </c>
      <c r="AR165" s="311">
        <f t="shared" si="56"/>
        <v>0</v>
      </c>
      <c r="AS165" s="311">
        <f t="shared" si="56"/>
        <v>0</v>
      </c>
      <c r="AT165" s="311">
        <f t="shared" si="56"/>
        <v>0</v>
      </c>
      <c r="AU165" s="311">
        <f t="shared" si="56"/>
        <v>0</v>
      </c>
      <c r="AV165" s="311">
        <f t="shared" si="56"/>
        <v>0</v>
      </c>
      <c r="AW165" s="311">
        <f t="shared" si="56"/>
        <v>0</v>
      </c>
      <c r="AX165" s="311">
        <f t="shared" si="56"/>
        <v>0</v>
      </c>
      <c r="AY165" s="311">
        <f t="shared" si="56"/>
        <v>0</v>
      </c>
      <c r="AZ165" s="311">
        <f t="shared" si="56"/>
        <v>0</v>
      </c>
      <c r="BA165" s="311">
        <f t="shared" si="56"/>
        <v>0</v>
      </c>
      <c r="BB165" s="311">
        <f t="shared" si="56"/>
        <v>0</v>
      </c>
      <c r="BC165" s="311">
        <f t="shared" si="56"/>
        <v>0</v>
      </c>
      <c r="BD165" s="311">
        <f t="shared" si="56"/>
        <v>0</v>
      </c>
      <c r="BE165" s="311">
        <f t="shared" si="56"/>
        <v>0</v>
      </c>
      <c r="BF165" s="311">
        <f t="shared" si="56"/>
        <v>0</v>
      </c>
      <c r="BG165" s="311">
        <f t="shared" si="56"/>
        <v>0</v>
      </c>
      <c r="BH165" s="311">
        <f t="shared" si="56"/>
        <v>0</v>
      </c>
      <c r="BI165" s="311">
        <f t="shared" si="56"/>
        <v>0</v>
      </c>
      <c r="BJ165" s="311">
        <f t="shared" si="56"/>
        <v>0</v>
      </c>
      <c r="BK165" s="311">
        <f t="shared" si="56"/>
        <v>0</v>
      </c>
      <c r="BL165" s="311">
        <f t="shared" si="56"/>
        <v>0</v>
      </c>
      <c r="BM165" s="311">
        <f t="shared" si="56"/>
        <v>0</v>
      </c>
      <c r="BN165" s="311">
        <f t="shared" si="56"/>
        <v>0</v>
      </c>
      <c r="BO165" s="311">
        <f t="shared" si="56"/>
        <v>0</v>
      </c>
      <c r="BP165" s="311">
        <f t="shared" si="56"/>
        <v>0</v>
      </c>
      <c r="BQ165" s="311">
        <f t="shared" si="56"/>
        <v>0</v>
      </c>
      <c r="BR165" s="311">
        <f t="shared" si="56"/>
        <v>0</v>
      </c>
      <c r="BS165" s="311">
        <f t="shared" si="56"/>
        <v>0</v>
      </c>
      <c r="BT165" s="311">
        <f t="shared" si="56"/>
        <v>0</v>
      </c>
      <c r="BU165" s="311">
        <f t="shared" si="56"/>
        <v>0</v>
      </c>
      <c r="BV165" s="311">
        <f t="shared" si="56"/>
        <v>0</v>
      </c>
      <c r="BW165" s="311">
        <f t="shared" si="56"/>
        <v>0</v>
      </c>
      <c r="BX165" s="311">
        <f t="shared" si="56"/>
        <v>0</v>
      </c>
      <c r="BY165" s="222"/>
      <c r="BZ165" s="222"/>
      <c r="CA165" s="222"/>
      <c r="CB165" s="222"/>
      <c r="CC165" s="222"/>
      <c r="CD165" s="222"/>
      <c r="CE165" s="222"/>
      <c r="CF165" s="222"/>
      <c r="CG165" s="222"/>
      <c r="CH165" s="222"/>
      <c r="CI165" s="222"/>
      <c r="CJ165" s="222"/>
      <c r="CK165" s="222"/>
      <c r="CL165" s="222"/>
      <c r="CM165" s="222"/>
      <c r="CN165" s="222"/>
      <c r="CO165" s="222"/>
      <c r="CP165" s="222"/>
      <c r="CQ165" s="222"/>
      <c r="CR165" s="222"/>
      <c r="CS165" s="222"/>
      <c r="CT165" s="222"/>
      <c r="CU165" s="222"/>
      <c r="CV165" s="222"/>
      <c r="CW165" s="222"/>
      <c r="CX165" s="222"/>
      <c r="CY165" s="222"/>
      <c r="CZ165" s="222"/>
      <c r="DA165" s="222"/>
      <c r="DB165" s="222"/>
      <c r="DC165" s="222"/>
      <c r="DD165" s="222"/>
      <c r="DE165" s="222"/>
      <c r="DF165" s="222"/>
      <c r="DG165" s="222"/>
      <c r="DH165" s="222"/>
      <c r="DI165" s="222"/>
      <c r="DJ165" s="222"/>
      <c r="DK165" s="222"/>
      <c r="DL165" s="222"/>
      <c r="DM165" s="222"/>
      <c r="DN165" s="222"/>
      <c r="DO165" s="222"/>
      <c r="DP165" s="222"/>
      <c r="DQ165" s="222"/>
      <c r="DR165" s="222"/>
      <c r="DS165" s="222"/>
      <c r="DT165" s="222"/>
      <c r="DU165" s="222"/>
      <c r="DV165" s="222"/>
      <c r="DW165" s="325"/>
      <c r="DX165" s="325"/>
      <c r="DY165" s="325"/>
      <c r="DZ165" s="325"/>
      <c r="EA165" s="325"/>
      <c r="EB165" s="325"/>
      <c r="EC165" s="325"/>
      <c r="ED165" s="325"/>
      <c r="EE165" s="325"/>
      <c r="EF165" s="325"/>
      <c r="EG165" s="325"/>
      <c r="EH165" s="325"/>
    </row>
    <row r="166" spans="1:138">
      <c r="A166" s="222"/>
      <c r="B166" s="318"/>
      <c r="C166" s="310" t="s">
        <v>297</v>
      </c>
      <c r="D166" s="319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  <c r="O166" s="311"/>
      <c r="P166" s="311"/>
      <c r="Q166" s="311"/>
      <c r="R166" s="311"/>
      <c r="S166" s="311"/>
      <c r="T166" s="311">
        <v>2750000</v>
      </c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1"/>
      <c r="AH166" s="311"/>
      <c r="AI166" s="311"/>
      <c r="AJ166" s="311"/>
      <c r="AK166" s="311"/>
      <c r="AL166" s="311"/>
      <c r="AM166" s="311"/>
      <c r="AN166" s="311"/>
      <c r="AO166" s="311"/>
      <c r="AP166" s="311"/>
      <c r="AQ166" s="311"/>
      <c r="AR166" s="311"/>
      <c r="AS166" s="311"/>
      <c r="AT166" s="311"/>
      <c r="AU166" s="311"/>
      <c r="AV166" s="311"/>
      <c r="AW166" s="311"/>
      <c r="AX166" s="311"/>
      <c r="AY166" s="311"/>
      <c r="AZ166" s="311"/>
      <c r="BA166" s="311"/>
      <c r="BB166" s="311"/>
      <c r="BC166" s="311"/>
      <c r="BD166" s="311"/>
      <c r="BE166" s="311"/>
      <c r="BF166" s="311"/>
      <c r="BG166" s="311"/>
      <c r="BH166" s="311"/>
      <c r="BI166" s="311"/>
      <c r="BJ166" s="311"/>
      <c r="BK166" s="311"/>
      <c r="BL166" s="311"/>
      <c r="BM166" s="311"/>
      <c r="BN166" s="311"/>
      <c r="BO166" s="311"/>
      <c r="BP166" s="311"/>
      <c r="BQ166" s="311"/>
      <c r="BR166" s="311"/>
      <c r="BS166" s="311"/>
      <c r="BT166" s="311"/>
      <c r="BU166" s="311"/>
      <c r="BV166" s="311"/>
      <c r="BW166" s="311"/>
      <c r="BX166" s="311">
        <f>IF(D106&gt;0.25,(BX101-BX109)*D167,BX101*D167)</f>
        <v>0</v>
      </c>
      <c r="BY166" s="222"/>
      <c r="BZ166" s="222"/>
      <c r="CA166" s="222"/>
      <c r="CB166" s="222"/>
      <c r="CC166" s="222"/>
      <c r="CD166" s="222"/>
      <c r="CE166" s="222"/>
      <c r="CF166" s="222"/>
      <c r="CG166" s="222"/>
      <c r="CH166" s="222"/>
      <c r="CI166" s="222"/>
      <c r="CJ166" s="222"/>
      <c r="CK166" s="222"/>
      <c r="CL166" s="222"/>
      <c r="CM166" s="222"/>
      <c r="CN166" s="222"/>
      <c r="CO166" s="222"/>
      <c r="CP166" s="222"/>
      <c r="CQ166" s="222"/>
      <c r="CR166" s="222"/>
      <c r="CS166" s="222"/>
      <c r="CT166" s="222"/>
      <c r="CU166" s="222"/>
      <c r="CV166" s="222"/>
      <c r="CW166" s="222"/>
      <c r="CX166" s="222"/>
      <c r="CY166" s="222"/>
      <c r="CZ166" s="222"/>
      <c r="DA166" s="222"/>
      <c r="DB166" s="222"/>
      <c r="DC166" s="222"/>
      <c r="DD166" s="222"/>
      <c r="DE166" s="222"/>
      <c r="DF166" s="222"/>
      <c r="DG166" s="222"/>
      <c r="DH166" s="222"/>
      <c r="DI166" s="222"/>
      <c r="DJ166" s="222"/>
      <c r="DK166" s="222"/>
      <c r="DL166" s="222"/>
      <c r="DM166" s="222"/>
      <c r="DN166" s="222"/>
      <c r="DO166" s="222"/>
      <c r="DP166" s="222"/>
      <c r="DQ166" s="222"/>
      <c r="DR166" s="222"/>
      <c r="DS166" s="222"/>
      <c r="DT166" s="222"/>
      <c r="DU166" s="222"/>
      <c r="DV166" s="222"/>
      <c r="DW166" s="325"/>
      <c r="DX166" s="325"/>
      <c r="DY166" s="325"/>
      <c r="DZ166" s="325"/>
      <c r="EA166" s="325"/>
      <c r="EB166" s="325"/>
      <c r="EC166" s="325"/>
      <c r="ED166" s="325"/>
      <c r="EE166" s="325"/>
      <c r="EF166" s="325"/>
      <c r="EG166" s="325"/>
      <c r="EH166" s="325"/>
    </row>
    <row r="167" spans="1:138">
      <c r="A167" s="222"/>
      <c r="B167" s="318"/>
      <c r="C167" s="313" t="s">
        <v>298</v>
      </c>
      <c r="D167" s="319">
        <v>0</v>
      </c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  <c r="CJ167" s="222"/>
      <c r="CK167" s="222"/>
      <c r="CL167" s="222"/>
      <c r="CM167" s="222"/>
      <c r="CN167" s="222"/>
      <c r="CO167" s="222"/>
      <c r="CP167" s="222"/>
      <c r="CQ167" s="222"/>
      <c r="CR167" s="222"/>
      <c r="CS167" s="222"/>
      <c r="CT167" s="222"/>
      <c r="CU167" s="222"/>
      <c r="CV167" s="222"/>
      <c r="CW167" s="222"/>
      <c r="CX167" s="222"/>
      <c r="CY167" s="222"/>
      <c r="CZ167" s="222"/>
      <c r="DA167" s="222"/>
      <c r="DB167" s="222"/>
      <c r="DC167" s="222"/>
      <c r="DD167" s="222"/>
      <c r="DE167" s="222"/>
      <c r="DF167" s="222"/>
      <c r="DG167" s="222"/>
      <c r="DH167" s="222"/>
      <c r="DI167" s="222"/>
      <c r="DJ167" s="222"/>
      <c r="DK167" s="222"/>
      <c r="DL167" s="222"/>
      <c r="DM167" s="222"/>
      <c r="DN167" s="222"/>
      <c r="DO167" s="222"/>
      <c r="DP167" s="222"/>
      <c r="DQ167" s="222"/>
      <c r="DR167" s="222"/>
      <c r="DS167" s="222"/>
      <c r="DT167" s="222"/>
      <c r="DU167" s="222"/>
      <c r="DV167" s="222"/>
      <c r="DW167" s="325"/>
      <c r="DX167" s="325"/>
      <c r="DY167" s="325"/>
      <c r="DZ167" s="325"/>
      <c r="EA167" s="325"/>
      <c r="EB167" s="325"/>
      <c r="EC167" s="325"/>
      <c r="ED167" s="325"/>
      <c r="EE167" s="325"/>
      <c r="EF167" s="325"/>
      <c r="EG167" s="325"/>
      <c r="EH167" s="325"/>
    </row>
    <row r="168" spans="1:138">
      <c r="A168" s="222"/>
      <c r="B168" s="318"/>
      <c r="C168" s="310" t="s">
        <v>299</v>
      </c>
      <c r="D168" s="311"/>
      <c r="E168" s="321">
        <f t="shared" ref="E168:BX168" si="57">E163+E164+E165+E166+E167</f>
        <v>0</v>
      </c>
      <c r="F168" s="321">
        <f t="shared" si="57"/>
        <v>0</v>
      </c>
      <c r="G168" s="321">
        <f t="shared" si="57"/>
        <v>0</v>
      </c>
      <c r="H168" s="321">
        <f t="shared" si="57"/>
        <v>-5341205.5</v>
      </c>
      <c r="I168" s="321">
        <f t="shared" si="57"/>
        <v>0</v>
      </c>
      <c r="J168" s="321">
        <f t="shared" si="57"/>
        <v>0</v>
      </c>
      <c r="K168" s="321">
        <f t="shared" si="57"/>
        <v>0</v>
      </c>
      <c r="L168" s="321">
        <f t="shared" si="57"/>
        <v>0</v>
      </c>
      <c r="M168" s="321">
        <f t="shared" si="57"/>
        <v>0</v>
      </c>
      <c r="N168" s="321">
        <f t="shared" si="57"/>
        <v>0</v>
      </c>
      <c r="O168" s="321">
        <f t="shared" si="57"/>
        <v>0</v>
      </c>
      <c r="P168" s="321">
        <f t="shared" si="57"/>
        <v>0</v>
      </c>
      <c r="Q168" s="321">
        <f t="shared" si="57"/>
        <v>0</v>
      </c>
      <c r="R168" s="321">
        <f t="shared" si="57"/>
        <v>0</v>
      </c>
      <c r="S168" s="321">
        <f t="shared" si="57"/>
        <v>0</v>
      </c>
      <c r="T168" s="321">
        <f t="shared" si="57"/>
        <v>8091205.5</v>
      </c>
      <c r="U168" s="321">
        <f t="shared" si="57"/>
        <v>0</v>
      </c>
      <c r="V168" s="321">
        <f t="shared" si="57"/>
        <v>0</v>
      </c>
      <c r="W168" s="321">
        <f t="shared" si="57"/>
        <v>0</v>
      </c>
      <c r="X168" s="321">
        <f t="shared" si="57"/>
        <v>0</v>
      </c>
      <c r="Y168" s="321">
        <f t="shared" si="57"/>
        <v>0</v>
      </c>
      <c r="Z168" s="321">
        <f t="shared" si="57"/>
        <v>0</v>
      </c>
      <c r="AA168" s="321">
        <f t="shared" si="57"/>
        <v>0</v>
      </c>
      <c r="AB168" s="321">
        <f t="shared" si="57"/>
        <v>0</v>
      </c>
      <c r="AC168" s="321">
        <f t="shared" si="57"/>
        <v>0</v>
      </c>
      <c r="AD168" s="321">
        <f t="shared" si="57"/>
        <v>0</v>
      </c>
      <c r="AE168" s="321">
        <f t="shared" si="57"/>
        <v>0</v>
      </c>
      <c r="AF168" s="321">
        <f t="shared" si="57"/>
        <v>0</v>
      </c>
      <c r="AG168" s="321">
        <f t="shared" si="57"/>
        <v>0</v>
      </c>
      <c r="AH168" s="321">
        <f t="shared" si="57"/>
        <v>0</v>
      </c>
      <c r="AI168" s="321">
        <f t="shared" si="57"/>
        <v>0</v>
      </c>
      <c r="AJ168" s="321">
        <f t="shared" si="57"/>
        <v>0</v>
      </c>
      <c r="AK168" s="321">
        <f t="shared" si="57"/>
        <v>0</v>
      </c>
      <c r="AL168" s="321">
        <f t="shared" si="57"/>
        <v>0</v>
      </c>
      <c r="AM168" s="321">
        <f t="shared" si="57"/>
        <v>0</v>
      </c>
      <c r="AN168" s="321">
        <f t="shared" si="57"/>
        <v>0</v>
      </c>
      <c r="AO168" s="321">
        <f t="shared" si="57"/>
        <v>0</v>
      </c>
      <c r="AP168" s="321">
        <f t="shared" si="57"/>
        <v>0</v>
      </c>
      <c r="AQ168" s="321">
        <f t="shared" si="57"/>
        <v>0</v>
      </c>
      <c r="AR168" s="321">
        <f t="shared" si="57"/>
        <v>0</v>
      </c>
      <c r="AS168" s="321">
        <f t="shared" si="57"/>
        <v>0</v>
      </c>
      <c r="AT168" s="321">
        <f t="shared" si="57"/>
        <v>0</v>
      </c>
      <c r="AU168" s="321">
        <f t="shared" si="57"/>
        <v>0</v>
      </c>
      <c r="AV168" s="321">
        <f t="shared" si="57"/>
        <v>0</v>
      </c>
      <c r="AW168" s="321">
        <f t="shared" si="57"/>
        <v>0</v>
      </c>
      <c r="AX168" s="321">
        <f t="shared" si="57"/>
        <v>0</v>
      </c>
      <c r="AY168" s="321">
        <f t="shared" si="57"/>
        <v>0</v>
      </c>
      <c r="AZ168" s="321">
        <f t="shared" si="57"/>
        <v>0</v>
      </c>
      <c r="BA168" s="321">
        <f t="shared" si="57"/>
        <v>0</v>
      </c>
      <c r="BB168" s="321">
        <f t="shared" si="57"/>
        <v>0</v>
      </c>
      <c r="BC168" s="321">
        <f t="shared" si="57"/>
        <v>0</v>
      </c>
      <c r="BD168" s="321">
        <f t="shared" si="57"/>
        <v>0</v>
      </c>
      <c r="BE168" s="321">
        <f t="shared" si="57"/>
        <v>0</v>
      </c>
      <c r="BF168" s="321">
        <f t="shared" si="57"/>
        <v>0</v>
      </c>
      <c r="BG168" s="321">
        <f t="shared" si="57"/>
        <v>0</v>
      </c>
      <c r="BH168" s="321">
        <f t="shared" si="57"/>
        <v>0</v>
      </c>
      <c r="BI168" s="321">
        <f t="shared" si="57"/>
        <v>0</v>
      </c>
      <c r="BJ168" s="321">
        <f t="shared" si="57"/>
        <v>0</v>
      </c>
      <c r="BK168" s="321">
        <f t="shared" si="57"/>
        <v>0</v>
      </c>
      <c r="BL168" s="321">
        <f t="shared" si="57"/>
        <v>0</v>
      </c>
      <c r="BM168" s="321">
        <f t="shared" si="57"/>
        <v>0</v>
      </c>
      <c r="BN168" s="321">
        <f t="shared" si="57"/>
        <v>0</v>
      </c>
      <c r="BO168" s="321">
        <f t="shared" si="57"/>
        <v>0</v>
      </c>
      <c r="BP168" s="321">
        <f t="shared" si="57"/>
        <v>0</v>
      </c>
      <c r="BQ168" s="321">
        <f t="shared" si="57"/>
        <v>0</v>
      </c>
      <c r="BR168" s="321">
        <f t="shared" si="57"/>
        <v>0</v>
      </c>
      <c r="BS168" s="321">
        <f t="shared" si="57"/>
        <v>0</v>
      </c>
      <c r="BT168" s="321">
        <f t="shared" si="57"/>
        <v>0</v>
      </c>
      <c r="BU168" s="321">
        <f t="shared" si="57"/>
        <v>0</v>
      </c>
      <c r="BV168" s="321">
        <f t="shared" si="57"/>
        <v>0</v>
      </c>
      <c r="BW168" s="321">
        <f t="shared" si="57"/>
        <v>0</v>
      </c>
      <c r="BX168" s="321">
        <f t="shared" si="57"/>
        <v>0</v>
      </c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  <c r="CJ168" s="222"/>
      <c r="CK168" s="222"/>
      <c r="CL168" s="222"/>
      <c r="CM168" s="222"/>
      <c r="CN168" s="222"/>
      <c r="CO168" s="222"/>
      <c r="CP168" s="222"/>
      <c r="CQ168" s="222"/>
      <c r="CR168" s="222"/>
      <c r="CS168" s="222"/>
      <c r="CT168" s="222"/>
      <c r="CU168" s="222"/>
      <c r="CV168" s="222"/>
      <c r="CW168" s="222"/>
      <c r="CX168" s="222"/>
      <c r="CY168" s="222"/>
      <c r="CZ168" s="222"/>
      <c r="DA168" s="222"/>
      <c r="DB168" s="222"/>
      <c r="DC168" s="222"/>
      <c r="DD168" s="222"/>
      <c r="DE168" s="222"/>
      <c r="DF168" s="222"/>
      <c r="DG168" s="222"/>
      <c r="DH168" s="222"/>
      <c r="DI168" s="222"/>
      <c r="DJ168" s="222"/>
      <c r="DK168" s="222"/>
      <c r="DL168" s="222"/>
      <c r="DM168" s="222"/>
      <c r="DN168" s="222"/>
      <c r="DO168" s="222"/>
      <c r="DP168" s="222"/>
      <c r="DQ168" s="222"/>
      <c r="DR168" s="222"/>
      <c r="DS168" s="222"/>
      <c r="DT168" s="222"/>
      <c r="DU168" s="222"/>
      <c r="DV168" s="222"/>
      <c r="DW168" s="325"/>
      <c r="DX168" s="325"/>
      <c r="DY168" s="325"/>
      <c r="DZ168" s="325"/>
      <c r="EA168" s="325"/>
      <c r="EB168" s="325"/>
      <c r="EC168" s="325"/>
      <c r="ED168" s="325"/>
      <c r="EE168" s="325"/>
      <c r="EF168" s="325"/>
      <c r="EG168" s="325"/>
      <c r="EH168" s="325"/>
    </row>
    <row r="169" spans="1:138">
      <c r="A169" s="222"/>
      <c r="B169" s="318"/>
      <c r="C169" s="314"/>
      <c r="D169" s="322" t="s">
        <v>306</v>
      </c>
      <c r="E169" s="327">
        <f>E168</f>
        <v>0</v>
      </c>
      <c r="F169" s="327">
        <f t="shared" ref="F169:BX169" si="58">E169+F168</f>
        <v>0</v>
      </c>
      <c r="G169" s="327">
        <f t="shared" si="58"/>
        <v>0</v>
      </c>
      <c r="H169" s="327">
        <f t="shared" si="58"/>
        <v>-5341205.5</v>
      </c>
      <c r="I169" s="327">
        <f t="shared" si="58"/>
        <v>-5341205.5</v>
      </c>
      <c r="J169" s="327">
        <f t="shared" si="58"/>
        <v>-5341205.5</v>
      </c>
      <c r="K169" s="327">
        <f t="shared" si="58"/>
        <v>-5341205.5</v>
      </c>
      <c r="L169" s="327">
        <f t="shared" si="58"/>
        <v>-5341205.5</v>
      </c>
      <c r="M169" s="327">
        <f t="shared" si="58"/>
        <v>-5341205.5</v>
      </c>
      <c r="N169" s="327">
        <f t="shared" si="58"/>
        <v>-5341205.5</v>
      </c>
      <c r="O169" s="327">
        <f t="shared" si="58"/>
        <v>-5341205.5</v>
      </c>
      <c r="P169" s="327">
        <f t="shared" si="58"/>
        <v>-5341205.5</v>
      </c>
      <c r="Q169" s="327">
        <f t="shared" si="58"/>
        <v>-5341205.5</v>
      </c>
      <c r="R169" s="327">
        <f t="shared" si="58"/>
        <v>-5341205.5</v>
      </c>
      <c r="S169" s="327">
        <f t="shared" si="58"/>
        <v>-5341205.5</v>
      </c>
      <c r="T169" s="327">
        <f t="shared" si="58"/>
        <v>2750000</v>
      </c>
      <c r="U169" s="327">
        <f t="shared" si="58"/>
        <v>2750000</v>
      </c>
      <c r="V169" s="327">
        <f t="shared" si="58"/>
        <v>2750000</v>
      </c>
      <c r="W169" s="327">
        <f t="shared" si="58"/>
        <v>2750000</v>
      </c>
      <c r="X169" s="327">
        <f t="shared" si="58"/>
        <v>2750000</v>
      </c>
      <c r="Y169" s="327">
        <f t="shared" si="58"/>
        <v>2750000</v>
      </c>
      <c r="Z169" s="327">
        <f t="shared" si="58"/>
        <v>2750000</v>
      </c>
      <c r="AA169" s="327">
        <f t="shared" si="58"/>
        <v>2750000</v>
      </c>
      <c r="AB169" s="327">
        <f t="shared" si="58"/>
        <v>2750000</v>
      </c>
      <c r="AC169" s="327">
        <f t="shared" si="58"/>
        <v>2750000</v>
      </c>
      <c r="AD169" s="327">
        <f t="shared" si="58"/>
        <v>2750000</v>
      </c>
      <c r="AE169" s="327">
        <f t="shared" si="58"/>
        <v>2750000</v>
      </c>
      <c r="AF169" s="327">
        <f t="shared" si="58"/>
        <v>2750000</v>
      </c>
      <c r="AG169" s="327">
        <f t="shared" si="58"/>
        <v>2750000</v>
      </c>
      <c r="AH169" s="327">
        <f t="shared" si="58"/>
        <v>2750000</v>
      </c>
      <c r="AI169" s="327">
        <f t="shared" si="58"/>
        <v>2750000</v>
      </c>
      <c r="AJ169" s="327">
        <f t="shared" si="58"/>
        <v>2750000</v>
      </c>
      <c r="AK169" s="327">
        <f t="shared" si="58"/>
        <v>2750000</v>
      </c>
      <c r="AL169" s="327">
        <f t="shared" si="58"/>
        <v>2750000</v>
      </c>
      <c r="AM169" s="327">
        <f t="shared" si="58"/>
        <v>2750000</v>
      </c>
      <c r="AN169" s="327">
        <f t="shared" si="58"/>
        <v>2750000</v>
      </c>
      <c r="AO169" s="327">
        <f t="shared" si="58"/>
        <v>2750000</v>
      </c>
      <c r="AP169" s="327">
        <f t="shared" si="58"/>
        <v>2750000</v>
      </c>
      <c r="AQ169" s="327">
        <f t="shared" si="58"/>
        <v>2750000</v>
      </c>
      <c r="AR169" s="327">
        <f t="shared" si="58"/>
        <v>2750000</v>
      </c>
      <c r="AS169" s="327">
        <f t="shared" si="58"/>
        <v>2750000</v>
      </c>
      <c r="AT169" s="327">
        <f t="shared" si="58"/>
        <v>2750000</v>
      </c>
      <c r="AU169" s="327">
        <f t="shared" si="58"/>
        <v>2750000</v>
      </c>
      <c r="AV169" s="327">
        <f t="shared" si="58"/>
        <v>2750000</v>
      </c>
      <c r="AW169" s="327">
        <f t="shared" si="58"/>
        <v>2750000</v>
      </c>
      <c r="AX169" s="327">
        <f t="shared" si="58"/>
        <v>2750000</v>
      </c>
      <c r="AY169" s="327">
        <f t="shared" si="58"/>
        <v>2750000</v>
      </c>
      <c r="AZ169" s="327">
        <f t="shared" si="58"/>
        <v>2750000</v>
      </c>
      <c r="BA169" s="327">
        <f t="shared" si="58"/>
        <v>2750000</v>
      </c>
      <c r="BB169" s="327">
        <f t="shared" si="58"/>
        <v>2750000</v>
      </c>
      <c r="BC169" s="327">
        <f t="shared" si="58"/>
        <v>2750000</v>
      </c>
      <c r="BD169" s="327">
        <f t="shared" si="58"/>
        <v>2750000</v>
      </c>
      <c r="BE169" s="327">
        <f t="shared" si="58"/>
        <v>2750000</v>
      </c>
      <c r="BF169" s="327">
        <f t="shared" si="58"/>
        <v>2750000</v>
      </c>
      <c r="BG169" s="327">
        <f t="shared" si="58"/>
        <v>2750000</v>
      </c>
      <c r="BH169" s="327">
        <f t="shared" si="58"/>
        <v>2750000</v>
      </c>
      <c r="BI169" s="327">
        <f t="shared" si="58"/>
        <v>2750000</v>
      </c>
      <c r="BJ169" s="327">
        <f t="shared" si="58"/>
        <v>2750000</v>
      </c>
      <c r="BK169" s="327">
        <f t="shared" si="58"/>
        <v>2750000</v>
      </c>
      <c r="BL169" s="327">
        <f t="shared" si="58"/>
        <v>2750000</v>
      </c>
      <c r="BM169" s="327">
        <f t="shared" si="58"/>
        <v>2750000</v>
      </c>
      <c r="BN169" s="327">
        <f t="shared" si="58"/>
        <v>2750000</v>
      </c>
      <c r="BO169" s="327">
        <f t="shared" si="58"/>
        <v>2750000</v>
      </c>
      <c r="BP169" s="327">
        <f t="shared" si="58"/>
        <v>2750000</v>
      </c>
      <c r="BQ169" s="327">
        <f t="shared" si="58"/>
        <v>2750000</v>
      </c>
      <c r="BR169" s="327">
        <f t="shared" si="58"/>
        <v>2750000</v>
      </c>
      <c r="BS169" s="327">
        <f t="shared" si="58"/>
        <v>2750000</v>
      </c>
      <c r="BT169" s="327">
        <f t="shared" si="58"/>
        <v>2750000</v>
      </c>
      <c r="BU169" s="327">
        <f t="shared" si="58"/>
        <v>2750000</v>
      </c>
      <c r="BV169" s="327">
        <f t="shared" si="58"/>
        <v>2750000</v>
      </c>
      <c r="BW169" s="327">
        <f t="shared" si="58"/>
        <v>2750000</v>
      </c>
      <c r="BX169" s="327">
        <f t="shared" si="58"/>
        <v>2750000</v>
      </c>
      <c r="BY169" s="222"/>
      <c r="BZ169" s="222"/>
      <c r="CA169" s="222"/>
      <c r="CB169" s="222"/>
      <c r="CC169" s="222"/>
      <c r="CD169" s="222"/>
      <c r="CE169" s="222"/>
      <c r="CF169" s="222"/>
      <c r="CG169" s="222"/>
      <c r="CH169" s="222"/>
      <c r="CI169" s="222"/>
      <c r="CJ169" s="222"/>
      <c r="CK169" s="222"/>
      <c r="CL169" s="222"/>
      <c r="CM169" s="222"/>
      <c r="CN169" s="222"/>
      <c r="CO169" s="222"/>
      <c r="CP169" s="222"/>
      <c r="CQ169" s="222"/>
      <c r="CR169" s="222"/>
      <c r="CS169" s="222"/>
      <c r="CT169" s="222"/>
      <c r="CU169" s="222"/>
      <c r="CV169" s="222"/>
      <c r="CW169" s="222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2"/>
      <c r="DI169" s="222"/>
      <c r="DJ169" s="222"/>
      <c r="DK169" s="222"/>
      <c r="DL169" s="222"/>
      <c r="DM169" s="222"/>
      <c r="DN169" s="222"/>
      <c r="DO169" s="222"/>
      <c r="DP169" s="222"/>
      <c r="DQ169" s="222"/>
      <c r="DR169" s="222"/>
      <c r="DS169" s="222"/>
      <c r="DT169" s="222"/>
      <c r="DU169" s="222"/>
      <c r="DV169" s="222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</row>
    <row r="170" spans="1:138">
      <c r="A170" s="222"/>
      <c r="B170" s="318"/>
      <c r="C170" s="313" t="s">
        <v>292</v>
      </c>
      <c r="D170" s="322">
        <f>IRR(E168:BX168)*12</f>
        <v>0.42259732866030397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  <c r="BQ170" s="222"/>
      <c r="BR170" s="222"/>
      <c r="BS170" s="222"/>
      <c r="BT170" s="222"/>
      <c r="BU170" s="222"/>
      <c r="BV170" s="222"/>
      <c r="BW170" s="222"/>
      <c r="BX170" s="222"/>
      <c r="BY170" s="222"/>
      <c r="BZ170" s="222"/>
      <c r="CA170" s="222"/>
      <c r="CB170" s="222"/>
      <c r="CC170" s="222"/>
      <c r="CD170" s="222"/>
      <c r="CE170" s="222"/>
      <c r="CF170" s="222"/>
      <c r="CG170" s="222"/>
      <c r="CH170" s="222"/>
      <c r="CI170" s="222"/>
      <c r="CJ170" s="222"/>
      <c r="CK170" s="222"/>
      <c r="CL170" s="222"/>
      <c r="CM170" s="222"/>
      <c r="CN170" s="222"/>
      <c r="CO170" s="222"/>
      <c r="CP170" s="222"/>
      <c r="CQ170" s="222"/>
      <c r="CR170" s="222"/>
      <c r="CS170" s="222"/>
      <c r="CT170" s="222"/>
      <c r="CU170" s="222"/>
      <c r="CV170" s="222"/>
      <c r="CW170" s="222"/>
      <c r="CX170" s="222"/>
      <c r="CY170" s="222"/>
      <c r="CZ170" s="222"/>
      <c r="DA170" s="222"/>
      <c r="DB170" s="222"/>
      <c r="DC170" s="222"/>
      <c r="DD170" s="222"/>
      <c r="DE170" s="222"/>
      <c r="DF170" s="222"/>
      <c r="DG170" s="222"/>
      <c r="DH170" s="222"/>
      <c r="DI170" s="222"/>
      <c r="DJ170" s="222"/>
      <c r="DK170" s="222"/>
      <c r="DL170" s="222"/>
      <c r="DM170" s="222"/>
      <c r="DN170" s="222"/>
      <c r="DO170" s="222"/>
      <c r="DP170" s="222"/>
      <c r="DQ170" s="222"/>
      <c r="DR170" s="222"/>
      <c r="DS170" s="222"/>
      <c r="DT170" s="222"/>
      <c r="DU170" s="222"/>
      <c r="DV170" s="222"/>
      <c r="DW170" s="325"/>
      <c r="DX170" s="325"/>
      <c r="DY170" s="325"/>
      <c r="DZ170" s="325"/>
      <c r="EA170" s="325"/>
      <c r="EB170" s="325"/>
      <c r="EC170" s="325"/>
      <c r="ED170" s="325"/>
      <c r="EE170" s="325"/>
      <c r="EF170" s="325"/>
      <c r="EG170" s="325"/>
      <c r="EH170" s="325"/>
    </row>
    <row r="171" spans="1:138">
      <c r="A171" s="222"/>
      <c r="B171" s="318"/>
      <c r="C171" s="323" t="s">
        <v>300</v>
      </c>
      <c r="D171" s="324">
        <f>-MIN(M169:BL169)-D172</f>
        <v>5341205.5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  <c r="BQ171" s="222"/>
      <c r="BR171" s="222"/>
      <c r="BS171" s="222"/>
      <c r="BT171" s="222"/>
      <c r="BU171" s="222"/>
      <c r="BV171" s="222"/>
      <c r="BW171" s="222"/>
      <c r="BX171" s="222"/>
      <c r="BY171" s="222"/>
      <c r="BZ171" s="222"/>
      <c r="CA171" s="222"/>
      <c r="CB171" s="222"/>
      <c r="CC171" s="222"/>
      <c r="CD171" s="222"/>
      <c r="CE171" s="222"/>
      <c r="CF171" s="222"/>
      <c r="CG171" s="222"/>
      <c r="CH171" s="222"/>
      <c r="CI171" s="222"/>
      <c r="CJ171" s="222"/>
      <c r="CK171" s="222"/>
      <c r="CL171" s="222"/>
      <c r="CM171" s="222"/>
      <c r="CN171" s="222"/>
      <c r="CO171" s="222"/>
      <c r="CP171" s="222"/>
      <c r="CQ171" s="222"/>
      <c r="CR171" s="222"/>
      <c r="CS171" s="222"/>
      <c r="CT171" s="222"/>
      <c r="CU171" s="222"/>
      <c r="CV171" s="222"/>
      <c r="CW171" s="222"/>
      <c r="CX171" s="222"/>
      <c r="CY171" s="222"/>
      <c r="CZ171" s="222"/>
      <c r="DA171" s="222"/>
      <c r="DB171" s="222"/>
      <c r="DC171" s="222"/>
      <c r="DD171" s="222"/>
      <c r="DE171" s="222"/>
      <c r="DF171" s="222"/>
      <c r="DG171" s="222"/>
      <c r="DH171" s="222"/>
      <c r="DI171" s="222"/>
      <c r="DJ171" s="222"/>
      <c r="DK171" s="222"/>
      <c r="DL171" s="222"/>
      <c r="DM171" s="222"/>
      <c r="DN171" s="222"/>
      <c r="DO171" s="222"/>
      <c r="DP171" s="222"/>
      <c r="DQ171" s="222"/>
      <c r="DR171" s="222"/>
      <c r="DS171" s="222"/>
      <c r="DT171" s="222"/>
      <c r="DU171" s="222"/>
      <c r="DV171" s="222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</row>
    <row r="172" spans="1:138">
      <c r="A172" s="222"/>
      <c r="B172" s="318"/>
      <c r="C172" s="323" t="s">
        <v>301</v>
      </c>
      <c r="D172" s="324">
        <f>-SUM(M167:BB167)</f>
        <v>0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  <c r="BQ172" s="222"/>
      <c r="BR172" s="222"/>
      <c r="BS172" s="222"/>
      <c r="BT172" s="222"/>
      <c r="BU172" s="222"/>
      <c r="BV172" s="222"/>
      <c r="BW172" s="222"/>
      <c r="BX172" s="222"/>
      <c r="BY172" s="222"/>
      <c r="BZ172" s="222"/>
      <c r="CA172" s="222"/>
      <c r="CB172" s="222"/>
      <c r="CC172" s="222"/>
      <c r="CD172" s="222"/>
      <c r="CE172" s="222"/>
      <c r="CF172" s="222"/>
      <c r="CG172" s="222"/>
      <c r="CH172" s="222"/>
      <c r="CI172" s="222"/>
      <c r="CJ172" s="222"/>
      <c r="CK172" s="222"/>
      <c r="CL172" s="222"/>
      <c r="CM172" s="222"/>
      <c r="CN172" s="222"/>
      <c r="CO172" s="222"/>
      <c r="CP172" s="222"/>
      <c r="CQ172" s="222"/>
      <c r="CR172" s="222"/>
      <c r="CS172" s="222"/>
      <c r="CT172" s="222"/>
      <c r="CU172" s="222"/>
      <c r="CV172" s="222"/>
      <c r="CW172" s="222"/>
      <c r="CX172" s="222"/>
      <c r="CY172" s="222"/>
      <c r="CZ172" s="222"/>
      <c r="DA172" s="222"/>
      <c r="DB172" s="222"/>
      <c r="DC172" s="222"/>
      <c r="DD172" s="222"/>
      <c r="DE172" s="222"/>
      <c r="DF172" s="222"/>
      <c r="DG172" s="222"/>
      <c r="DH172" s="222"/>
      <c r="DI172" s="222"/>
      <c r="DJ172" s="222"/>
      <c r="DK172" s="222"/>
      <c r="DL172" s="222"/>
      <c r="DM172" s="222"/>
      <c r="DN172" s="222"/>
      <c r="DO172" s="222"/>
      <c r="DP172" s="222"/>
      <c r="DQ172" s="222"/>
      <c r="DR172" s="222"/>
      <c r="DS172" s="222"/>
      <c r="DT172" s="222"/>
      <c r="DU172" s="222"/>
      <c r="DV172" s="222"/>
      <c r="DW172" s="325"/>
      <c r="DX172" s="325"/>
      <c r="DY172" s="325"/>
      <c r="DZ172" s="325"/>
      <c r="EA172" s="325"/>
      <c r="EB172" s="325"/>
      <c r="EC172" s="325"/>
      <c r="ED172" s="325"/>
      <c r="EE172" s="325"/>
      <c r="EF172" s="325"/>
      <c r="EG172" s="325"/>
      <c r="EH172" s="325"/>
    </row>
    <row r="173" spans="1:138">
      <c r="A173" s="222"/>
      <c r="B173" s="318"/>
      <c r="C173" s="313" t="s">
        <v>302</v>
      </c>
      <c r="D173" s="326">
        <f>D172+D171</f>
        <v>5341205.5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/>
      <c r="BX173" s="222"/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  <c r="CJ173" s="222"/>
      <c r="CK173" s="222"/>
      <c r="CL173" s="222"/>
      <c r="CM173" s="222"/>
      <c r="CN173" s="222"/>
      <c r="CO173" s="222"/>
      <c r="CP173" s="222"/>
      <c r="CQ173" s="222"/>
      <c r="CR173" s="222"/>
      <c r="CS173" s="222"/>
      <c r="CT173" s="222"/>
      <c r="CU173" s="222"/>
      <c r="CV173" s="222"/>
      <c r="CW173" s="222"/>
      <c r="CX173" s="222"/>
      <c r="CY173" s="222"/>
      <c r="CZ173" s="222"/>
      <c r="DA173" s="222"/>
      <c r="DB173" s="222"/>
      <c r="DC173" s="222"/>
      <c r="DD173" s="222"/>
      <c r="DE173" s="222"/>
      <c r="DF173" s="222"/>
      <c r="DG173" s="222"/>
      <c r="DH173" s="222"/>
      <c r="DI173" s="222"/>
      <c r="DJ173" s="222"/>
      <c r="DK173" s="222"/>
      <c r="DL173" s="222"/>
      <c r="DM173" s="222"/>
      <c r="DN173" s="222"/>
      <c r="DO173" s="222"/>
      <c r="DP173" s="222"/>
      <c r="DQ173" s="222"/>
      <c r="DR173" s="222"/>
      <c r="DS173" s="222"/>
      <c r="DT173" s="222"/>
      <c r="DU173" s="222"/>
      <c r="DV173" s="222"/>
      <c r="DW173" s="325"/>
      <c r="DX173" s="325"/>
      <c r="DY173" s="325"/>
      <c r="DZ173" s="325"/>
      <c r="EA173" s="325"/>
      <c r="EB173" s="325"/>
      <c r="EC173" s="325"/>
      <c r="ED173" s="325"/>
      <c r="EE173" s="325"/>
      <c r="EF173" s="325"/>
      <c r="EG173" s="325"/>
      <c r="EH173" s="325"/>
    </row>
    <row r="174" spans="1:138">
      <c r="A174" s="222"/>
      <c r="B174" s="318"/>
      <c r="C174" s="313" t="s">
        <v>303</v>
      </c>
      <c r="D174" s="326">
        <f>BX165+BX166</f>
        <v>0</v>
      </c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  <c r="BQ174" s="222"/>
      <c r="BR174" s="222"/>
      <c r="BS174" s="222"/>
      <c r="BT174" s="222"/>
      <c r="BU174" s="222"/>
      <c r="BV174" s="222"/>
      <c r="BW174" s="222"/>
      <c r="BX174" s="222"/>
      <c r="BY174" s="222"/>
      <c r="BZ174" s="222"/>
      <c r="CA174" s="222"/>
      <c r="CB174" s="222"/>
      <c r="CC174" s="222"/>
      <c r="CD174" s="222"/>
      <c r="CE174" s="222"/>
      <c r="CF174" s="222"/>
      <c r="CG174" s="222"/>
      <c r="CH174" s="222"/>
      <c r="CI174" s="222"/>
      <c r="CJ174" s="222"/>
      <c r="CK174" s="222"/>
      <c r="CL174" s="222"/>
      <c r="CM174" s="222"/>
      <c r="CN174" s="222"/>
      <c r="CO174" s="222"/>
      <c r="CP174" s="222"/>
      <c r="CQ174" s="222"/>
      <c r="CR174" s="222"/>
      <c r="CS174" s="222"/>
      <c r="CT174" s="222"/>
      <c r="CU174" s="222"/>
      <c r="CV174" s="222"/>
      <c r="CW174" s="222"/>
      <c r="CX174" s="222"/>
      <c r="CY174" s="222"/>
      <c r="CZ174" s="222"/>
      <c r="DA174" s="222"/>
      <c r="DB174" s="222"/>
      <c r="DC174" s="222"/>
      <c r="DD174" s="222"/>
      <c r="DE174" s="222"/>
      <c r="DF174" s="222"/>
      <c r="DG174" s="222"/>
      <c r="DH174" s="222"/>
      <c r="DI174" s="222"/>
      <c r="DJ174" s="222"/>
      <c r="DK174" s="222"/>
      <c r="DL174" s="222"/>
      <c r="DM174" s="222"/>
      <c r="DN174" s="222"/>
      <c r="DO174" s="222"/>
      <c r="DP174" s="222"/>
      <c r="DQ174" s="222"/>
      <c r="DR174" s="222"/>
      <c r="DS174" s="222"/>
      <c r="DT174" s="222"/>
      <c r="DU174" s="222"/>
      <c r="DV174" s="222"/>
      <c r="DW174" s="325"/>
      <c r="DX174" s="325"/>
      <c r="DY174" s="325"/>
      <c r="DZ174" s="325"/>
      <c r="EA174" s="325"/>
      <c r="EB174" s="325"/>
      <c r="EC174" s="325"/>
      <c r="ED174" s="325"/>
      <c r="EE174" s="325"/>
      <c r="EF174" s="325"/>
      <c r="EG174" s="325"/>
      <c r="EH174" s="325"/>
    </row>
    <row r="175" spans="1:138">
      <c r="A175" s="222"/>
      <c r="B175" s="318"/>
      <c r="C175" s="313" t="s">
        <v>147</v>
      </c>
      <c r="D175" s="322">
        <f>T166/T163</f>
        <v>0.51486504310684167</v>
      </c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  <c r="BQ175" s="222"/>
      <c r="BR175" s="222"/>
      <c r="BS175" s="222"/>
      <c r="BT175" s="222"/>
      <c r="BU175" s="222"/>
      <c r="BV175" s="222"/>
      <c r="BW175" s="222"/>
      <c r="BX175" s="222"/>
      <c r="BY175" s="222"/>
      <c r="BZ175" s="222"/>
      <c r="CA175" s="222"/>
      <c r="CB175" s="222"/>
      <c r="CC175" s="222"/>
      <c r="CD175" s="222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2"/>
      <c r="CV175" s="222"/>
      <c r="CW175" s="222"/>
      <c r="CX175" s="222"/>
      <c r="CY175" s="222"/>
      <c r="CZ175" s="222"/>
      <c r="DA175" s="222"/>
      <c r="DB175" s="222"/>
      <c r="DC175" s="222"/>
      <c r="DD175" s="222"/>
      <c r="DE175" s="222"/>
      <c r="DF175" s="222"/>
      <c r="DG175" s="222"/>
      <c r="DH175" s="222"/>
      <c r="DI175" s="222"/>
      <c r="DJ175" s="222"/>
      <c r="DK175" s="222"/>
      <c r="DL175" s="222"/>
      <c r="DM175" s="222"/>
      <c r="DN175" s="222"/>
      <c r="DO175" s="222"/>
      <c r="DP175" s="222"/>
      <c r="DQ175" s="222"/>
      <c r="DR175" s="222"/>
      <c r="DS175" s="222"/>
      <c r="DT175" s="222"/>
      <c r="DU175" s="222"/>
      <c r="DV175" s="222"/>
      <c r="DW175" s="325"/>
      <c r="DX175" s="325"/>
      <c r="DY175" s="325"/>
      <c r="DZ175" s="325"/>
      <c r="EA175" s="325"/>
      <c r="EB175" s="325"/>
      <c r="EC175" s="325"/>
      <c r="ED175" s="325"/>
      <c r="EE175" s="325"/>
      <c r="EF175" s="325"/>
      <c r="EG175" s="325"/>
      <c r="EH175" s="325"/>
    </row>
    <row r="176" spans="1:138">
      <c r="A176" s="222"/>
      <c r="B176" s="318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2"/>
      <c r="BN176" s="222"/>
      <c r="BO176" s="222"/>
      <c r="BP176" s="222"/>
      <c r="BQ176" s="222"/>
      <c r="BR176" s="222"/>
      <c r="BS176" s="222"/>
      <c r="BT176" s="222"/>
      <c r="BU176" s="222"/>
      <c r="BV176" s="222"/>
      <c r="BW176" s="222"/>
      <c r="BX176" s="222"/>
      <c r="BY176" s="222"/>
      <c r="BZ176" s="222"/>
      <c r="CA176" s="222"/>
      <c r="CB176" s="222"/>
      <c r="CC176" s="222"/>
      <c r="CD176" s="222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2"/>
      <c r="CV176" s="222"/>
      <c r="CW176" s="222"/>
      <c r="CX176" s="222"/>
      <c r="CY176" s="222"/>
      <c r="CZ176" s="222"/>
      <c r="DA176" s="222"/>
      <c r="DB176" s="222"/>
      <c r="DC176" s="222"/>
      <c r="DD176" s="222"/>
      <c r="DE176" s="222"/>
      <c r="DF176" s="222"/>
      <c r="DG176" s="222"/>
      <c r="DH176" s="222"/>
      <c r="DI176" s="222"/>
      <c r="DJ176" s="222"/>
      <c r="DK176" s="222"/>
      <c r="DL176" s="222"/>
      <c r="DM176" s="222"/>
      <c r="DN176" s="222"/>
      <c r="DO176" s="222"/>
      <c r="DP176" s="222"/>
      <c r="DQ176" s="222"/>
      <c r="DR176" s="222"/>
      <c r="DS176" s="222"/>
      <c r="DT176" s="222"/>
      <c r="DU176" s="222"/>
      <c r="DV176" s="222"/>
      <c r="DW176" s="325"/>
      <c r="DX176" s="325"/>
      <c r="DY176" s="325"/>
      <c r="DZ176" s="325"/>
      <c r="EA176" s="325"/>
      <c r="EB176" s="325"/>
      <c r="EC176" s="325"/>
      <c r="ED176" s="325"/>
      <c r="EE176" s="325"/>
      <c r="EF176" s="325"/>
      <c r="EG176" s="325"/>
      <c r="EH176" s="325"/>
    </row>
    <row r="177" spans="1:138">
      <c r="A177" s="222"/>
      <c r="B177" s="318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2"/>
      <c r="BN177" s="222"/>
      <c r="BO177" s="222"/>
      <c r="BP177" s="222"/>
      <c r="BQ177" s="222"/>
      <c r="BR177" s="222"/>
      <c r="BS177" s="222"/>
      <c r="BT177" s="222"/>
      <c r="BU177" s="222"/>
      <c r="BV177" s="222"/>
      <c r="BW177" s="222"/>
      <c r="BX177" s="222"/>
      <c r="BY177" s="222"/>
      <c r="BZ177" s="222"/>
      <c r="CA177" s="222"/>
      <c r="CB177" s="222"/>
      <c r="CC177" s="222"/>
      <c r="CD177" s="222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2"/>
      <c r="CV177" s="222"/>
      <c r="CW177" s="222"/>
      <c r="CX177" s="222"/>
      <c r="CY177" s="222"/>
      <c r="CZ177" s="222"/>
      <c r="DA177" s="222"/>
      <c r="DB177" s="222"/>
      <c r="DC177" s="222"/>
      <c r="DD177" s="222"/>
      <c r="DE177" s="222"/>
      <c r="DF177" s="222"/>
      <c r="DG177" s="222"/>
      <c r="DH177" s="222"/>
      <c r="DI177" s="222"/>
      <c r="DJ177" s="222"/>
      <c r="DK177" s="222"/>
      <c r="DL177" s="222"/>
      <c r="DM177" s="222"/>
      <c r="DN177" s="222"/>
      <c r="DO177" s="222"/>
      <c r="DP177" s="222"/>
      <c r="DQ177" s="222"/>
      <c r="DR177" s="222"/>
      <c r="DS177" s="222"/>
      <c r="DT177" s="222"/>
      <c r="DU177" s="222"/>
      <c r="DV177" s="222"/>
      <c r="DW177" s="325"/>
      <c r="DX177" s="325"/>
      <c r="DY177" s="325"/>
      <c r="DZ177" s="325"/>
      <c r="EA177" s="325"/>
      <c r="EB177" s="325"/>
      <c r="EC177" s="325"/>
      <c r="ED177" s="325"/>
      <c r="EE177" s="325"/>
      <c r="EF177" s="325"/>
      <c r="EG177" s="325"/>
      <c r="EH177" s="325"/>
    </row>
    <row r="178" spans="1:138">
      <c r="A178" s="222"/>
      <c r="B178" s="318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2"/>
      <c r="BN178" s="222"/>
      <c r="BO178" s="222"/>
      <c r="BP178" s="222"/>
      <c r="BQ178" s="222"/>
      <c r="BR178" s="222"/>
      <c r="BS178" s="222"/>
      <c r="BT178" s="222"/>
      <c r="BU178" s="222"/>
      <c r="BV178" s="222"/>
      <c r="BW178" s="222"/>
      <c r="BX178" s="222"/>
      <c r="BY178" s="222"/>
      <c r="BZ178" s="222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  <c r="CP178" s="222"/>
      <c r="CQ178" s="222"/>
      <c r="CR178" s="222"/>
      <c r="CS178" s="222"/>
      <c r="CT178" s="222"/>
      <c r="CU178" s="222"/>
      <c r="CV178" s="222"/>
      <c r="CW178" s="222"/>
      <c r="CX178" s="222"/>
      <c r="CY178" s="222"/>
      <c r="CZ178" s="222"/>
      <c r="DA178" s="222"/>
      <c r="DB178" s="222"/>
      <c r="DC178" s="222"/>
      <c r="DD178" s="222"/>
      <c r="DE178" s="222"/>
      <c r="DF178" s="222"/>
      <c r="DG178" s="222"/>
      <c r="DH178" s="222"/>
      <c r="DI178" s="222"/>
      <c r="DJ178" s="222"/>
      <c r="DK178" s="222"/>
      <c r="DL178" s="222"/>
      <c r="DM178" s="222"/>
      <c r="DN178" s="222"/>
      <c r="DO178" s="222"/>
      <c r="DP178" s="222"/>
      <c r="DQ178" s="222"/>
      <c r="DR178" s="222"/>
      <c r="DS178" s="222"/>
      <c r="DT178" s="222"/>
      <c r="DU178" s="222"/>
      <c r="DV178" s="222"/>
      <c r="DW178" s="325"/>
      <c r="DX178" s="325"/>
      <c r="DY178" s="325"/>
      <c r="DZ178" s="325"/>
      <c r="EA178" s="325"/>
      <c r="EB178" s="325"/>
      <c r="EC178" s="325"/>
      <c r="ED178" s="325"/>
      <c r="EE178" s="325"/>
      <c r="EF178" s="325"/>
      <c r="EG178" s="325"/>
      <c r="EH178" s="325"/>
    </row>
    <row r="179" spans="1:138">
      <c r="A179" s="222"/>
      <c r="B179" s="318"/>
      <c r="C179" s="310" t="s">
        <v>309</v>
      </c>
      <c r="D179" s="311"/>
      <c r="E179" s="312">
        <f t="shared" ref="E179:G179" si="59">-(E8+E94)</f>
        <v>0</v>
      </c>
      <c r="F179" s="312">
        <f t="shared" si="59"/>
        <v>0</v>
      </c>
      <c r="G179" s="312">
        <f t="shared" si="59"/>
        <v>0</v>
      </c>
      <c r="H179" s="311">
        <f>-5341205.5</f>
        <v>-5341205.5</v>
      </c>
      <c r="I179" s="311">
        <v>0</v>
      </c>
      <c r="J179" s="311">
        <v>0</v>
      </c>
      <c r="K179" s="311">
        <v>0</v>
      </c>
      <c r="L179" s="311">
        <v>0</v>
      </c>
      <c r="M179" s="311">
        <v>0</v>
      </c>
      <c r="N179" s="311">
        <v>0</v>
      </c>
      <c r="O179" s="311">
        <v>0</v>
      </c>
      <c r="P179" s="311">
        <v>0</v>
      </c>
      <c r="Q179" s="311">
        <v>0</v>
      </c>
      <c r="R179" s="311">
        <v>0</v>
      </c>
      <c r="S179" s="311">
        <v>0</v>
      </c>
      <c r="T179" s="311">
        <f>5341205.5</f>
        <v>5341205.5</v>
      </c>
      <c r="U179" s="312">
        <f t="shared" ref="U179:BX179" si="60">-(U8+U94)</f>
        <v>0</v>
      </c>
      <c r="V179" s="312">
        <f t="shared" si="60"/>
        <v>0</v>
      </c>
      <c r="W179" s="312">
        <f t="shared" si="60"/>
        <v>0</v>
      </c>
      <c r="X179" s="312">
        <f t="shared" si="60"/>
        <v>0</v>
      </c>
      <c r="Y179" s="312">
        <f t="shared" si="60"/>
        <v>0</v>
      </c>
      <c r="Z179" s="312">
        <f t="shared" si="60"/>
        <v>0</v>
      </c>
      <c r="AA179" s="312">
        <f t="shared" si="60"/>
        <v>0</v>
      </c>
      <c r="AB179" s="312">
        <f t="shared" si="60"/>
        <v>0</v>
      </c>
      <c r="AC179" s="312">
        <f t="shared" si="60"/>
        <v>0</v>
      </c>
      <c r="AD179" s="312">
        <f t="shared" si="60"/>
        <v>0</v>
      </c>
      <c r="AE179" s="312">
        <f t="shared" si="60"/>
        <v>0</v>
      </c>
      <c r="AF179" s="312">
        <f t="shared" si="60"/>
        <v>0</v>
      </c>
      <c r="AG179" s="312">
        <f t="shared" si="60"/>
        <v>0</v>
      </c>
      <c r="AH179" s="312">
        <f t="shared" si="60"/>
        <v>0</v>
      </c>
      <c r="AI179" s="312">
        <f t="shared" si="60"/>
        <v>0</v>
      </c>
      <c r="AJ179" s="312">
        <f t="shared" si="60"/>
        <v>0</v>
      </c>
      <c r="AK179" s="312">
        <f t="shared" si="60"/>
        <v>0</v>
      </c>
      <c r="AL179" s="312">
        <f t="shared" si="60"/>
        <v>0</v>
      </c>
      <c r="AM179" s="312">
        <f t="shared" si="60"/>
        <v>0</v>
      </c>
      <c r="AN179" s="312">
        <f t="shared" si="60"/>
        <v>0</v>
      </c>
      <c r="AO179" s="312">
        <f t="shared" si="60"/>
        <v>0</v>
      </c>
      <c r="AP179" s="312">
        <f t="shared" si="60"/>
        <v>0</v>
      </c>
      <c r="AQ179" s="312">
        <f t="shared" si="60"/>
        <v>0</v>
      </c>
      <c r="AR179" s="312">
        <f t="shared" si="60"/>
        <v>0</v>
      </c>
      <c r="AS179" s="312">
        <f t="shared" si="60"/>
        <v>0</v>
      </c>
      <c r="AT179" s="312">
        <f t="shared" si="60"/>
        <v>0</v>
      </c>
      <c r="AU179" s="312">
        <f t="shared" si="60"/>
        <v>0</v>
      </c>
      <c r="AV179" s="312">
        <f t="shared" si="60"/>
        <v>0</v>
      </c>
      <c r="AW179" s="312">
        <f t="shared" si="60"/>
        <v>0</v>
      </c>
      <c r="AX179" s="312">
        <f t="shared" si="60"/>
        <v>0</v>
      </c>
      <c r="AY179" s="312">
        <f t="shared" si="60"/>
        <v>0</v>
      </c>
      <c r="AZ179" s="312">
        <f t="shared" si="60"/>
        <v>0</v>
      </c>
      <c r="BA179" s="312">
        <f t="shared" si="60"/>
        <v>0</v>
      </c>
      <c r="BB179" s="312">
        <f t="shared" si="60"/>
        <v>0</v>
      </c>
      <c r="BC179" s="312">
        <f t="shared" si="60"/>
        <v>0</v>
      </c>
      <c r="BD179" s="312">
        <f t="shared" si="60"/>
        <v>0</v>
      </c>
      <c r="BE179" s="312">
        <f t="shared" si="60"/>
        <v>0</v>
      </c>
      <c r="BF179" s="312">
        <f t="shared" si="60"/>
        <v>0</v>
      </c>
      <c r="BG179" s="312">
        <f t="shared" si="60"/>
        <v>0</v>
      </c>
      <c r="BH179" s="312">
        <f t="shared" si="60"/>
        <v>0</v>
      </c>
      <c r="BI179" s="312">
        <f t="shared" si="60"/>
        <v>0</v>
      </c>
      <c r="BJ179" s="312">
        <f t="shared" si="60"/>
        <v>0</v>
      </c>
      <c r="BK179" s="312">
        <f t="shared" si="60"/>
        <v>0</v>
      </c>
      <c r="BL179" s="312">
        <f t="shared" si="60"/>
        <v>0</v>
      </c>
      <c r="BM179" s="312">
        <f t="shared" si="60"/>
        <v>0</v>
      </c>
      <c r="BN179" s="312">
        <f t="shared" si="60"/>
        <v>0</v>
      </c>
      <c r="BO179" s="312">
        <f t="shared" si="60"/>
        <v>0</v>
      </c>
      <c r="BP179" s="312">
        <f t="shared" si="60"/>
        <v>0</v>
      </c>
      <c r="BQ179" s="312">
        <f t="shared" si="60"/>
        <v>0</v>
      </c>
      <c r="BR179" s="312">
        <f t="shared" si="60"/>
        <v>0</v>
      </c>
      <c r="BS179" s="312">
        <f t="shared" si="60"/>
        <v>0</v>
      </c>
      <c r="BT179" s="312">
        <f t="shared" si="60"/>
        <v>0</v>
      </c>
      <c r="BU179" s="312">
        <f t="shared" si="60"/>
        <v>0</v>
      </c>
      <c r="BV179" s="312">
        <f t="shared" si="60"/>
        <v>0</v>
      </c>
      <c r="BW179" s="312">
        <f t="shared" si="60"/>
        <v>0</v>
      </c>
      <c r="BX179" s="312">
        <f t="shared" si="60"/>
        <v>0</v>
      </c>
      <c r="BY179" s="222"/>
      <c r="BZ179" s="222"/>
      <c r="CA179" s="222"/>
      <c r="CB179" s="222"/>
      <c r="CC179" s="222"/>
      <c r="CD179" s="222"/>
      <c r="CE179" s="222"/>
      <c r="CF179" s="222"/>
      <c r="CG179" s="222"/>
      <c r="CH179" s="222"/>
      <c r="CI179" s="222"/>
      <c r="CJ179" s="222"/>
      <c r="CK179" s="222"/>
      <c r="CL179" s="222"/>
      <c r="CM179" s="222"/>
      <c r="CN179" s="222"/>
      <c r="CO179" s="222"/>
      <c r="CP179" s="222"/>
      <c r="CQ179" s="222"/>
      <c r="CR179" s="222"/>
      <c r="CS179" s="222"/>
      <c r="CT179" s="222"/>
      <c r="CU179" s="222"/>
      <c r="CV179" s="222"/>
      <c r="CW179" s="222"/>
      <c r="CX179" s="222"/>
      <c r="CY179" s="222"/>
      <c r="CZ179" s="222"/>
      <c r="DA179" s="222"/>
      <c r="DB179" s="222"/>
      <c r="DC179" s="222"/>
      <c r="DD179" s="222"/>
      <c r="DE179" s="222"/>
      <c r="DF179" s="222"/>
      <c r="DG179" s="222"/>
      <c r="DH179" s="222"/>
      <c r="DI179" s="222"/>
      <c r="DJ179" s="222"/>
      <c r="DK179" s="222"/>
      <c r="DL179" s="222"/>
      <c r="DM179" s="222"/>
      <c r="DN179" s="222"/>
      <c r="DO179" s="222"/>
      <c r="DP179" s="222"/>
      <c r="DQ179" s="222"/>
      <c r="DR179" s="222"/>
      <c r="DS179" s="222"/>
      <c r="DT179" s="222"/>
      <c r="DU179" s="222"/>
      <c r="DV179" s="222"/>
      <c r="DW179" s="222"/>
      <c r="DX179" s="222"/>
      <c r="DY179" s="222"/>
      <c r="DZ179" s="222"/>
      <c r="EA179" s="222"/>
      <c r="EB179" s="222"/>
      <c r="EC179" s="222"/>
      <c r="ED179" s="222"/>
      <c r="EE179" s="222"/>
      <c r="EF179" s="222"/>
      <c r="EG179" s="222"/>
      <c r="EH179" s="222"/>
    </row>
    <row r="180" spans="1:138">
      <c r="A180" s="222"/>
      <c r="B180" s="318"/>
      <c r="C180" s="310" t="s">
        <v>305</v>
      </c>
      <c r="D180" s="319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  <c r="O180" s="311"/>
      <c r="P180" s="311"/>
      <c r="Q180" s="311"/>
      <c r="R180" s="311"/>
      <c r="S180" s="311"/>
      <c r="T180" s="311"/>
      <c r="U180" s="311"/>
      <c r="V180" s="311"/>
      <c r="W180" s="311"/>
      <c r="X180" s="311"/>
      <c r="Y180" s="311"/>
      <c r="Z180" s="311"/>
      <c r="AA180" s="311"/>
      <c r="AB180" s="311"/>
      <c r="AC180" s="311"/>
      <c r="AD180" s="311"/>
      <c r="AE180" s="311"/>
      <c r="AF180" s="311"/>
      <c r="AG180" s="311"/>
      <c r="AH180" s="311"/>
      <c r="AI180" s="311"/>
      <c r="AJ180" s="311"/>
      <c r="AK180" s="311"/>
      <c r="AL180" s="311"/>
      <c r="AM180" s="311"/>
      <c r="AN180" s="311"/>
      <c r="AO180" s="311"/>
      <c r="AP180" s="311"/>
      <c r="AQ180" s="311"/>
      <c r="AR180" s="311"/>
      <c r="AS180" s="311"/>
      <c r="AT180" s="311"/>
      <c r="AU180" s="311"/>
      <c r="AV180" s="311"/>
      <c r="AW180" s="311"/>
      <c r="AX180" s="311"/>
      <c r="AY180" s="311"/>
      <c r="AZ180" s="311"/>
      <c r="BA180" s="311"/>
      <c r="BB180" s="311"/>
      <c r="BC180" s="312"/>
      <c r="BD180" s="311"/>
      <c r="BE180" s="311"/>
      <c r="BF180" s="311"/>
      <c r="BG180" s="311"/>
      <c r="BH180" s="311"/>
      <c r="BI180" s="311"/>
      <c r="BJ180" s="311"/>
      <c r="BK180" s="311"/>
      <c r="BL180" s="311"/>
      <c r="BM180" s="311"/>
      <c r="BN180" s="311"/>
      <c r="BO180" s="311"/>
      <c r="BP180" s="311"/>
      <c r="BQ180" s="311"/>
      <c r="BR180" s="311"/>
      <c r="BS180" s="311"/>
      <c r="BT180" s="311"/>
      <c r="BU180" s="311"/>
      <c r="BV180" s="311"/>
      <c r="BW180" s="311"/>
      <c r="BX180" s="311"/>
      <c r="BY180" s="307"/>
      <c r="BZ180" s="307"/>
      <c r="CA180" s="222"/>
      <c r="CB180" s="222"/>
      <c r="CC180" s="222"/>
      <c r="CD180" s="222"/>
      <c r="CE180" s="222"/>
      <c r="CF180" s="222"/>
      <c r="CG180" s="222"/>
      <c r="CH180" s="222"/>
      <c r="CI180" s="222"/>
      <c r="CJ180" s="222"/>
      <c r="CK180" s="222"/>
      <c r="CL180" s="222"/>
      <c r="CM180" s="222"/>
      <c r="CN180" s="222"/>
      <c r="CO180" s="222"/>
      <c r="CP180" s="222"/>
      <c r="CQ180" s="222"/>
      <c r="CR180" s="222"/>
      <c r="CS180" s="222"/>
      <c r="CT180" s="222"/>
      <c r="CU180" s="222"/>
      <c r="CV180" s="222"/>
      <c r="CW180" s="222"/>
      <c r="CX180" s="222"/>
      <c r="CY180" s="222"/>
      <c r="CZ180" s="222"/>
      <c r="DA180" s="222"/>
      <c r="DB180" s="222"/>
      <c r="DC180" s="222"/>
      <c r="DD180" s="222"/>
      <c r="DE180" s="222"/>
      <c r="DF180" s="222"/>
      <c r="DG180" s="222"/>
      <c r="DH180" s="222"/>
      <c r="DI180" s="222"/>
      <c r="DJ180" s="222"/>
      <c r="DK180" s="222"/>
      <c r="DL180" s="222"/>
      <c r="DM180" s="222"/>
      <c r="DN180" s="222"/>
      <c r="DO180" s="222"/>
      <c r="DP180" s="222"/>
      <c r="DQ180" s="222"/>
      <c r="DR180" s="222"/>
      <c r="DS180" s="222"/>
      <c r="DT180" s="222"/>
      <c r="DU180" s="222"/>
      <c r="DV180" s="222"/>
      <c r="DW180" s="222"/>
      <c r="DX180" s="222"/>
      <c r="DY180" s="222"/>
      <c r="DZ180" s="222"/>
      <c r="EA180" s="222"/>
      <c r="EB180" s="222"/>
      <c r="EC180" s="222"/>
      <c r="ED180" s="222"/>
      <c r="EE180" s="222"/>
      <c r="EF180" s="222"/>
      <c r="EG180" s="222"/>
      <c r="EH180" s="222"/>
    </row>
    <row r="181" spans="1:138">
      <c r="A181" s="222"/>
      <c r="B181" s="318"/>
      <c r="C181" s="310" t="s">
        <v>296</v>
      </c>
      <c r="D181" s="319"/>
      <c r="E181" s="311">
        <f t="shared" ref="E181:G181" si="61">-E59</f>
        <v>0</v>
      </c>
      <c r="F181" s="311">
        <f t="shared" si="61"/>
        <v>0</v>
      </c>
      <c r="G181" s="311">
        <f t="shared" si="61"/>
        <v>0</v>
      </c>
      <c r="H181" s="311">
        <f t="shared" ref="H181:T181" si="62">-H74</f>
        <v>0</v>
      </c>
      <c r="I181" s="311">
        <f t="shared" si="62"/>
        <v>0</v>
      </c>
      <c r="J181" s="311">
        <f t="shared" si="62"/>
        <v>0</v>
      </c>
      <c r="K181" s="311">
        <f t="shared" si="62"/>
        <v>0</v>
      </c>
      <c r="L181" s="311">
        <f t="shared" si="62"/>
        <v>0</v>
      </c>
      <c r="M181" s="311">
        <f t="shared" si="62"/>
        <v>0</v>
      </c>
      <c r="N181" s="311">
        <f t="shared" si="62"/>
        <v>0</v>
      </c>
      <c r="O181" s="311">
        <f t="shared" si="62"/>
        <v>0</v>
      </c>
      <c r="P181" s="311">
        <f t="shared" si="62"/>
        <v>0</v>
      </c>
      <c r="Q181" s="311">
        <f t="shared" si="62"/>
        <v>0</v>
      </c>
      <c r="R181" s="311">
        <f t="shared" si="62"/>
        <v>0</v>
      </c>
      <c r="S181" s="311">
        <f t="shared" si="62"/>
        <v>0</v>
      </c>
      <c r="T181" s="311">
        <f t="shared" si="62"/>
        <v>0</v>
      </c>
      <c r="U181" s="311">
        <f t="shared" ref="U181:BX181" si="63">-U59</f>
        <v>0</v>
      </c>
      <c r="V181" s="311">
        <f t="shared" si="63"/>
        <v>0</v>
      </c>
      <c r="W181" s="311">
        <f t="shared" si="63"/>
        <v>0</v>
      </c>
      <c r="X181" s="311">
        <f t="shared" si="63"/>
        <v>0</v>
      </c>
      <c r="Y181" s="311">
        <f t="shared" si="63"/>
        <v>0</v>
      </c>
      <c r="Z181" s="311">
        <f t="shared" si="63"/>
        <v>0</v>
      </c>
      <c r="AA181" s="311">
        <f t="shared" si="63"/>
        <v>0</v>
      </c>
      <c r="AB181" s="311">
        <f t="shared" si="63"/>
        <v>0</v>
      </c>
      <c r="AC181" s="311">
        <f t="shared" si="63"/>
        <v>0</v>
      </c>
      <c r="AD181" s="311">
        <f t="shared" si="63"/>
        <v>0</v>
      </c>
      <c r="AE181" s="311">
        <f t="shared" si="63"/>
        <v>0</v>
      </c>
      <c r="AF181" s="311">
        <f t="shared" si="63"/>
        <v>0</v>
      </c>
      <c r="AG181" s="311">
        <f t="shared" si="63"/>
        <v>0</v>
      </c>
      <c r="AH181" s="311">
        <f t="shared" si="63"/>
        <v>0</v>
      </c>
      <c r="AI181" s="311">
        <f t="shared" si="63"/>
        <v>0</v>
      </c>
      <c r="AJ181" s="311">
        <f t="shared" si="63"/>
        <v>0</v>
      </c>
      <c r="AK181" s="311">
        <f t="shared" si="63"/>
        <v>0</v>
      </c>
      <c r="AL181" s="311">
        <f t="shared" si="63"/>
        <v>0</v>
      </c>
      <c r="AM181" s="311">
        <f t="shared" si="63"/>
        <v>0</v>
      </c>
      <c r="AN181" s="311">
        <f t="shared" si="63"/>
        <v>0</v>
      </c>
      <c r="AO181" s="311">
        <f t="shared" si="63"/>
        <v>0</v>
      </c>
      <c r="AP181" s="311">
        <f t="shared" si="63"/>
        <v>0</v>
      </c>
      <c r="AQ181" s="311">
        <f t="shared" si="63"/>
        <v>0</v>
      </c>
      <c r="AR181" s="311">
        <f t="shared" si="63"/>
        <v>0</v>
      </c>
      <c r="AS181" s="311">
        <f t="shared" si="63"/>
        <v>0</v>
      </c>
      <c r="AT181" s="311">
        <f t="shared" si="63"/>
        <v>0</v>
      </c>
      <c r="AU181" s="311">
        <f t="shared" si="63"/>
        <v>0</v>
      </c>
      <c r="AV181" s="311">
        <f t="shared" si="63"/>
        <v>0</v>
      </c>
      <c r="AW181" s="311">
        <f t="shared" si="63"/>
        <v>0</v>
      </c>
      <c r="AX181" s="311">
        <f t="shared" si="63"/>
        <v>0</v>
      </c>
      <c r="AY181" s="311">
        <f t="shared" si="63"/>
        <v>0</v>
      </c>
      <c r="AZ181" s="311">
        <f t="shared" si="63"/>
        <v>0</v>
      </c>
      <c r="BA181" s="311">
        <f t="shared" si="63"/>
        <v>0</v>
      </c>
      <c r="BB181" s="311">
        <f t="shared" si="63"/>
        <v>0</v>
      </c>
      <c r="BC181" s="311">
        <f t="shared" si="63"/>
        <v>0</v>
      </c>
      <c r="BD181" s="311">
        <f t="shared" si="63"/>
        <v>0</v>
      </c>
      <c r="BE181" s="311">
        <f t="shared" si="63"/>
        <v>0</v>
      </c>
      <c r="BF181" s="311">
        <f t="shared" si="63"/>
        <v>0</v>
      </c>
      <c r="BG181" s="311">
        <f t="shared" si="63"/>
        <v>0</v>
      </c>
      <c r="BH181" s="311">
        <f t="shared" si="63"/>
        <v>0</v>
      </c>
      <c r="BI181" s="311">
        <f t="shared" si="63"/>
        <v>0</v>
      </c>
      <c r="BJ181" s="311">
        <f t="shared" si="63"/>
        <v>0</v>
      </c>
      <c r="BK181" s="311">
        <f t="shared" si="63"/>
        <v>0</v>
      </c>
      <c r="BL181" s="311">
        <f t="shared" si="63"/>
        <v>0</v>
      </c>
      <c r="BM181" s="311">
        <f t="shared" si="63"/>
        <v>0</v>
      </c>
      <c r="BN181" s="311">
        <f t="shared" si="63"/>
        <v>0</v>
      </c>
      <c r="BO181" s="311">
        <f t="shared" si="63"/>
        <v>0</v>
      </c>
      <c r="BP181" s="311">
        <f t="shared" si="63"/>
        <v>0</v>
      </c>
      <c r="BQ181" s="311">
        <f t="shared" si="63"/>
        <v>0</v>
      </c>
      <c r="BR181" s="311">
        <f t="shared" si="63"/>
        <v>0</v>
      </c>
      <c r="BS181" s="311">
        <f t="shared" si="63"/>
        <v>0</v>
      </c>
      <c r="BT181" s="311">
        <f t="shared" si="63"/>
        <v>0</v>
      </c>
      <c r="BU181" s="311">
        <f t="shared" si="63"/>
        <v>0</v>
      </c>
      <c r="BV181" s="311">
        <f t="shared" si="63"/>
        <v>0</v>
      </c>
      <c r="BW181" s="311">
        <f t="shared" si="63"/>
        <v>0</v>
      </c>
      <c r="BX181" s="311">
        <f t="shared" si="63"/>
        <v>0</v>
      </c>
      <c r="BY181" s="307"/>
      <c r="BZ181" s="307"/>
      <c r="CA181" s="222"/>
      <c r="CB181" s="222"/>
      <c r="CC181" s="222"/>
      <c r="CD181" s="222"/>
      <c r="CE181" s="222"/>
      <c r="CF181" s="222"/>
      <c r="CG181" s="222"/>
      <c r="CH181" s="222"/>
      <c r="CI181" s="222"/>
      <c r="CJ181" s="222"/>
      <c r="CK181" s="222"/>
      <c r="CL181" s="222"/>
      <c r="CM181" s="222"/>
      <c r="CN181" s="222"/>
      <c r="CO181" s="222"/>
      <c r="CP181" s="222"/>
      <c r="CQ181" s="222"/>
      <c r="CR181" s="222"/>
      <c r="CS181" s="222"/>
      <c r="CT181" s="222"/>
      <c r="CU181" s="222"/>
      <c r="CV181" s="222"/>
      <c r="CW181" s="222"/>
      <c r="CX181" s="222"/>
      <c r="CY181" s="222"/>
      <c r="CZ181" s="222"/>
      <c r="DA181" s="222"/>
      <c r="DB181" s="222"/>
      <c r="DC181" s="222"/>
      <c r="DD181" s="222"/>
      <c r="DE181" s="222"/>
      <c r="DF181" s="222"/>
      <c r="DG181" s="222"/>
      <c r="DH181" s="222"/>
      <c r="DI181" s="222"/>
      <c r="DJ181" s="222"/>
      <c r="DK181" s="222"/>
      <c r="DL181" s="222"/>
      <c r="DM181" s="222"/>
      <c r="DN181" s="222"/>
      <c r="DO181" s="222"/>
      <c r="DP181" s="222"/>
      <c r="DQ181" s="222"/>
      <c r="DR181" s="222"/>
      <c r="DS181" s="222"/>
      <c r="DT181" s="222"/>
      <c r="DU181" s="222"/>
      <c r="DV181" s="222"/>
      <c r="DW181" s="222"/>
      <c r="DX181" s="222"/>
      <c r="DY181" s="222"/>
      <c r="DZ181" s="222"/>
      <c r="EA181" s="222"/>
      <c r="EB181" s="222"/>
      <c r="EC181" s="222"/>
      <c r="ED181" s="222"/>
      <c r="EE181" s="222"/>
      <c r="EF181" s="222"/>
      <c r="EG181" s="222"/>
      <c r="EH181" s="222"/>
    </row>
    <row r="182" spans="1:138">
      <c r="A182" s="222"/>
      <c r="B182" s="318"/>
      <c r="C182" s="310" t="s">
        <v>297</v>
      </c>
      <c r="D182" s="319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  <c r="O182" s="311"/>
      <c r="P182" s="311"/>
      <c r="Q182" s="311"/>
      <c r="R182" s="311"/>
      <c r="S182" s="311"/>
      <c r="T182" s="311">
        <v>2750000</v>
      </c>
      <c r="U182" s="311"/>
      <c r="V182" s="311"/>
      <c r="W182" s="311"/>
      <c r="X182" s="311"/>
      <c r="Y182" s="311"/>
      <c r="Z182" s="311"/>
      <c r="AA182" s="311"/>
      <c r="AB182" s="311"/>
      <c r="AC182" s="311"/>
      <c r="AD182" s="311"/>
      <c r="AE182" s="311"/>
      <c r="AF182" s="311"/>
      <c r="AG182" s="311"/>
      <c r="AH182" s="311"/>
      <c r="AI182" s="311"/>
      <c r="AJ182" s="311"/>
      <c r="AK182" s="311"/>
      <c r="AL182" s="311"/>
      <c r="AM182" s="311"/>
      <c r="AN182" s="311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1"/>
      <c r="AZ182" s="311"/>
      <c r="BA182" s="311"/>
      <c r="BB182" s="311"/>
      <c r="BC182" s="312"/>
      <c r="BD182" s="311"/>
      <c r="BE182" s="311"/>
      <c r="BF182" s="311"/>
      <c r="BG182" s="311"/>
      <c r="BH182" s="311"/>
      <c r="BI182" s="311"/>
      <c r="BJ182" s="311"/>
      <c r="BK182" s="311"/>
      <c r="BL182" s="311"/>
      <c r="BM182" s="311"/>
      <c r="BN182" s="311"/>
      <c r="BO182" s="311"/>
      <c r="BP182" s="311"/>
      <c r="BQ182" s="311"/>
      <c r="BR182" s="311"/>
      <c r="BS182" s="311"/>
      <c r="BT182" s="311"/>
      <c r="BU182" s="311"/>
      <c r="BV182" s="311"/>
      <c r="BW182" s="311"/>
      <c r="BX182" s="311">
        <f>IF(D106&gt;0.25,(BX101-BX109)*D183,BX101*D183)</f>
        <v>0</v>
      </c>
      <c r="BY182" s="307"/>
      <c r="BZ182" s="307"/>
      <c r="CA182" s="222"/>
      <c r="CB182" s="222"/>
      <c r="CC182" s="222"/>
      <c r="CD182" s="222"/>
      <c r="CE182" s="222"/>
      <c r="CF182" s="222"/>
      <c r="CG182" s="222"/>
      <c r="CH182" s="222"/>
      <c r="CI182" s="222"/>
      <c r="CJ182" s="222"/>
      <c r="CK182" s="222"/>
      <c r="CL182" s="222"/>
      <c r="CM182" s="222"/>
      <c r="CN182" s="222"/>
      <c r="CO182" s="222"/>
      <c r="CP182" s="222"/>
      <c r="CQ182" s="222"/>
      <c r="CR182" s="222"/>
      <c r="CS182" s="222"/>
      <c r="CT182" s="222"/>
      <c r="CU182" s="222"/>
      <c r="CV182" s="222"/>
      <c r="CW182" s="222"/>
      <c r="CX182" s="222"/>
      <c r="CY182" s="222"/>
      <c r="CZ182" s="222"/>
      <c r="DA182" s="222"/>
      <c r="DB182" s="222"/>
      <c r="DC182" s="222"/>
      <c r="DD182" s="222"/>
      <c r="DE182" s="222"/>
      <c r="DF182" s="222"/>
      <c r="DG182" s="222"/>
      <c r="DH182" s="222"/>
      <c r="DI182" s="222"/>
      <c r="DJ182" s="222"/>
      <c r="DK182" s="222"/>
      <c r="DL182" s="222"/>
      <c r="DM182" s="222"/>
      <c r="DN182" s="222"/>
      <c r="DO182" s="222"/>
      <c r="DP182" s="222"/>
      <c r="DQ182" s="222"/>
      <c r="DR182" s="222"/>
      <c r="DS182" s="222"/>
      <c r="DT182" s="222"/>
      <c r="DU182" s="222"/>
      <c r="DV182" s="222"/>
      <c r="DW182" s="222"/>
      <c r="DX182" s="222"/>
      <c r="DY182" s="222"/>
      <c r="DZ182" s="222"/>
      <c r="EA182" s="222"/>
      <c r="EB182" s="222"/>
      <c r="EC182" s="222"/>
      <c r="ED182" s="222"/>
      <c r="EE182" s="222"/>
      <c r="EF182" s="222"/>
      <c r="EG182" s="222"/>
      <c r="EH182" s="222"/>
    </row>
    <row r="183" spans="1:138">
      <c r="A183" s="222"/>
      <c r="B183" s="318"/>
      <c r="C183" s="313" t="s">
        <v>298</v>
      </c>
      <c r="D183" s="319">
        <v>0</v>
      </c>
      <c r="E183" s="311"/>
      <c r="F183" s="311"/>
      <c r="G183" s="311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311"/>
      <c r="V183" s="311"/>
      <c r="W183" s="311"/>
      <c r="X183" s="311"/>
      <c r="Y183" s="311"/>
      <c r="Z183" s="311"/>
      <c r="AA183" s="311"/>
      <c r="AB183" s="311"/>
      <c r="AC183" s="311"/>
      <c r="AD183" s="311"/>
      <c r="AE183" s="311"/>
      <c r="AF183" s="311"/>
      <c r="AG183" s="311"/>
      <c r="AH183" s="311"/>
      <c r="AI183" s="311"/>
      <c r="AJ183" s="311"/>
      <c r="AK183" s="311"/>
      <c r="AL183" s="311"/>
      <c r="AM183" s="311"/>
      <c r="AN183" s="311"/>
      <c r="AO183" s="311"/>
      <c r="AP183" s="311"/>
      <c r="AQ183" s="311"/>
      <c r="AR183" s="311"/>
      <c r="AS183" s="311"/>
      <c r="AT183" s="311"/>
      <c r="AU183" s="311"/>
      <c r="AV183" s="311"/>
      <c r="AW183" s="311"/>
      <c r="AX183" s="311"/>
      <c r="AY183" s="311"/>
      <c r="AZ183" s="311"/>
      <c r="BA183" s="311"/>
      <c r="BB183" s="311"/>
      <c r="BC183" s="312"/>
      <c r="BD183" s="311"/>
      <c r="BE183" s="311"/>
      <c r="BF183" s="311"/>
      <c r="BG183" s="311"/>
      <c r="BH183" s="311"/>
      <c r="BI183" s="311"/>
      <c r="BJ183" s="311"/>
      <c r="BK183" s="311"/>
      <c r="BL183" s="311"/>
      <c r="BM183" s="311"/>
      <c r="BN183" s="311"/>
      <c r="BO183" s="311"/>
      <c r="BP183" s="311"/>
      <c r="BQ183" s="311"/>
      <c r="BR183" s="311"/>
      <c r="BS183" s="311"/>
      <c r="BT183" s="311"/>
      <c r="BU183" s="311"/>
      <c r="BV183" s="311"/>
      <c r="BW183" s="311"/>
      <c r="BX183" s="311"/>
      <c r="BY183" s="307"/>
      <c r="BZ183" s="307"/>
      <c r="CA183" s="222"/>
      <c r="CB183" s="222"/>
      <c r="CC183" s="222"/>
      <c r="CD183" s="222"/>
      <c r="CE183" s="222"/>
      <c r="CF183" s="222"/>
      <c r="CG183" s="222"/>
      <c r="CH183" s="222"/>
      <c r="CI183" s="222"/>
      <c r="CJ183" s="222"/>
      <c r="CK183" s="222"/>
      <c r="CL183" s="222"/>
      <c r="CM183" s="222"/>
      <c r="CN183" s="222"/>
      <c r="CO183" s="222"/>
      <c r="CP183" s="222"/>
      <c r="CQ183" s="222"/>
      <c r="CR183" s="222"/>
      <c r="CS183" s="222"/>
      <c r="CT183" s="222"/>
      <c r="CU183" s="222"/>
      <c r="CV183" s="222"/>
      <c r="CW183" s="222"/>
      <c r="CX183" s="222"/>
      <c r="CY183" s="222"/>
      <c r="CZ183" s="222"/>
      <c r="DA183" s="222"/>
      <c r="DB183" s="222"/>
      <c r="DC183" s="222"/>
      <c r="DD183" s="222"/>
      <c r="DE183" s="222"/>
      <c r="DF183" s="222"/>
      <c r="DG183" s="222"/>
      <c r="DH183" s="222"/>
      <c r="DI183" s="222"/>
      <c r="DJ183" s="222"/>
      <c r="DK183" s="222"/>
      <c r="DL183" s="222"/>
      <c r="DM183" s="222"/>
      <c r="DN183" s="222"/>
      <c r="DO183" s="222"/>
      <c r="DP183" s="222"/>
      <c r="DQ183" s="222"/>
      <c r="DR183" s="222"/>
      <c r="DS183" s="222"/>
      <c r="DT183" s="222"/>
      <c r="DU183" s="222"/>
      <c r="DV183" s="222"/>
      <c r="DW183" s="222"/>
      <c r="DX183" s="222"/>
      <c r="DY183" s="222"/>
      <c r="DZ183" s="222"/>
      <c r="EA183" s="222"/>
      <c r="EB183" s="222"/>
      <c r="EC183" s="222"/>
      <c r="ED183" s="222"/>
      <c r="EE183" s="222"/>
      <c r="EF183" s="222"/>
      <c r="EG183" s="222"/>
      <c r="EH183" s="222"/>
    </row>
    <row r="184" spans="1:138">
      <c r="A184" s="222"/>
      <c r="B184" s="318"/>
      <c r="C184" s="310" t="s">
        <v>299</v>
      </c>
      <c r="D184" s="311"/>
      <c r="E184" s="321">
        <f t="shared" ref="E184:BX184" si="64">E179+E180+E181+E182+E183</f>
        <v>0</v>
      </c>
      <c r="F184" s="321">
        <f t="shared" si="64"/>
        <v>0</v>
      </c>
      <c r="G184" s="321">
        <f t="shared" si="64"/>
        <v>0</v>
      </c>
      <c r="H184" s="321">
        <f t="shared" si="64"/>
        <v>-5341205.5</v>
      </c>
      <c r="I184" s="321">
        <f t="shared" si="64"/>
        <v>0</v>
      </c>
      <c r="J184" s="321">
        <f t="shared" si="64"/>
        <v>0</v>
      </c>
      <c r="K184" s="321">
        <f t="shared" si="64"/>
        <v>0</v>
      </c>
      <c r="L184" s="321">
        <f t="shared" si="64"/>
        <v>0</v>
      </c>
      <c r="M184" s="321">
        <f t="shared" si="64"/>
        <v>0</v>
      </c>
      <c r="N184" s="321">
        <f t="shared" si="64"/>
        <v>0</v>
      </c>
      <c r="O184" s="321">
        <f t="shared" si="64"/>
        <v>0</v>
      </c>
      <c r="P184" s="321">
        <f t="shared" si="64"/>
        <v>0</v>
      </c>
      <c r="Q184" s="321">
        <f t="shared" si="64"/>
        <v>0</v>
      </c>
      <c r="R184" s="321">
        <f t="shared" si="64"/>
        <v>0</v>
      </c>
      <c r="S184" s="321">
        <f t="shared" si="64"/>
        <v>0</v>
      </c>
      <c r="T184" s="321">
        <f t="shared" si="64"/>
        <v>8091205.5</v>
      </c>
      <c r="U184" s="321">
        <f t="shared" si="64"/>
        <v>0</v>
      </c>
      <c r="V184" s="321">
        <f t="shared" si="64"/>
        <v>0</v>
      </c>
      <c r="W184" s="321">
        <f t="shared" si="64"/>
        <v>0</v>
      </c>
      <c r="X184" s="321">
        <f t="shared" si="64"/>
        <v>0</v>
      </c>
      <c r="Y184" s="321">
        <f t="shared" si="64"/>
        <v>0</v>
      </c>
      <c r="Z184" s="321">
        <f t="shared" si="64"/>
        <v>0</v>
      </c>
      <c r="AA184" s="321">
        <f t="shared" si="64"/>
        <v>0</v>
      </c>
      <c r="AB184" s="321">
        <f t="shared" si="64"/>
        <v>0</v>
      </c>
      <c r="AC184" s="321">
        <f t="shared" si="64"/>
        <v>0</v>
      </c>
      <c r="AD184" s="321">
        <f t="shared" si="64"/>
        <v>0</v>
      </c>
      <c r="AE184" s="321">
        <f t="shared" si="64"/>
        <v>0</v>
      </c>
      <c r="AF184" s="321">
        <f t="shared" si="64"/>
        <v>0</v>
      </c>
      <c r="AG184" s="321">
        <f t="shared" si="64"/>
        <v>0</v>
      </c>
      <c r="AH184" s="321">
        <f t="shared" si="64"/>
        <v>0</v>
      </c>
      <c r="AI184" s="321">
        <f t="shared" si="64"/>
        <v>0</v>
      </c>
      <c r="AJ184" s="321">
        <f t="shared" si="64"/>
        <v>0</v>
      </c>
      <c r="AK184" s="321">
        <f t="shared" si="64"/>
        <v>0</v>
      </c>
      <c r="AL184" s="321">
        <f t="shared" si="64"/>
        <v>0</v>
      </c>
      <c r="AM184" s="321">
        <f t="shared" si="64"/>
        <v>0</v>
      </c>
      <c r="AN184" s="321">
        <f t="shared" si="64"/>
        <v>0</v>
      </c>
      <c r="AO184" s="321">
        <f t="shared" si="64"/>
        <v>0</v>
      </c>
      <c r="AP184" s="321">
        <f t="shared" si="64"/>
        <v>0</v>
      </c>
      <c r="AQ184" s="321">
        <f t="shared" si="64"/>
        <v>0</v>
      </c>
      <c r="AR184" s="321">
        <f t="shared" si="64"/>
        <v>0</v>
      </c>
      <c r="AS184" s="321">
        <f t="shared" si="64"/>
        <v>0</v>
      </c>
      <c r="AT184" s="321">
        <f t="shared" si="64"/>
        <v>0</v>
      </c>
      <c r="AU184" s="321">
        <f t="shared" si="64"/>
        <v>0</v>
      </c>
      <c r="AV184" s="321">
        <f t="shared" si="64"/>
        <v>0</v>
      </c>
      <c r="AW184" s="321">
        <f t="shared" si="64"/>
        <v>0</v>
      </c>
      <c r="AX184" s="321">
        <f t="shared" si="64"/>
        <v>0</v>
      </c>
      <c r="AY184" s="321">
        <f t="shared" si="64"/>
        <v>0</v>
      </c>
      <c r="AZ184" s="321">
        <f t="shared" si="64"/>
        <v>0</v>
      </c>
      <c r="BA184" s="321">
        <f t="shared" si="64"/>
        <v>0</v>
      </c>
      <c r="BB184" s="321">
        <f t="shared" si="64"/>
        <v>0</v>
      </c>
      <c r="BC184" s="321">
        <f t="shared" si="64"/>
        <v>0</v>
      </c>
      <c r="BD184" s="321">
        <f t="shared" si="64"/>
        <v>0</v>
      </c>
      <c r="BE184" s="321">
        <f t="shared" si="64"/>
        <v>0</v>
      </c>
      <c r="BF184" s="321">
        <f t="shared" si="64"/>
        <v>0</v>
      </c>
      <c r="BG184" s="321">
        <f t="shared" si="64"/>
        <v>0</v>
      </c>
      <c r="BH184" s="321">
        <f t="shared" si="64"/>
        <v>0</v>
      </c>
      <c r="BI184" s="321">
        <f t="shared" si="64"/>
        <v>0</v>
      </c>
      <c r="BJ184" s="321">
        <f t="shared" si="64"/>
        <v>0</v>
      </c>
      <c r="BK184" s="321">
        <f t="shared" si="64"/>
        <v>0</v>
      </c>
      <c r="BL184" s="321">
        <f t="shared" si="64"/>
        <v>0</v>
      </c>
      <c r="BM184" s="321">
        <f t="shared" si="64"/>
        <v>0</v>
      </c>
      <c r="BN184" s="321">
        <f t="shared" si="64"/>
        <v>0</v>
      </c>
      <c r="BO184" s="321">
        <f t="shared" si="64"/>
        <v>0</v>
      </c>
      <c r="BP184" s="321">
        <f t="shared" si="64"/>
        <v>0</v>
      </c>
      <c r="BQ184" s="321">
        <f t="shared" si="64"/>
        <v>0</v>
      </c>
      <c r="BR184" s="321">
        <f t="shared" si="64"/>
        <v>0</v>
      </c>
      <c r="BS184" s="321">
        <f t="shared" si="64"/>
        <v>0</v>
      </c>
      <c r="BT184" s="321">
        <f t="shared" si="64"/>
        <v>0</v>
      </c>
      <c r="BU184" s="321">
        <f t="shared" si="64"/>
        <v>0</v>
      </c>
      <c r="BV184" s="321">
        <f t="shared" si="64"/>
        <v>0</v>
      </c>
      <c r="BW184" s="321">
        <f t="shared" si="64"/>
        <v>0</v>
      </c>
      <c r="BX184" s="321">
        <f t="shared" si="64"/>
        <v>0</v>
      </c>
      <c r="BY184" s="222"/>
      <c r="BZ184" s="222"/>
      <c r="CA184" s="222"/>
      <c r="CB184" s="222"/>
      <c r="CC184" s="222"/>
      <c r="CD184" s="222"/>
      <c r="CE184" s="222"/>
      <c r="CF184" s="222"/>
      <c r="CG184" s="222"/>
      <c r="CH184" s="222"/>
      <c r="CI184" s="222"/>
      <c r="CJ184" s="222"/>
      <c r="CK184" s="222"/>
      <c r="CL184" s="222"/>
      <c r="CM184" s="222"/>
      <c r="CN184" s="222"/>
      <c r="CO184" s="222"/>
      <c r="CP184" s="222"/>
      <c r="CQ184" s="222"/>
      <c r="CR184" s="222"/>
      <c r="CS184" s="222"/>
      <c r="CT184" s="222"/>
      <c r="CU184" s="222"/>
      <c r="CV184" s="222"/>
      <c r="CW184" s="222"/>
      <c r="CX184" s="222"/>
      <c r="CY184" s="222"/>
      <c r="CZ184" s="222"/>
      <c r="DA184" s="222"/>
      <c r="DB184" s="222"/>
      <c r="DC184" s="222"/>
      <c r="DD184" s="222"/>
      <c r="DE184" s="222"/>
      <c r="DF184" s="222"/>
      <c r="DG184" s="222"/>
      <c r="DH184" s="222"/>
      <c r="DI184" s="222"/>
      <c r="DJ184" s="222"/>
      <c r="DK184" s="222"/>
      <c r="DL184" s="222"/>
      <c r="DM184" s="222"/>
      <c r="DN184" s="222"/>
      <c r="DO184" s="222"/>
      <c r="DP184" s="222"/>
      <c r="DQ184" s="222"/>
      <c r="DR184" s="222"/>
      <c r="DS184" s="222"/>
      <c r="DT184" s="222"/>
      <c r="DU184" s="222"/>
      <c r="DV184" s="222"/>
      <c r="DW184" s="222"/>
      <c r="DX184" s="222"/>
      <c r="DY184" s="222"/>
      <c r="DZ184" s="222"/>
      <c r="EA184" s="222"/>
      <c r="EB184" s="222"/>
      <c r="EC184" s="222"/>
      <c r="ED184" s="222"/>
      <c r="EE184" s="222"/>
      <c r="EF184" s="222"/>
      <c r="EG184" s="222"/>
      <c r="EH184" s="222"/>
    </row>
    <row r="185" spans="1:138">
      <c r="A185" s="222"/>
      <c r="B185" s="318"/>
      <c r="C185" s="314"/>
      <c r="D185" s="322" t="s">
        <v>306</v>
      </c>
      <c r="E185" s="327">
        <f>E184</f>
        <v>0</v>
      </c>
      <c r="F185" s="327">
        <f t="shared" ref="F185:BX185" si="65">E185+F184</f>
        <v>0</v>
      </c>
      <c r="G185" s="327">
        <f t="shared" si="65"/>
        <v>0</v>
      </c>
      <c r="H185" s="327">
        <f t="shared" si="65"/>
        <v>-5341205.5</v>
      </c>
      <c r="I185" s="327">
        <f t="shared" si="65"/>
        <v>-5341205.5</v>
      </c>
      <c r="J185" s="327">
        <f t="shared" si="65"/>
        <v>-5341205.5</v>
      </c>
      <c r="K185" s="327">
        <f t="shared" si="65"/>
        <v>-5341205.5</v>
      </c>
      <c r="L185" s="327">
        <f t="shared" si="65"/>
        <v>-5341205.5</v>
      </c>
      <c r="M185" s="327">
        <f t="shared" si="65"/>
        <v>-5341205.5</v>
      </c>
      <c r="N185" s="327">
        <f t="shared" si="65"/>
        <v>-5341205.5</v>
      </c>
      <c r="O185" s="327">
        <f t="shared" si="65"/>
        <v>-5341205.5</v>
      </c>
      <c r="P185" s="327">
        <f t="shared" si="65"/>
        <v>-5341205.5</v>
      </c>
      <c r="Q185" s="327">
        <f t="shared" si="65"/>
        <v>-5341205.5</v>
      </c>
      <c r="R185" s="327">
        <f t="shared" si="65"/>
        <v>-5341205.5</v>
      </c>
      <c r="S185" s="327">
        <f t="shared" si="65"/>
        <v>-5341205.5</v>
      </c>
      <c r="T185" s="327">
        <f t="shared" si="65"/>
        <v>2750000</v>
      </c>
      <c r="U185" s="327">
        <f t="shared" si="65"/>
        <v>2750000</v>
      </c>
      <c r="V185" s="328">
        <f t="shared" si="65"/>
        <v>2750000</v>
      </c>
      <c r="W185" s="328">
        <f t="shared" si="65"/>
        <v>2750000</v>
      </c>
      <c r="X185" s="328">
        <f t="shared" si="65"/>
        <v>2750000</v>
      </c>
      <c r="Y185" s="328">
        <f t="shared" si="65"/>
        <v>2750000</v>
      </c>
      <c r="Z185" s="328">
        <f t="shared" si="65"/>
        <v>2750000</v>
      </c>
      <c r="AA185" s="328">
        <f t="shared" si="65"/>
        <v>2750000</v>
      </c>
      <c r="AB185" s="328">
        <f t="shared" si="65"/>
        <v>2750000</v>
      </c>
      <c r="AC185" s="328">
        <f t="shared" si="65"/>
        <v>2750000</v>
      </c>
      <c r="AD185" s="328">
        <f t="shared" si="65"/>
        <v>2750000</v>
      </c>
      <c r="AE185" s="328">
        <f t="shared" si="65"/>
        <v>2750000</v>
      </c>
      <c r="AF185" s="328">
        <f t="shared" si="65"/>
        <v>2750000</v>
      </c>
      <c r="AG185" s="328">
        <f t="shared" si="65"/>
        <v>2750000</v>
      </c>
      <c r="AH185" s="328">
        <f t="shared" si="65"/>
        <v>2750000</v>
      </c>
      <c r="AI185" s="328">
        <f t="shared" si="65"/>
        <v>2750000</v>
      </c>
      <c r="AJ185" s="328">
        <f t="shared" si="65"/>
        <v>2750000</v>
      </c>
      <c r="AK185" s="328">
        <f t="shared" si="65"/>
        <v>2750000</v>
      </c>
      <c r="AL185" s="328">
        <f t="shared" si="65"/>
        <v>2750000</v>
      </c>
      <c r="AM185" s="328">
        <f t="shared" si="65"/>
        <v>2750000</v>
      </c>
      <c r="AN185" s="328">
        <f t="shared" si="65"/>
        <v>2750000</v>
      </c>
      <c r="AO185" s="328">
        <f t="shared" si="65"/>
        <v>2750000</v>
      </c>
      <c r="AP185" s="328">
        <f t="shared" si="65"/>
        <v>2750000</v>
      </c>
      <c r="AQ185" s="328">
        <f t="shared" si="65"/>
        <v>2750000</v>
      </c>
      <c r="AR185" s="328">
        <f t="shared" si="65"/>
        <v>2750000</v>
      </c>
      <c r="AS185" s="328">
        <f t="shared" si="65"/>
        <v>2750000</v>
      </c>
      <c r="AT185" s="328">
        <f t="shared" si="65"/>
        <v>2750000</v>
      </c>
      <c r="AU185" s="328">
        <f t="shared" si="65"/>
        <v>2750000</v>
      </c>
      <c r="AV185" s="328">
        <f t="shared" si="65"/>
        <v>2750000</v>
      </c>
      <c r="AW185" s="328">
        <f t="shared" si="65"/>
        <v>2750000</v>
      </c>
      <c r="AX185" s="328">
        <f t="shared" si="65"/>
        <v>2750000</v>
      </c>
      <c r="AY185" s="328">
        <f t="shared" si="65"/>
        <v>2750000</v>
      </c>
      <c r="AZ185" s="328">
        <f t="shared" si="65"/>
        <v>2750000</v>
      </c>
      <c r="BA185" s="328">
        <f t="shared" si="65"/>
        <v>2750000</v>
      </c>
      <c r="BB185" s="328">
        <f t="shared" si="65"/>
        <v>2750000</v>
      </c>
      <c r="BC185" s="327">
        <f t="shared" si="65"/>
        <v>2750000</v>
      </c>
      <c r="BD185" s="327">
        <f t="shared" si="65"/>
        <v>2750000</v>
      </c>
      <c r="BE185" s="327">
        <f t="shared" si="65"/>
        <v>2750000</v>
      </c>
      <c r="BF185" s="327">
        <f t="shared" si="65"/>
        <v>2750000</v>
      </c>
      <c r="BG185" s="327">
        <f t="shared" si="65"/>
        <v>2750000</v>
      </c>
      <c r="BH185" s="327">
        <f t="shared" si="65"/>
        <v>2750000</v>
      </c>
      <c r="BI185" s="327">
        <f t="shared" si="65"/>
        <v>2750000</v>
      </c>
      <c r="BJ185" s="327">
        <f t="shared" si="65"/>
        <v>2750000</v>
      </c>
      <c r="BK185" s="327">
        <f t="shared" si="65"/>
        <v>2750000</v>
      </c>
      <c r="BL185" s="327">
        <f t="shared" si="65"/>
        <v>2750000</v>
      </c>
      <c r="BM185" s="327">
        <f t="shared" si="65"/>
        <v>2750000</v>
      </c>
      <c r="BN185" s="327">
        <f t="shared" si="65"/>
        <v>2750000</v>
      </c>
      <c r="BO185" s="327">
        <f t="shared" si="65"/>
        <v>2750000</v>
      </c>
      <c r="BP185" s="327">
        <f t="shared" si="65"/>
        <v>2750000</v>
      </c>
      <c r="BQ185" s="327">
        <f t="shared" si="65"/>
        <v>2750000</v>
      </c>
      <c r="BR185" s="327">
        <f t="shared" si="65"/>
        <v>2750000</v>
      </c>
      <c r="BS185" s="327">
        <f t="shared" si="65"/>
        <v>2750000</v>
      </c>
      <c r="BT185" s="327">
        <f t="shared" si="65"/>
        <v>2750000</v>
      </c>
      <c r="BU185" s="327">
        <f t="shared" si="65"/>
        <v>2750000</v>
      </c>
      <c r="BV185" s="327">
        <f t="shared" si="65"/>
        <v>2750000</v>
      </c>
      <c r="BW185" s="327">
        <f t="shared" si="65"/>
        <v>2750000</v>
      </c>
      <c r="BX185" s="327">
        <f t="shared" si="65"/>
        <v>2750000</v>
      </c>
      <c r="BY185" s="222"/>
      <c r="BZ185" s="222"/>
      <c r="CA185" s="222"/>
      <c r="CB185" s="222"/>
      <c r="CC185" s="222"/>
      <c r="CD185" s="222"/>
      <c r="CE185" s="222"/>
      <c r="CF185" s="222"/>
      <c r="CG185" s="222"/>
      <c r="CH185" s="222"/>
      <c r="CI185" s="222"/>
      <c r="CJ185" s="222"/>
      <c r="CK185" s="222"/>
      <c r="CL185" s="222"/>
      <c r="CM185" s="222"/>
      <c r="CN185" s="222"/>
      <c r="CO185" s="222"/>
      <c r="CP185" s="222"/>
      <c r="CQ185" s="222"/>
      <c r="CR185" s="222"/>
      <c r="CS185" s="222"/>
      <c r="CT185" s="222"/>
      <c r="CU185" s="222"/>
      <c r="CV185" s="222"/>
      <c r="CW185" s="222"/>
      <c r="CX185" s="222"/>
      <c r="CY185" s="222"/>
      <c r="CZ185" s="222"/>
      <c r="DA185" s="222"/>
      <c r="DB185" s="222"/>
      <c r="DC185" s="222"/>
      <c r="DD185" s="222"/>
      <c r="DE185" s="222"/>
      <c r="DF185" s="222"/>
      <c r="DG185" s="222"/>
      <c r="DH185" s="222"/>
      <c r="DI185" s="222"/>
      <c r="DJ185" s="222"/>
      <c r="DK185" s="222"/>
      <c r="DL185" s="222"/>
      <c r="DM185" s="222"/>
      <c r="DN185" s="222"/>
      <c r="DO185" s="222"/>
      <c r="DP185" s="222"/>
      <c r="DQ185" s="222"/>
      <c r="DR185" s="222"/>
      <c r="DS185" s="222"/>
      <c r="DT185" s="222"/>
      <c r="DU185" s="222"/>
      <c r="DV185" s="222"/>
      <c r="DW185" s="222"/>
      <c r="DX185" s="222"/>
      <c r="DY185" s="222"/>
      <c r="DZ185" s="222"/>
      <c r="EA185" s="222"/>
      <c r="EB185" s="222"/>
      <c r="EC185" s="222"/>
      <c r="ED185" s="222"/>
      <c r="EE185" s="222"/>
      <c r="EF185" s="222"/>
      <c r="EG185" s="222"/>
      <c r="EH185" s="222"/>
    </row>
    <row r="186" spans="1:138">
      <c r="A186" s="222"/>
      <c r="B186" s="318"/>
      <c r="C186" s="313" t="s">
        <v>292</v>
      </c>
      <c r="D186" s="322">
        <f>IRR(E184:BX184)*12</f>
        <v>0.42259732866030397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2"/>
      <c r="AX186" s="222"/>
      <c r="AY186" s="222"/>
      <c r="AZ186" s="222"/>
      <c r="BA186" s="222"/>
      <c r="BB186" s="222"/>
      <c r="BC186" s="222"/>
      <c r="BD186" s="222"/>
      <c r="BE186" s="222"/>
      <c r="BF186" s="222"/>
      <c r="BG186" s="222"/>
      <c r="BH186" s="222"/>
      <c r="BI186" s="222"/>
      <c r="BJ186" s="222"/>
      <c r="BK186" s="222"/>
      <c r="BL186" s="222"/>
      <c r="BM186" s="222"/>
      <c r="BN186" s="222"/>
      <c r="BO186" s="222"/>
      <c r="BP186" s="222"/>
      <c r="BQ186" s="222"/>
      <c r="BR186" s="222"/>
      <c r="BS186" s="222"/>
      <c r="BT186" s="222"/>
      <c r="BU186" s="222"/>
      <c r="BV186" s="222"/>
      <c r="BW186" s="222"/>
      <c r="BX186" s="222"/>
      <c r="BY186" s="222"/>
      <c r="BZ186" s="222"/>
      <c r="CA186" s="222"/>
      <c r="CB186" s="222"/>
      <c r="CC186" s="222"/>
      <c r="CD186" s="222"/>
      <c r="CE186" s="222"/>
      <c r="CF186" s="222"/>
      <c r="CG186" s="222"/>
      <c r="CH186" s="222"/>
      <c r="CI186" s="222"/>
      <c r="CJ186" s="222"/>
      <c r="CK186" s="222"/>
      <c r="CL186" s="222"/>
      <c r="CM186" s="222"/>
      <c r="CN186" s="222"/>
      <c r="CO186" s="222"/>
      <c r="CP186" s="222"/>
      <c r="CQ186" s="222"/>
      <c r="CR186" s="222"/>
      <c r="CS186" s="222"/>
      <c r="CT186" s="222"/>
      <c r="CU186" s="222"/>
      <c r="CV186" s="222"/>
      <c r="CW186" s="222"/>
      <c r="CX186" s="222"/>
      <c r="CY186" s="222"/>
      <c r="CZ186" s="222"/>
      <c r="DA186" s="222"/>
      <c r="DB186" s="222"/>
      <c r="DC186" s="222"/>
      <c r="DD186" s="222"/>
      <c r="DE186" s="222"/>
      <c r="DF186" s="222"/>
      <c r="DG186" s="222"/>
      <c r="DH186" s="222"/>
      <c r="DI186" s="222"/>
      <c r="DJ186" s="222"/>
      <c r="DK186" s="222"/>
      <c r="DL186" s="222"/>
      <c r="DM186" s="222"/>
      <c r="DN186" s="222"/>
      <c r="DO186" s="222"/>
      <c r="DP186" s="222"/>
      <c r="DQ186" s="222"/>
      <c r="DR186" s="222"/>
      <c r="DS186" s="222"/>
      <c r="DT186" s="222"/>
      <c r="DU186" s="222"/>
      <c r="DV186" s="222"/>
      <c r="DW186" s="222"/>
      <c r="DX186" s="222"/>
      <c r="DY186" s="222"/>
      <c r="DZ186" s="222"/>
      <c r="EA186" s="222"/>
      <c r="EB186" s="222"/>
      <c r="EC186" s="222"/>
      <c r="ED186" s="222"/>
      <c r="EE186" s="222"/>
      <c r="EF186" s="222"/>
      <c r="EG186" s="222"/>
      <c r="EH186" s="222"/>
    </row>
    <row r="187" spans="1:138">
      <c r="A187" s="222"/>
      <c r="B187" s="318"/>
      <c r="C187" s="323" t="s">
        <v>300</v>
      </c>
      <c r="D187" s="324">
        <f>-MIN(M185:BL185)-D188</f>
        <v>5341205.5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2"/>
      <c r="AX187" s="222"/>
      <c r="AY187" s="222"/>
      <c r="AZ187" s="222"/>
      <c r="BA187" s="222"/>
      <c r="BB187" s="222"/>
      <c r="BC187" s="222"/>
      <c r="BD187" s="222"/>
      <c r="BE187" s="222"/>
      <c r="BF187" s="222"/>
      <c r="BG187" s="222"/>
      <c r="BH187" s="222"/>
      <c r="BI187" s="222"/>
      <c r="BJ187" s="222"/>
      <c r="BK187" s="222"/>
      <c r="BL187" s="222"/>
      <c r="BM187" s="222"/>
      <c r="BN187" s="222"/>
      <c r="BO187" s="222"/>
      <c r="BP187" s="222"/>
      <c r="BQ187" s="222"/>
      <c r="BR187" s="222"/>
      <c r="BS187" s="222"/>
      <c r="BT187" s="222"/>
      <c r="BU187" s="222"/>
      <c r="BV187" s="222"/>
      <c r="BW187" s="222"/>
      <c r="BX187" s="222"/>
      <c r="BY187" s="222"/>
      <c r="BZ187" s="222"/>
      <c r="CA187" s="222"/>
      <c r="CB187" s="222"/>
      <c r="CC187" s="222"/>
      <c r="CD187" s="222"/>
      <c r="CE187" s="222"/>
      <c r="CF187" s="222"/>
      <c r="CG187" s="222"/>
      <c r="CH187" s="222"/>
      <c r="CI187" s="222"/>
      <c r="CJ187" s="222"/>
      <c r="CK187" s="222"/>
      <c r="CL187" s="222"/>
      <c r="CM187" s="222"/>
      <c r="CN187" s="222"/>
      <c r="CO187" s="222"/>
      <c r="CP187" s="222"/>
      <c r="CQ187" s="222"/>
      <c r="CR187" s="222"/>
      <c r="CS187" s="222"/>
      <c r="CT187" s="222"/>
      <c r="CU187" s="222"/>
      <c r="CV187" s="222"/>
      <c r="CW187" s="222"/>
      <c r="CX187" s="222"/>
      <c r="CY187" s="222"/>
      <c r="CZ187" s="222"/>
      <c r="DA187" s="222"/>
      <c r="DB187" s="222"/>
      <c r="DC187" s="222"/>
      <c r="DD187" s="222"/>
      <c r="DE187" s="222"/>
      <c r="DF187" s="222"/>
      <c r="DG187" s="222"/>
      <c r="DH187" s="222"/>
      <c r="DI187" s="222"/>
      <c r="DJ187" s="222"/>
      <c r="DK187" s="222"/>
      <c r="DL187" s="222"/>
      <c r="DM187" s="222"/>
      <c r="DN187" s="222"/>
      <c r="DO187" s="222"/>
      <c r="DP187" s="222"/>
      <c r="DQ187" s="222"/>
      <c r="DR187" s="222"/>
      <c r="DS187" s="222"/>
      <c r="DT187" s="222"/>
      <c r="DU187" s="222"/>
      <c r="DV187" s="222"/>
      <c r="DW187" s="222"/>
      <c r="DX187" s="222"/>
      <c r="DY187" s="222"/>
      <c r="DZ187" s="222"/>
      <c r="EA187" s="222"/>
      <c r="EB187" s="222"/>
      <c r="EC187" s="222"/>
      <c r="ED187" s="222"/>
      <c r="EE187" s="222"/>
      <c r="EF187" s="222"/>
      <c r="EG187" s="222"/>
      <c r="EH187" s="222"/>
    </row>
    <row r="188" spans="1:138">
      <c r="A188" s="222"/>
      <c r="B188" s="318"/>
      <c r="C188" s="323" t="s">
        <v>301</v>
      </c>
      <c r="D188" s="324">
        <f>-SUM(M183:BB183)</f>
        <v>0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2"/>
      <c r="BN188" s="222"/>
      <c r="BO188" s="222"/>
      <c r="BP188" s="222"/>
      <c r="BQ188" s="222"/>
      <c r="BR188" s="222"/>
      <c r="BS188" s="222"/>
      <c r="BT188" s="222"/>
      <c r="BU188" s="222"/>
      <c r="BV188" s="222"/>
      <c r="BW188" s="222"/>
      <c r="BX188" s="222"/>
      <c r="BY188" s="222"/>
      <c r="BZ188" s="222"/>
      <c r="CA188" s="222"/>
      <c r="CB188" s="222"/>
      <c r="CC188" s="222"/>
      <c r="CD188" s="222"/>
      <c r="CE188" s="222"/>
      <c r="CF188" s="222"/>
      <c r="CG188" s="222"/>
      <c r="CH188" s="222"/>
      <c r="CI188" s="222"/>
      <c r="CJ188" s="222"/>
      <c r="CK188" s="222"/>
      <c r="CL188" s="222"/>
      <c r="CM188" s="222"/>
      <c r="CN188" s="222"/>
      <c r="CO188" s="222"/>
      <c r="CP188" s="222"/>
      <c r="CQ188" s="222"/>
      <c r="CR188" s="222"/>
      <c r="CS188" s="222"/>
      <c r="CT188" s="222"/>
      <c r="CU188" s="222"/>
      <c r="CV188" s="222"/>
      <c r="CW188" s="222"/>
      <c r="CX188" s="222"/>
      <c r="CY188" s="222"/>
      <c r="CZ188" s="222"/>
      <c r="DA188" s="222"/>
      <c r="DB188" s="222"/>
      <c r="DC188" s="222"/>
      <c r="DD188" s="222"/>
      <c r="DE188" s="222"/>
      <c r="DF188" s="222"/>
      <c r="DG188" s="222"/>
      <c r="DH188" s="222"/>
      <c r="DI188" s="222"/>
      <c r="DJ188" s="222"/>
      <c r="DK188" s="222"/>
      <c r="DL188" s="222"/>
      <c r="DM188" s="222"/>
      <c r="DN188" s="222"/>
      <c r="DO188" s="222"/>
      <c r="DP188" s="222"/>
      <c r="DQ188" s="222"/>
      <c r="DR188" s="222"/>
      <c r="DS188" s="222"/>
      <c r="DT188" s="222"/>
      <c r="DU188" s="222"/>
      <c r="DV188" s="222"/>
      <c r="DW188" s="222"/>
      <c r="DX188" s="222"/>
      <c r="DY188" s="222"/>
      <c r="DZ188" s="222"/>
      <c r="EA188" s="222"/>
      <c r="EB188" s="222"/>
      <c r="EC188" s="222"/>
      <c r="ED188" s="222"/>
      <c r="EE188" s="222"/>
      <c r="EF188" s="222"/>
      <c r="EG188" s="222"/>
      <c r="EH188" s="222"/>
    </row>
    <row r="189" spans="1:138">
      <c r="A189" s="222"/>
      <c r="B189" s="318"/>
      <c r="C189" s="313" t="s">
        <v>302</v>
      </c>
      <c r="D189" s="326">
        <f>D188+D187</f>
        <v>5341205.5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2"/>
      <c r="BN189" s="222"/>
      <c r="BO189" s="222"/>
      <c r="BP189" s="222"/>
      <c r="BQ189" s="222"/>
      <c r="BR189" s="222"/>
      <c r="BS189" s="222"/>
      <c r="BT189" s="222"/>
      <c r="BU189" s="222"/>
      <c r="BV189" s="222"/>
      <c r="BW189" s="222"/>
      <c r="BX189" s="222"/>
      <c r="BY189" s="222"/>
      <c r="BZ189" s="222"/>
      <c r="CA189" s="222"/>
      <c r="CB189" s="222"/>
      <c r="CC189" s="222"/>
      <c r="CD189" s="222"/>
      <c r="CE189" s="222"/>
      <c r="CF189" s="222"/>
      <c r="CG189" s="222"/>
      <c r="CH189" s="222"/>
      <c r="CI189" s="222"/>
      <c r="CJ189" s="222"/>
      <c r="CK189" s="222"/>
      <c r="CL189" s="222"/>
      <c r="CM189" s="222"/>
      <c r="CN189" s="222"/>
      <c r="CO189" s="222"/>
      <c r="CP189" s="222"/>
      <c r="CQ189" s="222"/>
      <c r="CR189" s="222"/>
      <c r="CS189" s="222"/>
      <c r="CT189" s="222"/>
      <c r="CU189" s="222"/>
      <c r="CV189" s="222"/>
      <c r="CW189" s="222"/>
      <c r="CX189" s="222"/>
      <c r="CY189" s="222"/>
      <c r="CZ189" s="222"/>
      <c r="DA189" s="222"/>
      <c r="DB189" s="222"/>
      <c r="DC189" s="222"/>
      <c r="DD189" s="222"/>
      <c r="DE189" s="222"/>
      <c r="DF189" s="222"/>
      <c r="DG189" s="222"/>
      <c r="DH189" s="222"/>
      <c r="DI189" s="222"/>
      <c r="DJ189" s="222"/>
      <c r="DK189" s="222"/>
      <c r="DL189" s="222"/>
      <c r="DM189" s="222"/>
      <c r="DN189" s="222"/>
      <c r="DO189" s="222"/>
      <c r="DP189" s="222"/>
      <c r="DQ189" s="222"/>
      <c r="DR189" s="222"/>
      <c r="DS189" s="222"/>
      <c r="DT189" s="222"/>
      <c r="DU189" s="222"/>
      <c r="DV189" s="222"/>
      <c r="DW189" s="325"/>
      <c r="DX189" s="325"/>
      <c r="DY189" s="325"/>
      <c r="DZ189" s="325"/>
      <c r="EA189" s="325"/>
      <c r="EB189" s="325"/>
      <c r="EC189" s="325"/>
      <c r="ED189" s="325"/>
      <c r="EE189" s="325"/>
      <c r="EF189" s="325"/>
      <c r="EG189" s="325"/>
      <c r="EH189" s="325"/>
    </row>
    <row r="190" spans="1:138">
      <c r="A190" s="222"/>
      <c r="B190" s="318"/>
      <c r="C190" s="313" t="s">
        <v>303</v>
      </c>
      <c r="D190" s="326">
        <f>BX181+BX182</f>
        <v>0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2"/>
      <c r="BN190" s="222"/>
      <c r="BO190" s="222"/>
      <c r="BP190" s="222"/>
      <c r="BQ190" s="222"/>
      <c r="BR190" s="222"/>
      <c r="BS190" s="222"/>
      <c r="BT190" s="222"/>
      <c r="BU190" s="222"/>
      <c r="BV190" s="222"/>
      <c r="BW190" s="222"/>
      <c r="BX190" s="222"/>
      <c r="BY190" s="222"/>
      <c r="BZ190" s="222"/>
      <c r="CA190" s="222"/>
      <c r="CB190" s="222"/>
      <c r="CC190" s="222"/>
      <c r="CD190" s="222"/>
      <c r="CE190" s="222"/>
      <c r="CF190" s="222"/>
      <c r="CG190" s="222"/>
      <c r="CH190" s="222"/>
      <c r="CI190" s="222"/>
      <c r="CJ190" s="222"/>
      <c r="CK190" s="222"/>
      <c r="CL190" s="222"/>
      <c r="CM190" s="222"/>
      <c r="CN190" s="222"/>
      <c r="CO190" s="222"/>
      <c r="CP190" s="222"/>
      <c r="CQ190" s="222"/>
      <c r="CR190" s="222"/>
      <c r="CS190" s="222"/>
      <c r="CT190" s="222"/>
      <c r="CU190" s="222"/>
      <c r="CV190" s="222"/>
      <c r="CW190" s="222"/>
      <c r="CX190" s="222"/>
      <c r="CY190" s="222"/>
      <c r="CZ190" s="222"/>
      <c r="DA190" s="222"/>
      <c r="DB190" s="222"/>
      <c r="DC190" s="222"/>
      <c r="DD190" s="222"/>
      <c r="DE190" s="222"/>
      <c r="DF190" s="222"/>
      <c r="DG190" s="222"/>
      <c r="DH190" s="222"/>
      <c r="DI190" s="222"/>
      <c r="DJ190" s="222"/>
      <c r="DK190" s="222"/>
      <c r="DL190" s="222"/>
      <c r="DM190" s="222"/>
      <c r="DN190" s="222"/>
      <c r="DO190" s="222"/>
      <c r="DP190" s="222"/>
      <c r="DQ190" s="222"/>
      <c r="DR190" s="222"/>
      <c r="DS190" s="222"/>
      <c r="DT190" s="222"/>
      <c r="DU190" s="222"/>
      <c r="DV190" s="222"/>
      <c r="DW190" s="325"/>
      <c r="DX190" s="325"/>
      <c r="DY190" s="325"/>
      <c r="DZ190" s="325"/>
      <c r="EA190" s="325"/>
      <c r="EB190" s="325"/>
      <c r="EC190" s="325"/>
      <c r="ED190" s="325"/>
      <c r="EE190" s="325"/>
      <c r="EF190" s="325"/>
      <c r="EG190" s="325"/>
      <c r="EH190" s="325"/>
    </row>
    <row r="191" spans="1:138">
      <c r="A191" s="222"/>
      <c r="B191" s="318"/>
      <c r="C191" s="313" t="s">
        <v>147</v>
      </c>
      <c r="D191" s="322">
        <f>T182/T179</f>
        <v>0.51486504310684167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2"/>
      <c r="BN191" s="222"/>
      <c r="BO191" s="222"/>
      <c r="BP191" s="222"/>
      <c r="BQ191" s="222"/>
      <c r="BR191" s="222"/>
      <c r="BS191" s="222"/>
      <c r="BT191" s="222"/>
      <c r="BU191" s="222"/>
      <c r="BV191" s="222"/>
      <c r="BW191" s="222"/>
      <c r="BX191" s="222"/>
      <c r="BY191" s="222"/>
      <c r="BZ191" s="222"/>
      <c r="CA191" s="222"/>
      <c r="CB191" s="222"/>
      <c r="CC191" s="222"/>
      <c r="CD191" s="222"/>
      <c r="CE191" s="222"/>
      <c r="CF191" s="222"/>
      <c r="CG191" s="222"/>
      <c r="CH191" s="222"/>
      <c r="CI191" s="222"/>
      <c r="CJ191" s="222"/>
      <c r="CK191" s="222"/>
      <c r="CL191" s="222"/>
      <c r="CM191" s="222"/>
      <c r="CN191" s="222"/>
      <c r="CO191" s="222"/>
      <c r="CP191" s="222"/>
      <c r="CQ191" s="222"/>
      <c r="CR191" s="222"/>
      <c r="CS191" s="222"/>
      <c r="CT191" s="222"/>
      <c r="CU191" s="222"/>
      <c r="CV191" s="222"/>
      <c r="CW191" s="222"/>
      <c r="CX191" s="222"/>
      <c r="CY191" s="222"/>
      <c r="CZ191" s="222"/>
      <c r="DA191" s="222"/>
      <c r="DB191" s="222"/>
      <c r="DC191" s="222"/>
      <c r="DD191" s="222"/>
      <c r="DE191" s="222"/>
      <c r="DF191" s="222"/>
      <c r="DG191" s="222"/>
      <c r="DH191" s="222"/>
      <c r="DI191" s="222"/>
      <c r="DJ191" s="222"/>
      <c r="DK191" s="222"/>
      <c r="DL191" s="222"/>
      <c r="DM191" s="222"/>
      <c r="DN191" s="222"/>
      <c r="DO191" s="222"/>
      <c r="DP191" s="222"/>
      <c r="DQ191" s="222"/>
      <c r="DR191" s="222"/>
      <c r="DS191" s="222"/>
      <c r="DT191" s="222"/>
      <c r="DU191" s="222"/>
      <c r="DV191" s="222"/>
      <c r="DW191" s="325"/>
      <c r="DX191" s="325"/>
      <c r="DY191" s="325"/>
      <c r="DZ191" s="325"/>
      <c r="EA191" s="325"/>
      <c r="EB191" s="325"/>
      <c r="EC191" s="325"/>
      <c r="ED191" s="325"/>
      <c r="EE191" s="325"/>
      <c r="EF191" s="325"/>
      <c r="EG191" s="325"/>
      <c r="EH191" s="325"/>
    </row>
    <row r="192" spans="1:138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2"/>
      <c r="BN192" s="222"/>
      <c r="BO192" s="222"/>
      <c r="BP192" s="222"/>
      <c r="BQ192" s="222"/>
      <c r="BR192" s="222"/>
      <c r="BS192" s="222"/>
      <c r="BT192" s="222"/>
      <c r="BU192" s="222"/>
      <c r="BV192" s="222"/>
      <c r="BW192" s="222"/>
      <c r="BX192" s="222"/>
      <c r="BY192" s="222"/>
      <c r="BZ192" s="238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325"/>
      <c r="DX192" s="325"/>
      <c r="DY192" s="325"/>
      <c r="DZ192" s="325"/>
      <c r="EA192" s="325"/>
      <c r="EB192" s="325"/>
      <c r="EC192" s="325"/>
      <c r="ED192" s="325"/>
      <c r="EE192" s="325"/>
      <c r="EF192" s="325"/>
      <c r="EG192" s="325"/>
      <c r="EH192" s="325"/>
    </row>
  </sheetData>
  <mergeCells count="34">
    <mergeCell ref="S124:T124"/>
    <mergeCell ref="B2:C4"/>
    <mergeCell ref="B5:B8"/>
    <mergeCell ref="B9:B11"/>
    <mergeCell ref="B12:B15"/>
    <mergeCell ref="B16:C16"/>
    <mergeCell ref="B17:B97"/>
    <mergeCell ref="B98:C98"/>
    <mergeCell ref="B100:C100"/>
    <mergeCell ref="B101:C101"/>
    <mergeCell ref="D106:E106"/>
    <mergeCell ref="D109:BW109"/>
    <mergeCell ref="S123:T123"/>
    <mergeCell ref="BM2:BX2"/>
    <mergeCell ref="E2:P2"/>
    <mergeCell ref="Q2:AB2"/>
    <mergeCell ref="BY90:BZ90"/>
    <mergeCell ref="BZ91:BZ97"/>
    <mergeCell ref="BY98:BZ98"/>
    <mergeCell ref="BY100:BZ100"/>
    <mergeCell ref="BZ5:BZ8"/>
    <mergeCell ref="BZ9:BZ11"/>
    <mergeCell ref="BY16:BZ16"/>
    <mergeCell ref="BZ17:BZ89"/>
    <mergeCell ref="CC17:CC89"/>
    <mergeCell ref="CC5:CC8"/>
    <mergeCell ref="CC9:CC11"/>
    <mergeCell ref="CC12:CC15"/>
    <mergeCell ref="CB16:CC16"/>
    <mergeCell ref="AC2:AN2"/>
    <mergeCell ref="AO2:AZ2"/>
    <mergeCell ref="BA2:BL2"/>
    <mergeCell ref="BY2:BZ4"/>
    <mergeCell ref="BZ12:BZ15"/>
  </mergeCells>
  <conditionalFormatting sqref="E17:BX17 E23:BX23 E26:BX26 E34:BX34 E37:BX37 E49:BX49 E55:BX55 E63:BX63 E87:BX87 E90:BX90">
    <cfRule type="cellIs" dxfId="17" priority="1" operator="equal">
      <formula>0</formula>
    </cfRule>
  </conditionalFormatting>
  <conditionalFormatting sqref="F114:BS117 E115 BT115:BX115 E117 BT117:BX117 E131 F131:BX134 E133 E149:BX149 E163 M163:BX163 F163:L166 E165 M165:BX165 M179:T179 H179:L182 E181:G181 M181:BX181">
    <cfRule type="cellIs" dxfId="16" priority="2" operator="equal">
      <formula>0</formula>
    </cfRule>
  </conditionalFormatting>
  <dataValidations count="1">
    <dataValidation type="list" allowBlank="1" showErrorMessage="1" sqref="CB4" xr:uid="{00000000-0002-0000-0E00-000000000000}">
      <formula1>$D$3:$BX$3</formula1>
    </dataValidation>
  </dataValidations>
  <pageMargins left="0" right="0" top="0" bottom="0" header="0" footer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EH200"/>
  <sheetViews>
    <sheetView workbookViewId="0">
      <pane xSplit="3" ySplit="4" topLeftCell="D5" activePane="bottomRight" state="frozen"/>
      <selection pane="bottomRight" activeCell="D5" sqref="D5"/>
      <selection pane="bottomLeft" activeCell="A5" sqref="A5"/>
      <selection pane="topRight" activeCell="D1" sqref="D1"/>
    </sheetView>
  </sheetViews>
  <sheetFormatPr defaultColWidth="12.625" defaultRowHeight="15" customHeight="1" outlineLevelRow="2" outlineLevelCol="2"/>
  <cols>
    <col min="1" max="1" width="2.375" customWidth="1"/>
    <col min="3" max="3" width="40.125" customWidth="1"/>
    <col min="4" max="4" width="12.625" outlineLevel="1"/>
    <col min="5" max="5" width="10.875" customWidth="1" outlineLevel="1"/>
    <col min="6" max="16" width="10.875" customWidth="1" outlineLevel="2"/>
    <col min="17" max="17" width="10.875" customWidth="1" outlineLevel="1"/>
    <col min="18" max="20" width="10.875" customWidth="1" outlineLevel="2"/>
    <col min="21" max="21" width="9.125" customWidth="1" outlineLevel="2"/>
    <col min="22" max="28" width="12.625" customWidth="1" outlineLevel="2"/>
    <col min="29" max="29" width="9.875" customWidth="1" outlineLevel="1" collapsed="1"/>
    <col min="30" max="40" width="6.5" hidden="1" customWidth="1" outlineLevel="2"/>
    <col min="41" max="41" width="6.5" customWidth="1" outlineLevel="1" collapsed="1"/>
    <col min="42" max="52" width="6.5" hidden="1" customWidth="1" outlineLevel="2"/>
    <col min="53" max="53" width="6.5" customWidth="1" outlineLevel="1" collapsed="1"/>
    <col min="54" max="64" width="6.5" hidden="1" customWidth="1" outlineLevel="2"/>
    <col min="65" max="65" width="6.5" customWidth="1" outlineLevel="1" collapsed="1"/>
    <col min="66" max="76" width="6.5" hidden="1" customWidth="1" outlineLevel="2"/>
    <col min="79" max="79" width="12.625" collapsed="1"/>
    <col min="80" max="82" width="12.625" hidden="1" outlineLevel="1"/>
  </cols>
  <sheetData>
    <row r="1" spans="1:138">
      <c r="A1" s="222"/>
      <c r="B1" s="357" t="s">
        <v>199</v>
      </c>
      <c r="C1" s="358">
        <v>45625</v>
      </c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</row>
    <row r="2" spans="1:138">
      <c r="A2" s="505"/>
      <c r="B2" s="567" t="s">
        <v>200</v>
      </c>
      <c r="C2" s="597"/>
      <c r="D2" s="505"/>
      <c r="E2" s="559">
        <v>45292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9"/>
      <c r="Q2" s="558">
        <v>2025</v>
      </c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9"/>
      <c r="AC2" s="558">
        <v>2026</v>
      </c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9"/>
      <c r="AO2" s="559">
        <v>46388</v>
      </c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9"/>
      <c r="BA2" s="559">
        <v>46753</v>
      </c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9"/>
      <c r="BM2" s="559">
        <v>47119</v>
      </c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9"/>
      <c r="BY2" s="560" t="s">
        <v>201</v>
      </c>
      <c r="BZ2" s="597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</row>
    <row r="3" spans="1:138">
      <c r="A3" s="505"/>
      <c r="B3" s="588"/>
      <c r="C3" s="597"/>
      <c r="D3" s="505"/>
      <c r="E3" s="226" t="str">
        <f>IFERROR(VLOOKUP(TEXT(E4,"mm.yyyy"),HMG!$B$2:$C$1001, 2, FALSE),"")</f>
        <v>zapis KS</v>
      </c>
      <c r="F3" s="226" t="str">
        <f>IFERROR(VLOOKUP(TEXT(F4,"mm.yyyy"),HMG!$B$2:$C$1001, 2, FALSE),"")</f>
        <v/>
      </c>
      <c r="G3" s="226" t="str">
        <f>IFERROR(VLOOKUP(TEXT(G4,"mm.yyyy"),HMG!$B$2:$C$1001, 2, FALSE),"")</f>
        <v/>
      </c>
      <c r="H3" s="226" t="str">
        <f>IFERROR(VLOOKUP(TEXT(H4,"mm.yyyy"),HMG!$B$2:$C$1001, 2, FALSE),"")</f>
        <v/>
      </c>
      <c r="I3" s="226" t="str">
        <f>IFERROR(VLOOKUP(TEXT(I4,"mm.yyyy"),HMG!$B$2:$C$1001, 2, FALSE),"")</f>
        <v/>
      </c>
      <c r="J3" s="226" t="str">
        <f>IFERROR(VLOOKUP(TEXT(J4,"mm.yyyy"),HMG!$B$2:$C$1001, 2, FALSE),"")</f>
        <v/>
      </c>
      <c r="K3" s="226" t="str">
        <f>IFERROR(VLOOKUP(TEXT(K4,"mm.yyyy"),HMG!$B$2:$C$1001, 2, FALSE),"")</f>
        <v/>
      </c>
      <c r="L3" s="226" t="str">
        <f>IFERROR(VLOOKUP(TEXT(L4,"mm.yyyy"),HMG!$B$2:$C$1001, 2, FALSE),"")</f>
        <v/>
      </c>
      <c r="M3" s="226" t="str">
        <f>IFERROR(VLOOKUP(TEXT(M4,"mm.yyyy"),HMG!$B$2:$C$1001, 2, FALSE),"")</f>
        <v/>
      </c>
      <c r="N3" s="226" t="str">
        <f>IFERROR(VLOOKUP(TEXT(N4,"mm.yyyy"),HMG!$B$2:$C$1001, 2, FALSE),"")</f>
        <v/>
      </c>
      <c r="O3" s="226" t="str">
        <f>IFERROR(VLOOKUP(TEXT(O4,"mm.yyyy"),HMG!$B$2:$C$1001, 2, FALSE),"")</f>
        <v/>
      </c>
      <c r="P3" s="226" t="str">
        <f>IFERROR(VLOOKUP(TEXT(P4,"mm.yyyy"),HMG!$B$2:$C$1001, 2, FALSE),"")</f>
        <v/>
      </c>
      <c r="Q3" s="226" t="str">
        <f>IFERROR(VLOOKUP(TEXT(Q4,"mm.yyyy"),HMG!$B$2:$C$1001, 2, FALSE),"")</f>
        <v>zapis KS</v>
      </c>
      <c r="R3" s="226" t="str">
        <f>IFERROR(VLOOKUP(TEXT(R4,"mm.yyyy"),HMG!$B$2:$C$1001, 2, FALSE),"")</f>
        <v/>
      </c>
      <c r="S3" s="226" t="str">
        <f>IFERROR(VLOOKUP(TEXT(S4,"mm.yyyy"),HMG!$B$2:$C$1001, 2, FALSE),"")</f>
        <v/>
      </c>
      <c r="T3" s="226" t="str">
        <f>IFERROR(VLOOKUP(TEXT(T4,"mm.yyyy"),HMG!$B$2:$C$1001, 2, FALSE),"")</f>
        <v/>
      </c>
      <c r="U3" s="226" t="str">
        <f>IFERROR(VLOOKUP(TEXT(U4,"mm.yyyy"),HMG!$B$2:$C$1001, 2, FALSE),"")</f>
        <v/>
      </c>
      <c r="V3" s="226" t="str">
        <f>IFERROR(VLOOKUP(TEXT(V4,"mm.yyyy"),HMG!$B$2:$C$1001, 2, FALSE),"")</f>
        <v/>
      </c>
      <c r="W3" s="226" t="str">
        <f>IFERROR(VLOOKUP(TEXT(W4,"mm.yyyy"),HMG!$B$2:$C$1001, 2, FALSE),"")</f>
        <v/>
      </c>
      <c r="X3" s="226" t="str">
        <f>IFERROR(VLOOKUP(TEXT(X4,"mm.yyyy"),HMG!$B$2:$C$1001, 2, FALSE),"")</f>
        <v/>
      </c>
      <c r="Y3" s="226" t="str">
        <f>IFERROR(VLOOKUP(TEXT(Y4,"mm.yyyy"),HMG!$B$2:$C$1001, 2, FALSE),"")</f>
        <v/>
      </c>
      <c r="Z3" s="226" t="str">
        <f>IFERROR(VLOOKUP(TEXT(Z4,"mm.yyyy"),HMG!$B$2:$C$1001, 2, FALSE),"")</f>
        <v/>
      </c>
      <c r="AA3" s="226" t="str">
        <f>IFERROR(VLOOKUP(TEXT(AA4,"mm.yyyy"),HMG!$B$2:$C$1001, 2, FALSE),"")</f>
        <v/>
      </c>
      <c r="AB3" s="226" t="str">
        <f>IFERROR(VLOOKUP(TEXT(AB4,"mm.yyyy"),HMG!$B$2:$C$1001, 2, FALSE),"")</f>
        <v/>
      </c>
      <c r="AC3" s="226" t="str">
        <f>IFERROR(VLOOKUP(TEXT(AC4,"mm.yyyy"),HMG!$B$2:$C$1001, 2, FALSE),"")</f>
        <v>zapis KS</v>
      </c>
      <c r="AD3" s="226" t="str">
        <f>IFERROR(VLOOKUP(TEXT(AD4,"mm.yyyy"),HMG!$B$2:$C$1001, 2, FALSE),"")</f>
        <v/>
      </c>
      <c r="AE3" s="226" t="str">
        <f>IFERROR(VLOOKUP(TEXT(AE4,"mm.yyyy"),HMG!$B$2:$C$1001, 2, FALSE),"")</f>
        <v/>
      </c>
      <c r="AF3" s="226" t="str">
        <f>IFERROR(VLOOKUP(TEXT(AF4,"mm.yyyy"),HMG!$B$2:$C$1001, 2, FALSE),"")</f>
        <v/>
      </c>
      <c r="AG3" s="226" t="str">
        <f>IFERROR(VLOOKUP(TEXT(AG4,"mm.yyyy"),HMG!$B$2:$C$1001, 2, FALSE),"")</f>
        <v/>
      </c>
      <c r="AH3" s="226" t="str">
        <f>IFERROR(VLOOKUP(TEXT(AH4,"mm.yyyy"),HMG!$B$2:$C$1001, 2, FALSE),"")</f>
        <v/>
      </c>
      <c r="AI3" s="226" t="str">
        <f>IFERROR(VLOOKUP(TEXT(AI4,"mm.yyyy"),HMG!$B$2:$C$1001, 2, FALSE),"")</f>
        <v/>
      </c>
      <c r="AJ3" s="226" t="str">
        <f>IFERROR(VLOOKUP(TEXT(AJ4,"mm.yyyy"),HMG!$B$2:$C$1001, 2, FALSE),"")</f>
        <v/>
      </c>
      <c r="AK3" s="226" t="str">
        <f>IFERROR(VLOOKUP(TEXT(AK4,"mm.yyyy"),HMG!$B$2:$C$1001, 2, FALSE),"")</f>
        <v/>
      </c>
      <c r="AL3" s="226" t="str">
        <f>IFERROR(VLOOKUP(TEXT(AL4,"mm.yyyy"),HMG!$B$2:$C$1001, 2, FALSE),"")</f>
        <v/>
      </c>
      <c r="AM3" s="226" t="str">
        <f>IFERROR(VLOOKUP(TEXT(AM4,"mm.yyyy"),HMG!$B$2:$C$1001, 2, FALSE),"")</f>
        <v/>
      </c>
      <c r="AN3" s="226" t="str">
        <f>IFERROR(VLOOKUP(TEXT(AN4,"mm.yyyy"),HMG!$B$2:$C$1001, 2, FALSE),"")</f>
        <v/>
      </c>
      <c r="AO3" s="226" t="str">
        <f>IFERROR(VLOOKUP(TEXT(AO4,"mm.yyyy"),HMG!$B$2:$C$1001, 2, FALSE),"")</f>
        <v>zapis KS</v>
      </c>
      <c r="AP3" s="226" t="str">
        <f>IFERROR(VLOOKUP(TEXT(AP4,"mm.yyyy"),HMG!$B$2:$C$1001, 2, FALSE),"")</f>
        <v/>
      </c>
      <c r="AQ3" s="226" t="str">
        <f>IFERROR(VLOOKUP(TEXT(AQ4,"mm.yyyy"),HMG!$B$2:$C$1001, 2, FALSE),"")</f>
        <v/>
      </c>
      <c r="AR3" s="226" t="str">
        <f>IFERROR(VLOOKUP(TEXT(AR4,"mm.yyyy"),HMG!$B$2:$C$1001, 2, FALSE),"")</f>
        <v/>
      </c>
      <c r="AS3" s="226" t="str">
        <f>IFERROR(VLOOKUP(TEXT(AS4,"mm.yyyy"),HMG!$B$2:$C$1001, 2, FALSE),"")</f>
        <v/>
      </c>
      <c r="AT3" s="226" t="str">
        <f>IFERROR(VLOOKUP(TEXT(AT4,"mm.yyyy"),HMG!$B$2:$C$1001, 2, FALSE),"")</f>
        <v/>
      </c>
      <c r="AU3" s="226" t="str">
        <f>IFERROR(VLOOKUP(TEXT(AU4,"mm.yyyy"),HMG!$B$2:$C$1001, 2, FALSE),"")</f>
        <v/>
      </c>
      <c r="AV3" s="226" t="str">
        <f>IFERROR(VLOOKUP(TEXT(AV4,"mm.yyyy"),HMG!$B$2:$C$1001, 2, FALSE),"")</f>
        <v/>
      </c>
      <c r="AW3" s="226" t="str">
        <f>IFERROR(VLOOKUP(TEXT(AW4,"mm.yyyy"),HMG!$B$2:$C$1001, 2, FALSE),"")</f>
        <v/>
      </c>
      <c r="AX3" s="226" t="str">
        <f>IFERROR(VLOOKUP(TEXT(AX4,"mm.yyyy"),HMG!$B$2:$C$1001, 2, FALSE),"")</f>
        <v/>
      </c>
      <c r="AY3" s="226" t="str">
        <f>IFERROR(VLOOKUP(TEXT(AY4,"mm.yyyy"),HMG!$B$2:$C$1001, 2, FALSE),"")</f>
        <v/>
      </c>
      <c r="AZ3" s="226" t="str">
        <f>IFERROR(VLOOKUP(TEXT(AZ4,"mm.yyyy"),HMG!$B$2:$C$1001, 2, FALSE),"")</f>
        <v/>
      </c>
      <c r="BA3" s="226" t="str">
        <f>IFERROR(VLOOKUP(TEXT(BA4,"mm.yyyy"),HMG!$B$2:$C$1001, 2, FALSE),"")</f>
        <v>zapis KS</v>
      </c>
      <c r="BB3" s="226" t="str">
        <f>IFERROR(VLOOKUP(TEXT(BB4,"mm.yyyy"),HMG!$B$2:$C$1001, 2, FALSE),"")</f>
        <v/>
      </c>
      <c r="BC3" s="226" t="str">
        <f>IFERROR(VLOOKUP(TEXT(BC4,"mm.yyyy"),HMG!$B$2:$C$1001, 2, FALSE),"")</f>
        <v/>
      </c>
      <c r="BD3" s="226" t="str">
        <f>IFERROR(VLOOKUP(TEXT(BD4,"mm.yyyy"),HMG!$B$2:$C$1001, 2, FALSE),"")</f>
        <v/>
      </c>
      <c r="BE3" s="226" t="str">
        <f>IFERROR(VLOOKUP(TEXT(BE4,"mm.yyyy"),HMG!$B$2:$C$1001, 2, FALSE),"")</f>
        <v/>
      </c>
      <c r="BF3" s="226" t="str">
        <f>IFERROR(VLOOKUP(TEXT(BF4,"mm.yyyy"),HMG!$B$2:$C$1001, 2, FALSE),"")</f>
        <v/>
      </c>
      <c r="BG3" s="226" t="str">
        <f>IFERROR(VLOOKUP(TEXT(BG4,"mm.yyyy"),HMG!$B$2:$C$1001, 2, FALSE),"")</f>
        <v/>
      </c>
      <c r="BH3" s="226" t="str">
        <f>IFERROR(VLOOKUP(TEXT(BH4,"mm.yyyy"),HMG!$B$2:$C$1001, 2, FALSE),"")</f>
        <v/>
      </c>
      <c r="BI3" s="226" t="str">
        <f>IFERROR(VLOOKUP(TEXT(BI4,"mm.yyyy"),HMG!$B$2:$C$1001, 2, FALSE),"")</f>
        <v/>
      </c>
      <c r="BJ3" s="226" t="str">
        <f>IFERROR(VLOOKUP(TEXT(BJ4,"mm.yyyy"),HMG!$B$2:$C$1001, 2, FALSE),"")</f>
        <v/>
      </c>
      <c r="BK3" s="226" t="str">
        <f>IFERROR(VLOOKUP(TEXT(BK4,"mm.yyyy"),HMG!$B$2:$C$1001, 2, FALSE),"")</f>
        <v/>
      </c>
      <c r="BL3" s="226" t="str">
        <f>IFERROR(VLOOKUP(TEXT(BL4,"mm.yyyy"),HMG!$B$2:$C$1001, 2, FALSE),"")</f>
        <v/>
      </c>
      <c r="BM3" s="226" t="str">
        <f>IFERROR(VLOOKUP(TEXT(BM4,"mm.yyyy"),HMG!$B$2:$C$1001, 2, FALSE),"")</f>
        <v>zapis KS</v>
      </c>
      <c r="BN3" s="226" t="str">
        <f>IFERROR(VLOOKUP(TEXT(BN4,"mm.yyyy"),HMG!$B$2:$C$1001, 2, FALSE),"")</f>
        <v/>
      </c>
      <c r="BO3" s="226" t="str">
        <f>IFERROR(VLOOKUP(TEXT(BO4,"mm.yyyy"),HMG!$B$2:$C$1001, 2, FALSE),"")</f>
        <v/>
      </c>
      <c r="BP3" s="226" t="str">
        <f>IFERROR(VLOOKUP(TEXT(BP4,"mm.yyyy"),HMG!$B$2:$C$1001, 2, FALSE),"")</f>
        <v/>
      </c>
      <c r="BQ3" s="226" t="str">
        <f>IFERROR(VLOOKUP(TEXT(BQ4,"mm.yyyy"),HMG!$B$2:$C$1001, 2, FALSE),"")</f>
        <v/>
      </c>
      <c r="BR3" s="226" t="str">
        <f>IFERROR(VLOOKUP(TEXT(BR4,"mm.yyyy"),HMG!$B$2:$C$1001, 2, FALSE),"")</f>
        <v/>
      </c>
      <c r="BS3" s="226" t="str">
        <f>IFERROR(VLOOKUP(TEXT(BS4,"mm.yyyy"),HMG!$B$2:$C$1001, 2, FALSE),"")</f>
        <v/>
      </c>
      <c r="BT3" s="226" t="str">
        <f>IFERROR(VLOOKUP(TEXT(BT4,"mm.yyyy"),HMG!$B$2:$C$1001, 2, FALSE),"")</f>
        <v/>
      </c>
      <c r="BU3" s="226" t="str">
        <f>IFERROR(VLOOKUP(TEXT(BU4,"mm.yyyy"),HMG!$B$2:$C$1001, 2, FALSE),"")</f>
        <v/>
      </c>
      <c r="BV3" s="226" t="str">
        <f>IFERROR(VLOOKUP(TEXT(BV4,"mm.yyyy"),HMG!$B$2:$C$1001, 2, FALSE),"")</f>
        <v/>
      </c>
      <c r="BW3" s="226" t="str">
        <f>IFERROR(VLOOKUP(TEXT(BW4,"mm.yyyy"),HMG!$B$2:$C$1001, 2, FALSE),"")</f>
        <v/>
      </c>
      <c r="BX3" s="226" t="str">
        <f>IFERROR(VLOOKUP(TEXT(BX4,"mm.yyyy"),HMG!$B$2:$C$1001, 2, FALSE),"")</f>
        <v/>
      </c>
      <c r="BY3" s="588"/>
      <c r="BZ3" s="597"/>
      <c r="CA3" s="222"/>
      <c r="CB3" s="222" t="s">
        <v>202</v>
      </c>
      <c r="CC3" s="222" t="s">
        <v>203</v>
      </c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2"/>
      <c r="CV3" s="222"/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</row>
    <row r="4" spans="1:138">
      <c r="A4" s="505"/>
      <c r="B4" s="591"/>
      <c r="C4" s="592"/>
      <c r="D4" s="506"/>
      <c r="E4" s="227">
        <v>45292</v>
      </c>
      <c r="F4" s="227">
        <v>45323</v>
      </c>
      <c r="G4" s="227">
        <v>45352</v>
      </c>
      <c r="H4" s="227">
        <v>45383</v>
      </c>
      <c r="I4" s="227">
        <v>45413</v>
      </c>
      <c r="J4" s="227">
        <v>45444</v>
      </c>
      <c r="K4" s="227">
        <v>45474</v>
      </c>
      <c r="L4" s="227">
        <v>45505</v>
      </c>
      <c r="M4" s="227">
        <v>45536</v>
      </c>
      <c r="N4" s="227">
        <v>45566</v>
      </c>
      <c r="O4" s="359">
        <v>45597</v>
      </c>
      <c r="P4" s="227">
        <v>45627</v>
      </c>
      <c r="Q4" s="227">
        <v>45658</v>
      </c>
      <c r="R4" s="227">
        <v>45689</v>
      </c>
      <c r="S4" s="227">
        <v>45717</v>
      </c>
      <c r="T4" s="227">
        <v>45748</v>
      </c>
      <c r="U4" s="227">
        <v>45778</v>
      </c>
      <c r="V4" s="227">
        <v>45809</v>
      </c>
      <c r="W4" s="227">
        <v>45839</v>
      </c>
      <c r="X4" s="227">
        <v>45870</v>
      </c>
      <c r="Y4" s="227">
        <v>45901</v>
      </c>
      <c r="Z4" s="227">
        <v>45931</v>
      </c>
      <c r="AA4" s="227">
        <v>45962</v>
      </c>
      <c r="AB4" s="227">
        <v>45992</v>
      </c>
      <c r="AC4" s="227">
        <v>46023</v>
      </c>
      <c r="AD4" s="227">
        <v>46054</v>
      </c>
      <c r="AE4" s="227">
        <v>46082</v>
      </c>
      <c r="AF4" s="227">
        <v>46113</v>
      </c>
      <c r="AG4" s="227">
        <v>46143</v>
      </c>
      <c r="AH4" s="227">
        <v>46174</v>
      </c>
      <c r="AI4" s="227">
        <v>46204</v>
      </c>
      <c r="AJ4" s="227">
        <v>46235</v>
      </c>
      <c r="AK4" s="227">
        <v>46266</v>
      </c>
      <c r="AL4" s="227">
        <v>46296</v>
      </c>
      <c r="AM4" s="227">
        <v>46327</v>
      </c>
      <c r="AN4" s="227">
        <v>46357</v>
      </c>
      <c r="AO4" s="227">
        <v>46388</v>
      </c>
      <c r="AP4" s="227">
        <v>46419</v>
      </c>
      <c r="AQ4" s="227">
        <v>46447</v>
      </c>
      <c r="AR4" s="227">
        <v>46478</v>
      </c>
      <c r="AS4" s="227">
        <v>46508</v>
      </c>
      <c r="AT4" s="227">
        <v>46539</v>
      </c>
      <c r="AU4" s="227">
        <v>46569</v>
      </c>
      <c r="AV4" s="227">
        <v>46600</v>
      </c>
      <c r="AW4" s="227">
        <v>46631</v>
      </c>
      <c r="AX4" s="227">
        <v>46661</v>
      </c>
      <c r="AY4" s="227">
        <v>46692</v>
      </c>
      <c r="AZ4" s="227">
        <v>46722</v>
      </c>
      <c r="BA4" s="227">
        <v>46753</v>
      </c>
      <c r="BB4" s="227">
        <v>46784</v>
      </c>
      <c r="BC4" s="227">
        <v>46813</v>
      </c>
      <c r="BD4" s="227">
        <v>46844</v>
      </c>
      <c r="BE4" s="227">
        <v>46874</v>
      </c>
      <c r="BF4" s="227">
        <v>46905</v>
      </c>
      <c r="BG4" s="227">
        <v>46935</v>
      </c>
      <c r="BH4" s="227">
        <v>46966</v>
      </c>
      <c r="BI4" s="227">
        <v>46997</v>
      </c>
      <c r="BJ4" s="227">
        <v>47027</v>
      </c>
      <c r="BK4" s="227">
        <v>47058</v>
      </c>
      <c r="BL4" s="227">
        <v>47088</v>
      </c>
      <c r="BM4" s="227">
        <v>47119</v>
      </c>
      <c r="BN4" s="227">
        <v>47150</v>
      </c>
      <c r="BO4" s="227">
        <v>47178</v>
      </c>
      <c r="BP4" s="227">
        <v>47209</v>
      </c>
      <c r="BQ4" s="227">
        <v>47239</v>
      </c>
      <c r="BR4" s="227">
        <v>47270</v>
      </c>
      <c r="BS4" s="227">
        <v>47300</v>
      </c>
      <c r="BT4" s="227">
        <v>47331</v>
      </c>
      <c r="BU4" s="227">
        <v>47362</v>
      </c>
      <c r="BV4" s="227">
        <v>47392</v>
      </c>
      <c r="BW4" s="227">
        <v>47423</v>
      </c>
      <c r="BX4" s="227">
        <v>47453</v>
      </c>
      <c r="BY4" s="591"/>
      <c r="BZ4" s="592"/>
      <c r="CA4" s="222"/>
      <c r="CB4" s="222" t="s">
        <v>63</v>
      </c>
      <c r="CC4" s="222"/>
      <c r="CD4" s="222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2"/>
      <c r="CV4" s="222"/>
      <c r="CW4" s="222"/>
      <c r="CX4" s="222"/>
      <c r="CY4" s="222"/>
      <c r="CZ4" s="222"/>
      <c r="DA4" s="222"/>
      <c r="DB4" s="222"/>
      <c r="DC4" s="222"/>
      <c r="DD4" s="222"/>
      <c r="DE4" s="222"/>
      <c r="DF4" s="222"/>
      <c r="DG4" s="222"/>
      <c r="DH4" s="222"/>
      <c r="DI4" s="222"/>
      <c r="DJ4" s="222"/>
      <c r="DK4" s="222"/>
      <c r="DL4" s="222"/>
      <c r="DM4" s="222"/>
      <c r="DN4" s="222"/>
      <c r="DO4" s="222"/>
      <c r="DP4" s="222"/>
      <c r="DQ4" s="222"/>
      <c r="DR4" s="222"/>
      <c r="DS4" s="222"/>
      <c r="DT4" s="222"/>
      <c r="DU4" s="222"/>
      <c r="DV4" s="222"/>
      <c r="DW4" s="222"/>
      <c r="DX4" s="222"/>
      <c r="DY4" s="222"/>
      <c r="DZ4" s="222"/>
      <c r="EA4" s="222"/>
      <c r="EB4" s="222"/>
      <c r="EC4" s="222"/>
      <c r="ED4" s="222"/>
      <c r="EE4" s="222"/>
      <c r="EF4" s="222"/>
      <c r="EG4" s="222"/>
      <c r="EH4" s="222"/>
    </row>
    <row r="5" spans="1:138">
      <c r="A5" s="505"/>
      <c r="B5" s="568" t="s">
        <v>204</v>
      </c>
      <c r="C5" s="228" t="s">
        <v>205</v>
      </c>
      <c r="D5" s="229" t="s">
        <v>206</v>
      </c>
      <c r="E5" s="230"/>
      <c r="F5" s="231"/>
      <c r="G5" s="231"/>
      <c r="H5" s="231">
        <f>16365002</f>
        <v>16365002</v>
      </c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2"/>
      <c r="BY5" s="233">
        <f t="shared" ref="BY5:BY15" si="0">SUM(E5:BX5)</f>
        <v>16365002</v>
      </c>
      <c r="BZ5" s="561">
        <f>SUM(BY5:BY8)</f>
        <v>41920002</v>
      </c>
      <c r="CA5" s="222"/>
      <c r="CB5" s="233">
        <f t="shared" ref="CB5:CB15" si="1">SUM(H5:CA5)</f>
        <v>74650006</v>
      </c>
      <c r="CC5" s="561">
        <f>SUM(CB5:CB8)</f>
        <v>187080673</v>
      </c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</row>
    <row r="6" spans="1:138">
      <c r="A6" s="505"/>
      <c r="B6" s="600"/>
      <c r="C6" s="228" t="s">
        <v>207</v>
      </c>
      <c r="D6" s="229" t="s">
        <v>206</v>
      </c>
      <c r="E6" s="231"/>
      <c r="F6" s="231"/>
      <c r="G6" s="231"/>
      <c r="H6" s="231"/>
      <c r="I6" s="231"/>
      <c r="J6" s="231"/>
      <c r="K6" s="231">
        <v>885000</v>
      </c>
      <c r="L6" s="231">
        <f>1640000+300000</f>
        <v>1940000</v>
      </c>
      <c r="M6" s="231">
        <f>4260000</f>
        <v>4260000</v>
      </c>
      <c r="N6" s="231"/>
      <c r="O6" s="231">
        <f>50000+270000</f>
        <v>320000</v>
      </c>
      <c r="P6" s="231">
        <f>1050000</f>
        <v>1050000</v>
      </c>
      <c r="Q6" s="231">
        <v>4550000</v>
      </c>
      <c r="R6" s="231"/>
      <c r="S6" s="231">
        <v>3550000</v>
      </c>
      <c r="T6" s="231">
        <v>4900000</v>
      </c>
      <c r="U6" s="231">
        <v>4100000</v>
      </c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28"/>
      <c r="BY6" s="233">
        <f t="shared" si="0"/>
        <v>25555000</v>
      </c>
      <c r="BZ6" s="597"/>
      <c r="CA6" s="222">
        <f>9870667</f>
        <v>9870667</v>
      </c>
      <c r="CB6" s="233">
        <f t="shared" si="1"/>
        <v>60980667</v>
      </c>
      <c r="CC6" s="597"/>
      <c r="CD6" s="222"/>
      <c r="CE6" s="222"/>
      <c r="CF6" s="230">
        <f>SUM(Rentroll!$M$2:$M$4)</f>
        <v>613130.50199999986</v>
      </c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</row>
    <row r="7" spans="1:138">
      <c r="A7" s="505"/>
      <c r="B7" s="600"/>
      <c r="C7" s="234" t="s">
        <v>208</v>
      </c>
      <c r="D7" s="229" t="s">
        <v>206</v>
      </c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28"/>
      <c r="BY7" s="233">
        <f t="shared" si="0"/>
        <v>0</v>
      </c>
      <c r="BZ7" s="597"/>
      <c r="CA7" s="222">
        <f>2100000*24.5</f>
        <v>51450000</v>
      </c>
      <c r="CB7" s="233">
        <f t="shared" si="1"/>
        <v>51450000</v>
      </c>
      <c r="CC7" s="597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</row>
    <row r="8" spans="1:138">
      <c r="A8" s="505"/>
      <c r="B8" s="601"/>
      <c r="C8" s="234" t="s">
        <v>209</v>
      </c>
      <c r="D8" s="235" t="s">
        <v>206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4"/>
      <c r="BY8" s="237">
        <f t="shared" si="0"/>
        <v>0</v>
      </c>
      <c r="BZ8" s="592"/>
      <c r="CA8" s="222"/>
      <c r="CB8" s="237">
        <f t="shared" si="1"/>
        <v>0</v>
      </c>
      <c r="CC8" s="592"/>
      <c r="CD8" s="222"/>
      <c r="CE8" s="222"/>
      <c r="CF8" s="222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</row>
    <row r="9" spans="1:138">
      <c r="A9" s="505"/>
      <c r="B9" s="568" t="s">
        <v>210</v>
      </c>
      <c r="C9" s="232" t="s">
        <v>211</v>
      </c>
      <c r="D9" s="229" t="s">
        <v>206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>
        <f t="shared" ref="U9:Z9" si="2">-U61</f>
        <v>0</v>
      </c>
      <c r="V9" s="230">
        <f t="shared" si="2"/>
        <v>24888</v>
      </c>
      <c r="W9" s="230">
        <f t="shared" si="2"/>
        <v>49776</v>
      </c>
      <c r="X9" s="230">
        <f t="shared" si="2"/>
        <v>74664</v>
      </c>
      <c r="Y9" s="230">
        <f t="shared" si="2"/>
        <v>99552</v>
      </c>
      <c r="Z9" s="230">
        <f t="shared" si="2"/>
        <v>124440</v>
      </c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2"/>
      <c r="BY9" s="233">
        <f t="shared" si="0"/>
        <v>373320</v>
      </c>
      <c r="BZ9" s="561">
        <f>SUM(BY9:BY11)</f>
        <v>76273320</v>
      </c>
      <c r="CA9" s="222"/>
      <c r="CB9" s="233">
        <f t="shared" si="1"/>
        <v>77019960</v>
      </c>
      <c r="CC9" s="561">
        <f>SUM(CB9:CB11)</f>
        <v>228819960</v>
      </c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</row>
    <row r="10" spans="1:138">
      <c r="A10" s="505"/>
      <c r="B10" s="600"/>
      <c r="C10" s="232" t="s">
        <v>212</v>
      </c>
      <c r="D10" s="229" t="s">
        <v>206</v>
      </c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>
        <f t="shared" ref="V10:Z10" si="3">24400000/5</f>
        <v>4880000</v>
      </c>
      <c r="W10" s="231">
        <f t="shared" si="3"/>
        <v>4880000</v>
      </c>
      <c r="X10" s="231">
        <f t="shared" si="3"/>
        <v>4880000</v>
      </c>
      <c r="Y10" s="231">
        <f t="shared" si="3"/>
        <v>4880000</v>
      </c>
      <c r="Z10" s="231">
        <f t="shared" si="3"/>
        <v>4880000</v>
      </c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28"/>
      <c r="BY10" s="233">
        <f t="shared" si="0"/>
        <v>24400000</v>
      </c>
      <c r="BZ10" s="597"/>
      <c r="CA10" s="222"/>
      <c r="CB10" s="233">
        <f t="shared" si="1"/>
        <v>48800000</v>
      </c>
      <c r="CC10" s="597"/>
      <c r="CD10" s="222"/>
      <c r="CE10" s="222">
        <f>BY5+BY11</f>
        <v>67865002</v>
      </c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</row>
    <row r="11" spans="1:138">
      <c r="A11" s="505"/>
      <c r="B11" s="599"/>
      <c r="C11" s="234" t="s">
        <v>213</v>
      </c>
      <c r="D11" s="235" t="s">
        <v>206</v>
      </c>
      <c r="E11" s="236"/>
      <c r="F11" s="236"/>
      <c r="G11" s="236"/>
      <c r="H11" s="236"/>
      <c r="I11" s="236"/>
      <c r="J11" s="236"/>
      <c r="K11" s="236"/>
      <c r="L11" s="236"/>
      <c r="M11" s="236">
        <f>6449487.53+48944.52</f>
        <v>6498432.0499999998</v>
      </c>
      <c r="N11" s="236">
        <f>19937831.95</f>
        <v>19937831.949999999</v>
      </c>
      <c r="O11" s="236">
        <f>133478.48+9278006.75</f>
        <v>9411485.2300000004</v>
      </c>
      <c r="P11" s="236">
        <f>1400000+280000+3170000+50000+4644652</f>
        <v>9544652</v>
      </c>
      <c r="Q11" s="236">
        <f>51500000-M11-N11-O11-P11</f>
        <v>6107598.7700000033</v>
      </c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9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4"/>
      <c r="BY11" s="237">
        <f t="shared" si="0"/>
        <v>51500000.000000007</v>
      </c>
      <c r="BZ11" s="602"/>
      <c r="CA11" s="241"/>
      <c r="CB11" s="237">
        <f t="shared" si="1"/>
        <v>103000000.00000001</v>
      </c>
      <c r="CC11" s="602"/>
      <c r="CD11" s="241"/>
      <c r="CE11" s="241">
        <f>BY11/CE10</f>
        <v>0.75885947811509691</v>
      </c>
      <c r="CF11" s="241">
        <f>BY11/2100000</f>
        <v>24.523809523809529</v>
      </c>
      <c r="CG11" s="241"/>
      <c r="CH11" s="241" t="e">
        <f ca="1">su</f>
        <v>#NAME?</v>
      </c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</row>
    <row r="12" spans="1:138">
      <c r="A12" s="505"/>
      <c r="B12" s="568" t="s">
        <v>214</v>
      </c>
      <c r="C12" s="228" t="s">
        <v>215</v>
      </c>
      <c r="D12" s="229" t="s">
        <v>206</v>
      </c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>
        <f>SUM(Rentroll!$M$2:$M$4)</f>
        <v>613130.50199999986</v>
      </c>
      <c r="R12" s="230">
        <f>SUM(Rentroll!$M$2:$M$4)</f>
        <v>613130.50199999986</v>
      </c>
      <c r="S12" s="230">
        <f>SUM(Rentroll!$M$2:$M$4)</f>
        <v>613130.50199999986</v>
      </c>
      <c r="T12" s="230">
        <f>SUM(Rentroll!$M$2:$M$4)</f>
        <v>613130.50199999986</v>
      </c>
      <c r="U12" s="230">
        <f>SUM(Rentroll!$M$2:$M$4)</f>
        <v>613130.50199999986</v>
      </c>
      <c r="V12" s="230">
        <f>SUM(Rentroll!$M$2:$M$4)</f>
        <v>613130.50199999986</v>
      </c>
      <c r="W12" s="230">
        <f>SUM(Rentroll!$M$2:$M$4)</f>
        <v>613130.50199999986</v>
      </c>
      <c r="X12" s="230">
        <f>SUM(Rentroll!$M$2:$M$4)</f>
        <v>613130.50199999986</v>
      </c>
      <c r="Y12" s="230">
        <f>SUM(Rentroll!$M$2:$M$4)</f>
        <v>613130.50199999986</v>
      </c>
      <c r="Z12" s="230">
        <f>SUM(Rentroll!$M$2:$M$4)</f>
        <v>613130.50199999986</v>
      </c>
      <c r="AA12" s="230">
        <f>SUM(Rentroll!$M$2:$M$10)</f>
        <v>1065607.4044666667</v>
      </c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2"/>
      <c r="BY12" s="233">
        <f t="shared" si="0"/>
        <v>7196912.4244666658</v>
      </c>
      <c r="BZ12" s="561">
        <f>SUM(BY12:BY15)</f>
        <v>155995094.84031621</v>
      </c>
      <c r="CA12" s="222"/>
      <c r="CB12" s="233">
        <f t="shared" si="1"/>
        <v>170388919.68924955</v>
      </c>
      <c r="CC12" s="561">
        <f>SUM(CB12:CB15)</f>
        <v>467985284.52094865</v>
      </c>
      <c r="CD12" s="222"/>
      <c r="CE12" s="238">
        <f>BY5/CE10</f>
        <v>0.2411405218849032</v>
      </c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</row>
    <row r="13" spans="1:138">
      <c r="A13" s="505"/>
      <c r="B13" s="600"/>
      <c r="C13" s="228" t="s">
        <v>216</v>
      </c>
      <c r="D13" s="229" t="s">
        <v>206</v>
      </c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>
        <f>Businessplan_prodej!J25</f>
        <v>138882598.15999994</v>
      </c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2"/>
      <c r="BY13" s="233">
        <f t="shared" si="0"/>
        <v>138882598.15999994</v>
      </c>
      <c r="BZ13" s="597"/>
      <c r="CA13" s="222"/>
      <c r="CB13" s="233">
        <f t="shared" si="1"/>
        <v>277765196.31999987</v>
      </c>
      <c r="CC13" s="597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</row>
    <row r="14" spans="1:138">
      <c r="A14" s="505"/>
      <c r="B14" s="600"/>
      <c r="C14" s="228" t="s">
        <v>7</v>
      </c>
      <c r="D14" s="229" t="s">
        <v>217</v>
      </c>
      <c r="E14" s="231"/>
      <c r="F14" s="231"/>
      <c r="G14" s="231"/>
      <c r="H14" s="231"/>
      <c r="I14" s="231">
        <v>6227</v>
      </c>
      <c r="J14" s="231">
        <v>14588</v>
      </c>
      <c r="K14" s="231">
        <f>457468</f>
        <v>457468</v>
      </c>
      <c r="L14" s="231">
        <v>57517</v>
      </c>
      <c r="M14" s="231">
        <f>60362</f>
        <v>60362</v>
      </c>
      <c r="N14" s="231">
        <v>56101</v>
      </c>
      <c r="O14" s="231">
        <f>59696</f>
        <v>59696</v>
      </c>
      <c r="P14" s="231">
        <f t="shared" ref="P14:Q14" si="4">-(SUM(N23,N37)-SUM(N23,N37)/1.21)</f>
        <v>4397.6776859504134</v>
      </c>
      <c r="Q14" s="231">
        <f t="shared" si="4"/>
        <v>129167.81008264457</v>
      </c>
      <c r="R14" s="231">
        <f>IF(P12&gt;0,-(SUM(Rentroll!$H$2:$H$4)+Rentroll!$K$2),0)-(SUM(P23,P37)-SUM(P23,P37)/1.21)</f>
        <v>198858.94867768593</v>
      </c>
      <c r="S14" s="231">
        <f>IF(Q12&gt;0,-(SUM(Rentroll!$H$2:$H$4)+Rentroll!$K$2),0)-(SUM(Q23,Q37)-SUM(Q23,Q37)/1.21)</f>
        <v>-1207.6478677686246</v>
      </c>
      <c r="T14" s="231">
        <f>IF(R12&gt;0,-(SUM(Rentroll!$H$2:$H$4)+Rentroll!$K$2),0)-(SUM(R23,R37)-SUM(R23,R37)/1.21)</f>
        <v>69643.071793388372</v>
      </c>
      <c r="U14" s="231">
        <f>IF(S12&gt;0,-(SUM(Rentroll!$H$2:$H$4)+Rentroll!$K$2),0)-(SUM(S23,S37)-SUM(S23,S37)/1.21)</f>
        <v>28924.820990082604</v>
      </c>
      <c r="V14" s="231">
        <f>IF(T12&gt;0,-(SUM(Rentroll!$H$2:$H$4)+Rentroll!$K$2),0)-(SUM(T23,T37)-SUM(T23,T37)/1.21)</f>
        <v>-55141.051462809934</v>
      </c>
      <c r="W14" s="231">
        <f>IF(U12&gt;0,-(SUM(Rentroll!$H$2:$H$4)+Rentroll!$K$2),0)-(SUM(U23,U37)-SUM(U23,U37)/1.21)</f>
        <v>-60251.674809917371</v>
      </c>
      <c r="X14" s="231">
        <f>IF(V12&gt;0,-(SUM(Rentroll!$H$2:$H$4)+Rentroll!$K$2),0)-(SUM(V23,V37)-SUM(V23,V37)/1.21)</f>
        <v>-60251.674809917371</v>
      </c>
      <c r="Y14" s="231">
        <f>IF(W12&gt;0,-(SUM(Rentroll!$H$2:$H$4)+Rentroll!$K$2),0)-(SUM(W23,W37)-SUM(W23,W37)/1.21)</f>
        <v>-48911.674809917371</v>
      </c>
      <c r="Z14" s="231">
        <f>IF(X12&gt;0,-(SUM(Rentroll!$H$2:$H$4)+Rentroll!$K$2),0)-(SUM(X23,X37)-SUM(X23,X37)/1.21)</f>
        <v>-60251.674809917371</v>
      </c>
      <c r="AA14" s="231">
        <f>IF(Y12&gt;0,-(SUM(Rentroll!$H$2:$H$4)+Rentroll!$K$2),0)-(SUM(Y23,Y37)-SUM(Y23,Y37)/1.21)</f>
        <v>-41351.674809917371</v>
      </c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28"/>
      <c r="BY14" s="233">
        <f t="shared" si="0"/>
        <v>815584.25584958657</v>
      </c>
      <c r="BZ14" s="597"/>
      <c r="CA14" s="222"/>
      <c r="CB14" s="233">
        <f t="shared" si="1"/>
        <v>1631168.5116991731</v>
      </c>
      <c r="CC14" s="597"/>
      <c r="CD14" s="222"/>
      <c r="CE14" s="222">
        <f>51450000</f>
        <v>51450000</v>
      </c>
      <c r="CF14" s="222">
        <f>BY11/24.5</f>
        <v>2102040.8163265311</v>
      </c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</row>
    <row r="15" spans="1:138">
      <c r="A15" s="505"/>
      <c r="B15" s="599"/>
      <c r="C15" s="234" t="s">
        <v>218</v>
      </c>
      <c r="D15" s="235" t="s">
        <v>217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/>
      <c r="Q15" s="236">
        <f>9100000</f>
        <v>9100000</v>
      </c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4"/>
      <c r="BY15" s="237">
        <f t="shared" si="0"/>
        <v>9100000</v>
      </c>
      <c r="BZ15" s="602"/>
      <c r="CA15" s="222"/>
      <c r="CB15" s="237">
        <f t="shared" si="1"/>
        <v>18200000</v>
      </c>
      <c r="CC15" s="602"/>
      <c r="CD15" s="222"/>
      <c r="CE15" s="222">
        <f>CE14/24.5</f>
        <v>2100000</v>
      </c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</row>
    <row r="16" spans="1:138" ht="15.95">
      <c r="A16" s="505"/>
      <c r="B16" s="569" t="s">
        <v>219</v>
      </c>
      <c r="C16" s="592"/>
      <c r="D16" s="242"/>
      <c r="E16" s="243">
        <f t="shared" ref="E16:BX16" si="5">SUM(E5:E15)</f>
        <v>0</v>
      </c>
      <c r="F16" s="243">
        <f t="shared" si="5"/>
        <v>0</v>
      </c>
      <c r="G16" s="243">
        <f t="shared" si="5"/>
        <v>0</v>
      </c>
      <c r="H16" s="243">
        <f t="shared" si="5"/>
        <v>16365002</v>
      </c>
      <c r="I16" s="243">
        <f t="shared" si="5"/>
        <v>6227</v>
      </c>
      <c r="J16" s="243">
        <f t="shared" si="5"/>
        <v>14588</v>
      </c>
      <c r="K16" s="243">
        <f t="shared" si="5"/>
        <v>1342468</v>
      </c>
      <c r="L16" s="243">
        <f t="shared" si="5"/>
        <v>1997517</v>
      </c>
      <c r="M16" s="243">
        <f t="shared" si="5"/>
        <v>10818794.050000001</v>
      </c>
      <c r="N16" s="243">
        <f t="shared" si="5"/>
        <v>19993932.949999999</v>
      </c>
      <c r="O16" s="243">
        <f t="shared" si="5"/>
        <v>9791181.2300000004</v>
      </c>
      <c r="P16" s="243">
        <f t="shared" si="5"/>
        <v>10599049.67768595</v>
      </c>
      <c r="Q16" s="243">
        <f t="shared" si="5"/>
        <v>20499897.082082648</v>
      </c>
      <c r="R16" s="243">
        <f t="shared" si="5"/>
        <v>811989.45067768579</v>
      </c>
      <c r="S16" s="243">
        <f t="shared" si="5"/>
        <v>4161922.8541322313</v>
      </c>
      <c r="T16" s="243">
        <f t="shared" si="5"/>
        <v>5582773.5737933889</v>
      </c>
      <c r="U16" s="243">
        <f t="shared" si="5"/>
        <v>4742055.3229900831</v>
      </c>
      <c r="V16" s="243">
        <f t="shared" si="5"/>
        <v>5462877.4505371908</v>
      </c>
      <c r="W16" s="243">
        <f t="shared" si="5"/>
        <v>5482654.8271900825</v>
      </c>
      <c r="X16" s="243">
        <f t="shared" si="5"/>
        <v>5507542.8271900825</v>
      </c>
      <c r="Y16" s="243">
        <f t="shared" si="5"/>
        <v>5543770.8271900825</v>
      </c>
      <c r="Z16" s="243">
        <f t="shared" si="5"/>
        <v>5557318.8271900825</v>
      </c>
      <c r="AA16" s="243">
        <f t="shared" si="5"/>
        <v>139906853.88965669</v>
      </c>
      <c r="AB16" s="243">
        <f t="shared" si="5"/>
        <v>0</v>
      </c>
      <c r="AC16" s="243">
        <f t="shared" si="5"/>
        <v>0</v>
      </c>
      <c r="AD16" s="243">
        <f t="shared" si="5"/>
        <v>0</v>
      </c>
      <c r="AE16" s="243">
        <f t="shared" si="5"/>
        <v>0</v>
      </c>
      <c r="AF16" s="243">
        <f t="shared" si="5"/>
        <v>0</v>
      </c>
      <c r="AG16" s="243">
        <f t="shared" si="5"/>
        <v>0</v>
      </c>
      <c r="AH16" s="243">
        <f t="shared" si="5"/>
        <v>0</v>
      </c>
      <c r="AI16" s="243">
        <f t="shared" si="5"/>
        <v>0</v>
      </c>
      <c r="AJ16" s="243">
        <f t="shared" si="5"/>
        <v>0</v>
      </c>
      <c r="AK16" s="243">
        <f t="shared" si="5"/>
        <v>0</v>
      </c>
      <c r="AL16" s="243">
        <f t="shared" si="5"/>
        <v>0</v>
      </c>
      <c r="AM16" s="243">
        <f t="shared" si="5"/>
        <v>0</v>
      </c>
      <c r="AN16" s="243">
        <f t="shared" si="5"/>
        <v>0</v>
      </c>
      <c r="AO16" s="243">
        <f t="shared" si="5"/>
        <v>0</v>
      </c>
      <c r="AP16" s="243">
        <f t="shared" si="5"/>
        <v>0</v>
      </c>
      <c r="AQ16" s="243">
        <f t="shared" si="5"/>
        <v>0</v>
      </c>
      <c r="AR16" s="243">
        <f t="shared" si="5"/>
        <v>0</v>
      </c>
      <c r="AS16" s="243">
        <f t="shared" si="5"/>
        <v>0</v>
      </c>
      <c r="AT16" s="243">
        <f t="shared" si="5"/>
        <v>0</v>
      </c>
      <c r="AU16" s="243">
        <f t="shared" si="5"/>
        <v>0</v>
      </c>
      <c r="AV16" s="243">
        <f t="shared" si="5"/>
        <v>0</v>
      </c>
      <c r="AW16" s="243">
        <f t="shared" si="5"/>
        <v>0</v>
      </c>
      <c r="AX16" s="243">
        <f t="shared" si="5"/>
        <v>0</v>
      </c>
      <c r="AY16" s="243">
        <f t="shared" si="5"/>
        <v>0</v>
      </c>
      <c r="AZ16" s="243">
        <f t="shared" si="5"/>
        <v>0</v>
      </c>
      <c r="BA16" s="243">
        <f t="shared" si="5"/>
        <v>0</v>
      </c>
      <c r="BB16" s="243">
        <f t="shared" si="5"/>
        <v>0</v>
      </c>
      <c r="BC16" s="243">
        <f t="shared" si="5"/>
        <v>0</v>
      </c>
      <c r="BD16" s="243">
        <f t="shared" si="5"/>
        <v>0</v>
      </c>
      <c r="BE16" s="243">
        <f t="shared" si="5"/>
        <v>0</v>
      </c>
      <c r="BF16" s="243">
        <f t="shared" si="5"/>
        <v>0</v>
      </c>
      <c r="BG16" s="243">
        <f t="shared" si="5"/>
        <v>0</v>
      </c>
      <c r="BH16" s="243">
        <f t="shared" si="5"/>
        <v>0</v>
      </c>
      <c r="BI16" s="243">
        <f t="shared" si="5"/>
        <v>0</v>
      </c>
      <c r="BJ16" s="243">
        <f t="shared" si="5"/>
        <v>0</v>
      </c>
      <c r="BK16" s="243">
        <f t="shared" si="5"/>
        <v>0</v>
      </c>
      <c r="BL16" s="243">
        <f t="shared" si="5"/>
        <v>0</v>
      </c>
      <c r="BM16" s="243">
        <f t="shared" si="5"/>
        <v>0</v>
      </c>
      <c r="BN16" s="243">
        <f t="shared" si="5"/>
        <v>0</v>
      </c>
      <c r="BO16" s="243">
        <f t="shared" si="5"/>
        <v>0</v>
      </c>
      <c r="BP16" s="243">
        <f t="shared" si="5"/>
        <v>0</v>
      </c>
      <c r="BQ16" s="243">
        <f t="shared" si="5"/>
        <v>0</v>
      </c>
      <c r="BR16" s="243">
        <f t="shared" si="5"/>
        <v>0</v>
      </c>
      <c r="BS16" s="243">
        <f t="shared" si="5"/>
        <v>0</v>
      </c>
      <c r="BT16" s="243">
        <f t="shared" si="5"/>
        <v>0</v>
      </c>
      <c r="BU16" s="243">
        <f t="shared" si="5"/>
        <v>0</v>
      </c>
      <c r="BV16" s="243">
        <f t="shared" si="5"/>
        <v>0</v>
      </c>
      <c r="BW16" s="243">
        <f t="shared" si="5"/>
        <v>0</v>
      </c>
      <c r="BX16" s="243">
        <f t="shared" si="5"/>
        <v>0</v>
      </c>
      <c r="BY16" s="563">
        <f>BZ5+BZ9+BZ12</f>
        <v>274188416.84031618</v>
      </c>
      <c r="BZ16" s="592"/>
      <c r="CA16" s="222"/>
      <c r="CB16" s="563">
        <f>CC5+CC9+CC12</f>
        <v>883885917.52094865</v>
      </c>
      <c r="CC16" s="59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</row>
    <row r="17" spans="1:138" ht="15.95" collapsed="1">
      <c r="A17" s="505"/>
      <c r="B17" s="570" t="s">
        <v>220</v>
      </c>
      <c r="C17" s="244" t="s">
        <v>221</v>
      </c>
      <c r="D17" s="245"/>
      <c r="E17" s="246">
        <f t="shared" ref="E17:BY17" si="6">SUM(E18:E22)</f>
        <v>0</v>
      </c>
      <c r="F17" s="246">
        <f t="shared" si="6"/>
        <v>0</v>
      </c>
      <c r="G17" s="246">
        <f t="shared" si="6"/>
        <v>0</v>
      </c>
      <c r="H17" s="246">
        <f t="shared" si="6"/>
        <v>-10620712</v>
      </c>
      <c r="I17" s="246">
        <f t="shared" si="6"/>
        <v>0</v>
      </c>
      <c r="J17" s="246">
        <f t="shared" si="6"/>
        <v>-808333</v>
      </c>
      <c r="K17" s="246">
        <f t="shared" si="6"/>
        <v>0</v>
      </c>
      <c r="L17" s="246">
        <f t="shared" si="6"/>
        <v>0</v>
      </c>
      <c r="M17" s="246">
        <f t="shared" si="6"/>
        <v>0</v>
      </c>
      <c r="N17" s="246">
        <f t="shared" si="6"/>
        <v>0</v>
      </c>
      <c r="O17" s="246">
        <f t="shared" si="6"/>
        <v>0</v>
      </c>
      <c r="P17" s="246">
        <f t="shared" si="6"/>
        <v>0</v>
      </c>
      <c r="Q17" s="246">
        <f t="shared" si="6"/>
        <v>0</v>
      </c>
      <c r="R17" s="246">
        <f t="shared" si="6"/>
        <v>0</v>
      </c>
      <c r="S17" s="246">
        <f t="shared" si="6"/>
        <v>0</v>
      </c>
      <c r="T17" s="246">
        <f t="shared" si="6"/>
        <v>0</v>
      </c>
      <c r="U17" s="246">
        <f t="shared" si="6"/>
        <v>0</v>
      </c>
      <c r="V17" s="246">
        <f t="shared" si="6"/>
        <v>0</v>
      </c>
      <c r="W17" s="246">
        <f t="shared" si="6"/>
        <v>0</v>
      </c>
      <c r="X17" s="246">
        <f t="shared" si="6"/>
        <v>0</v>
      </c>
      <c r="Y17" s="246">
        <f t="shared" si="6"/>
        <v>0</v>
      </c>
      <c r="Z17" s="246">
        <f t="shared" si="6"/>
        <v>0</v>
      </c>
      <c r="AA17" s="246">
        <f t="shared" si="6"/>
        <v>0</v>
      </c>
      <c r="AB17" s="246">
        <f t="shared" si="6"/>
        <v>0</v>
      </c>
      <c r="AC17" s="246">
        <f t="shared" si="6"/>
        <v>0</v>
      </c>
      <c r="AD17" s="246">
        <f t="shared" si="6"/>
        <v>0</v>
      </c>
      <c r="AE17" s="246">
        <f t="shared" si="6"/>
        <v>0</v>
      </c>
      <c r="AF17" s="246">
        <f t="shared" si="6"/>
        <v>0</v>
      </c>
      <c r="AG17" s="246">
        <f t="shared" si="6"/>
        <v>0</v>
      </c>
      <c r="AH17" s="246">
        <f t="shared" si="6"/>
        <v>0</v>
      </c>
      <c r="AI17" s="246">
        <f t="shared" si="6"/>
        <v>0</v>
      </c>
      <c r="AJ17" s="246">
        <f t="shared" si="6"/>
        <v>0</v>
      </c>
      <c r="AK17" s="246">
        <f t="shared" si="6"/>
        <v>0</v>
      </c>
      <c r="AL17" s="246">
        <f t="shared" si="6"/>
        <v>0</v>
      </c>
      <c r="AM17" s="246">
        <f t="shared" si="6"/>
        <v>0</v>
      </c>
      <c r="AN17" s="246">
        <f t="shared" si="6"/>
        <v>0</v>
      </c>
      <c r="AO17" s="246">
        <f t="shared" si="6"/>
        <v>0</v>
      </c>
      <c r="AP17" s="246">
        <f t="shared" si="6"/>
        <v>0</v>
      </c>
      <c r="AQ17" s="246">
        <f t="shared" si="6"/>
        <v>0</v>
      </c>
      <c r="AR17" s="246">
        <f t="shared" si="6"/>
        <v>0</v>
      </c>
      <c r="AS17" s="246">
        <f t="shared" si="6"/>
        <v>0</v>
      </c>
      <c r="AT17" s="246">
        <f t="shared" si="6"/>
        <v>0</v>
      </c>
      <c r="AU17" s="246">
        <f t="shared" si="6"/>
        <v>0</v>
      </c>
      <c r="AV17" s="246">
        <f t="shared" si="6"/>
        <v>0</v>
      </c>
      <c r="AW17" s="246">
        <f t="shared" si="6"/>
        <v>0</v>
      </c>
      <c r="AX17" s="246">
        <f t="shared" si="6"/>
        <v>0</v>
      </c>
      <c r="AY17" s="246">
        <f t="shared" si="6"/>
        <v>0</v>
      </c>
      <c r="AZ17" s="246">
        <f t="shared" si="6"/>
        <v>0</v>
      </c>
      <c r="BA17" s="246">
        <f t="shared" si="6"/>
        <v>0</v>
      </c>
      <c r="BB17" s="246">
        <f t="shared" si="6"/>
        <v>0</v>
      </c>
      <c r="BC17" s="246">
        <f t="shared" si="6"/>
        <v>0</v>
      </c>
      <c r="BD17" s="246">
        <f t="shared" si="6"/>
        <v>0</v>
      </c>
      <c r="BE17" s="246">
        <f t="shared" si="6"/>
        <v>0</v>
      </c>
      <c r="BF17" s="246">
        <f t="shared" si="6"/>
        <v>0</v>
      </c>
      <c r="BG17" s="246">
        <f t="shared" si="6"/>
        <v>0</v>
      </c>
      <c r="BH17" s="246">
        <f t="shared" si="6"/>
        <v>0</v>
      </c>
      <c r="BI17" s="246">
        <f t="shared" si="6"/>
        <v>0</v>
      </c>
      <c r="BJ17" s="246">
        <f t="shared" si="6"/>
        <v>0</v>
      </c>
      <c r="BK17" s="246">
        <f t="shared" si="6"/>
        <v>0</v>
      </c>
      <c r="BL17" s="246">
        <f t="shared" si="6"/>
        <v>0</v>
      </c>
      <c r="BM17" s="246">
        <f t="shared" si="6"/>
        <v>0</v>
      </c>
      <c r="BN17" s="246">
        <f t="shared" si="6"/>
        <v>0</v>
      </c>
      <c r="BO17" s="246">
        <f t="shared" si="6"/>
        <v>0</v>
      </c>
      <c r="BP17" s="246">
        <f t="shared" si="6"/>
        <v>0</v>
      </c>
      <c r="BQ17" s="246">
        <f t="shared" si="6"/>
        <v>0</v>
      </c>
      <c r="BR17" s="246">
        <f t="shared" si="6"/>
        <v>0</v>
      </c>
      <c r="BS17" s="246">
        <f t="shared" si="6"/>
        <v>0</v>
      </c>
      <c r="BT17" s="246">
        <f t="shared" si="6"/>
        <v>0</v>
      </c>
      <c r="BU17" s="246">
        <f t="shared" si="6"/>
        <v>0</v>
      </c>
      <c r="BV17" s="246">
        <f t="shared" si="6"/>
        <v>0</v>
      </c>
      <c r="BW17" s="246">
        <f t="shared" si="6"/>
        <v>0</v>
      </c>
      <c r="BX17" s="246">
        <f t="shared" si="6"/>
        <v>0</v>
      </c>
      <c r="BY17" s="247">
        <f t="shared" si="6"/>
        <v>-11429045</v>
      </c>
      <c r="BZ17" s="562">
        <f>BY17+BY23+BY26+BY34+BY37+BY49+BY55+BY63+BY87</f>
        <v>-124522534.58686118</v>
      </c>
      <c r="CA17" s="222"/>
      <c r="CB17" s="248"/>
      <c r="CC17" s="56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</row>
    <row r="18" spans="1:138" ht="15.95" hidden="1" outlineLevel="1">
      <c r="A18" s="505"/>
      <c r="B18" s="600"/>
      <c r="C18" s="249" t="s">
        <v>222</v>
      </c>
      <c r="D18" s="250" t="s">
        <v>223</v>
      </c>
      <c r="E18" s="251"/>
      <c r="F18" s="251"/>
      <c r="G18" s="251"/>
      <c r="H18" s="252">
        <f>-8458812-2161900</f>
        <v>-10620712</v>
      </c>
      <c r="I18" s="252"/>
      <c r="J18" s="252">
        <f>-657296-151037</f>
        <v>-808333</v>
      </c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3">
        <f t="shared" ref="BY18:BY22" si="7">SUM(E18:BX18)</f>
        <v>-11429045</v>
      </c>
      <c r="BZ18" s="597"/>
      <c r="CA18" s="222"/>
      <c r="CB18" s="248"/>
      <c r="CC18" s="597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</row>
    <row r="19" spans="1:138" ht="15.95" hidden="1" outlineLevel="1">
      <c r="A19" s="505"/>
      <c r="B19" s="600"/>
      <c r="C19" s="249" t="s">
        <v>224</v>
      </c>
      <c r="D19" s="250" t="s">
        <v>223</v>
      </c>
      <c r="E19" s="251"/>
      <c r="F19" s="251"/>
      <c r="G19" s="251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3">
        <f t="shared" si="7"/>
        <v>0</v>
      </c>
      <c r="BZ19" s="597"/>
      <c r="CA19" s="222"/>
      <c r="CB19" s="248"/>
      <c r="CC19" s="597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</row>
    <row r="20" spans="1:138" ht="15.95" hidden="1" outlineLevel="1">
      <c r="A20" s="505"/>
      <c r="B20" s="600"/>
      <c r="C20" s="249" t="s">
        <v>225</v>
      </c>
      <c r="D20" s="250" t="s">
        <v>223</v>
      </c>
      <c r="E20" s="251"/>
      <c r="F20" s="251"/>
      <c r="G20" s="251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3">
        <f t="shared" si="7"/>
        <v>0</v>
      </c>
      <c r="BZ20" s="597"/>
      <c r="CA20" s="222"/>
      <c r="CB20" s="248"/>
      <c r="CC20" s="597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</row>
    <row r="21" spans="1:138" ht="15.95" hidden="1" outlineLevel="1">
      <c r="A21" s="505"/>
      <c r="B21" s="600"/>
      <c r="C21" s="249" t="s">
        <v>226</v>
      </c>
      <c r="D21" s="250" t="s">
        <v>223</v>
      </c>
      <c r="E21" s="251"/>
      <c r="F21" s="251"/>
      <c r="G21" s="251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3">
        <f t="shared" si="7"/>
        <v>0</v>
      </c>
      <c r="BZ21" s="597"/>
      <c r="CA21" s="222"/>
      <c r="CB21" s="248"/>
      <c r="CC21" s="597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</row>
    <row r="22" spans="1:138" ht="15.95" hidden="1" outlineLevel="1">
      <c r="A22" s="505"/>
      <c r="B22" s="600"/>
      <c r="C22" s="249" t="s">
        <v>227</v>
      </c>
      <c r="D22" s="254" t="s">
        <v>223</v>
      </c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3">
        <f t="shared" si="7"/>
        <v>0</v>
      </c>
      <c r="BZ22" s="597"/>
      <c r="CA22" s="222"/>
      <c r="CB22" s="248"/>
      <c r="CC22" s="597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</row>
    <row r="23" spans="1:138" ht="15.95">
      <c r="A23" s="505"/>
      <c r="B23" s="600"/>
      <c r="C23" s="244" t="s">
        <v>228</v>
      </c>
      <c r="D23" s="245"/>
      <c r="E23" s="246">
        <f t="shared" ref="E23:BY23" si="8">SUM(E24:E25)</f>
        <v>0</v>
      </c>
      <c r="F23" s="246">
        <f t="shared" si="8"/>
        <v>0</v>
      </c>
      <c r="G23" s="246">
        <f t="shared" si="8"/>
        <v>0</v>
      </c>
      <c r="H23" s="246">
        <f t="shared" si="8"/>
        <v>0</v>
      </c>
      <c r="I23" s="246">
        <f t="shared" si="8"/>
        <v>-366025</v>
      </c>
      <c r="J23" s="246">
        <f t="shared" si="8"/>
        <v>0</v>
      </c>
      <c r="K23" s="246">
        <f t="shared" si="8"/>
        <v>0</v>
      </c>
      <c r="L23" s="246">
        <f t="shared" si="8"/>
        <v>-15913.92</v>
      </c>
      <c r="M23" s="246">
        <f t="shared" si="8"/>
        <v>0</v>
      </c>
      <c r="N23" s="246">
        <f t="shared" si="8"/>
        <v>0</v>
      </c>
      <c r="O23" s="246">
        <f t="shared" si="8"/>
        <v>0</v>
      </c>
      <c r="P23" s="246">
        <f t="shared" si="8"/>
        <v>-802360.68</v>
      </c>
      <c r="Q23" s="246">
        <f t="shared" si="8"/>
        <v>-393250</v>
      </c>
      <c r="R23" s="246">
        <f t="shared" si="8"/>
        <v>-393250</v>
      </c>
      <c r="S23" s="246">
        <f t="shared" si="8"/>
        <v>0</v>
      </c>
      <c r="T23" s="246">
        <f t="shared" si="8"/>
        <v>0</v>
      </c>
      <c r="U23" s="246">
        <f t="shared" si="8"/>
        <v>0</v>
      </c>
      <c r="V23" s="246">
        <f t="shared" si="8"/>
        <v>0</v>
      </c>
      <c r="W23" s="246">
        <f t="shared" si="8"/>
        <v>0</v>
      </c>
      <c r="X23" s="246">
        <f t="shared" si="8"/>
        <v>0</v>
      </c>
      <c r="Y23" s="246">
        <f t="shared" si="8"/>
        <v>0</v>
      </c>
      <c r="Z23" s="246">
        <f t="shared" si="8"/>
        <v>0</v>
      </c>
      <c r="AA23" s="246">
        <f t="shared" si="8"/>
        <v>0</v>
      </c>
      <c r="AB23" s="246">
        <f t="shared" si="8"/>
        <v>0</v>
      </c>
      <c r="AC23" s="246">
        <f t="shared" si="8"/>
        <v>0</v>
      </c>
      <c r="AD23" s="246">
        <f t="shared" si="8"/>
        <v>0</v>
      </c>
      <c r="AE23" s="246">
        <f t="shared" si="8"/>
        <v>0</v>
      </c>
      <c r="AF23" s="246">
        <f t="shared" si="8"/>
        <v>0</v>
      </c>
      <c r="AG23" s="246">
        <f t="shared" si="8"/>
        <v>0</v>
      </c>
      <c r="AH23" s="246">
        <f t="shared" si="8"/>
        <v>0</v>
      </c>
      <c r="AI23" s="246">
        <f t="shared" si="8"/>
        <v>0</v>
      </c>
      <c r="AJ23" s="246">
        <f t="shared" si="8"/>
        <v>0</v>
      </c>
      <c r="AK23" s="246">
        <f t="shared" si="8"/>
        <v>0</v>
      </c>
      <c r="AL23" s="246">
        <f t="shared" si="8"/>
        <v>0</v>
      </c>
      <c r="AM23" s="246">
        <f t="shared" si="8"/>
        <v>0</v>
      </c>
      <c r="AN23" s="246">
        <f t="shared" si="8"/>
        <v>0</v>
      </c>
      <c r="AO23" s="246">
        <f t="shared" si="8"/>
        <v>0</v>
      </c>
      <c r="AP23" s="246">
        <f t="shared" si="8"/>
        <v>0</v>
      </c>
      <c r="AQ23" s="246">
        <f t="shared" si="8"/>
        <v>0</v>
      </c>
      <c r="AR23" s="246">
        <f t="shared" si="8"/>
        <v>0</v>
      </c>
      <c r="AS23" s="246">
        <f t="shared" si="8"/>
        <v>0</v>
      </c>
      <c r="AT23" s="246">
        <f t="shared" si="8"/>
        <v>0</v>
      </c>
      <c r="AU23" s="246">
        <f t="shared" si="8"/>
        <v>0</v>
      </c>
      <c r="AV23" s="246">
        <f t="shared" si="8"/>
        <v>0</v>
      </c>
      <c r="AW23" s="246">
        <f t="shared" si="8"/>
        <v>0</v>
      </c>
      <c r="AX23" s="246">
        <f t="shared" si="8"/>
        <v>0</v>
      </c>
      <c r="AY23" s="246">
        <f t="shared" si="8"/>
        <v>0</v>
      </c>
      <c r="AZ23" s="246">
        <f t="shared" si="8"/>
        <v>0</v>
      </c>
      <c r="BA23" s="246">
        <f t="shared" si="8"/>
        <v>0</v>
      </c>
      <c r="BB23" s="246">
        <f t="shared" si="8"/>
        <v>0</v>
      </c>
      <c r="BC23" s="246">
        <f t="shared" si="8"/>
        <v>0</v>
      </c>
      <c r="BD23" s="246">
        <f t="shared" si="8"/>
        <v>0</v>
      </c>
      <c r="BE23" s="246">
        <f t="shared" si="8"/>
        <v>0</v>
      </c>
      <c r="BF23" s="246">
        <f t="shared" si="8"/>
        <v>0</v>
      </c>
      <c r="BG23" s="246">
        <f t="shared" si="8"/>
        <v>0</v>
      </c>
      <c r="BH23" s="246">
        <f t="shared" si="8"/>
        <v>0</v>
      </c>
      <c r="BI23" s="246">
        <f t="shared" si="8"/>
        <v>0</v>
      </c>
      <c r="BJ23" s="246">
        <f t="shared" si="8"/>
        <v>0</v>
      </c>
      <c r="BK23" s="246">
        <f t="shared" si="8"/>
        <v>0</v>
      </c>
      <c r="BL23" s="246">
        <f t="shared" si="8"/>
        <v>0</v>
      </c>
      <c r="BM23" s="246">
        <f t="shared" si="8"/>
        <v>0</v>
      </c>
      <c r="BN23" s="246">
        <f t="shared" si="8"/>
        <v>0</v>
      </c>
      <c r="BO23" s="246">
        <f t="shared" si="8"/>
        <v>0</v>
      </c>
      <c r="BP23" s="246">
        <f t="shared" si="8"/>
        <v>0</v>
      </c>
      <c r="BQ23" s="246">
        <f t="shared" si="8"/>
        <v>0</v>
      </c>
      <c r="BR23" s="246">
        <f t="shared" si="8"/>
        <v>0</v>
      </c>
      <c r="BS23" s="246">
        <f t="shared" si="8"/>
        <v>0</v>
      </c>
      <c r="BT23" s="246">
        <f t="shared" si="8"/>
        <v>0</v>
      </c>
      <c r="BU23" s="246">
        <f t="shared" si="8"/>
        <v>0</v>
      </c>
      <c r="BV23" s="246">
        <f t="shared" si="8"/>
        <v>0</v>
      </c>
      <c r="BW23" s="246">
        <f t="shared" si="8"/>
        <v>0</v>
      </c>
      <c r="BX23" s="246">
        <f t="shared" si="8"/>
        <v>0</v>
      </c>
      <c r="BY23" s="247">
        <f t="shared" si="8"/>
        <v>-1970799.6</v>
      </c>
      <c r="BZ23" s="597"/>
      <c r="CA23" s="222">
        <f>BY23/1.21</f>
        <v>-1628760.0000000002</v>
      </c>
      <c r="CB23" s="248"/>
      <c r="CC23" s="597"/>
      <c r="CD23" s="222"/>
      <c r="CE23" s="222">
        <f>7000000*1.21</f>
        <v>8470000</v>
      </c>
      <c r="CF23" s="222"/>
      <c r="CG23" s="222">
        <f>BY5</f>
        <v>16365002</v>
      </c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</row>
    <row r="24" spans="1:138" ht="15.95" outlineLevel="1">
      <c r="A24" s="505"/>
      <c r="B24" s="600"/>
      <c r="C24" s="249" t="s">
        <v>229</v>
      </c>
      <c r="D24" s="254" t="s">
        <v>223</v>
      </c>
      <c r="E24" s="255"/>
      <c r="F24" s="255"/>
      <c r="G24" s="255"/>
      <c r="H24" s="256"/>
      <c r="I24" s="256">
        <f>-302500*1.21</f>
        <v>-366025</v>
      </c>
      <c r="J24" s="256"/>
      <c r="K24" s="256"/>
      <c r="L24" s="256">
        <f>-15913.92</f>
        <v>-15913.92</v>
      </c>
      <c r="M24" s="256"/>
      <c r="N24" s="256"/>
      <c r="O24" s="256"/>
      <c r="P24" s="256">
        <f>(-675000-SUM(I24:O24)/1.21)*1.21-152500*1.21</f>
        <v>-619336.08000000007</v>
      </c>
      <c r="Q24" s="256">
        <f>-Businessplan_prodej!$F$21*0.5*1.21</f>
        <v>-393250</v>
      </c>
      <c r="R24" s="256">
        <f>-Businessplan_prodej!$F$21*0.5*1.21</f>
        <v>-393250</v>
      </c>
      <c r="S24" s="256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7">
        <f t="shared" ref="BY24:BY25" si="9">SUM(E24:BX24)</f>
        <v>-1787775</v>
      </c>
      <c r="BZ24" s="597"/>
      <c r="CA24" s="222"/>
      <c r="CB24" s="248"/>
      <c r="CC24" s="597"/>
      <c r="CD24" s="222"/>
      <c r="CE24" s="222"/>
      <c r="CF24" s="222"/>
      <c r="CG24" s="238">
        <f>0.11</f>
        <v>0.11</v>
      </c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</row>
    <row r="25" spans="1:138" ht="15.95" outlineLevel="1">
      <c r="A25" s="505"/>
      <c r="B25" s="600"/>
      <c r="C25" s="249" t="s">
        <v>230</v>
      </c>
      <c r="D25" s="254" t="s">
        <v>223</v>
      </c>
      <c r="E25" s="255"/>
      <c r="F25" s="255"/>
      <c r="G25" s="255"/>
      <c r="H25" s="256"/>
      <c r="I25" s="256"/>
      <c r="J25" s="256"/>
      <c r="K25" s="256"/>
      <c r="L25" s="256"/>
      <c r="M25" s="256"/>
      <c r="N25" s="256"/>
      <c r="O25" s="256"/>
      <c r="P25" s="256">
        <f>-Businessplan_prodej!$F$22*1.21</f>
        <v>-183024.6</v>
      </c>
      <c r="Q25" s="256"/>
      <c r="R25" s="256"/>
      <c r="S25" s="256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7">
        <f t="shared" si="9"/>
        <v>-183024.6</v>
      </c>
      <c r="BZ25" s="597"/>
      <c r="CA25" s="222"/>
      <c r="CB25" s="248"/>
      <c r="CC25" s="597"/>
      <c r="CD25" s="222"/>
      <c r="CE25" s="222"/>
      <c r="CF25" s="222"/>
      <c r="CG25" s="258">
        <v>45590</v>
      </c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</row>
    <row r="26" spans="1:138" ht="15.95">
      <c r="A26" s="505"/>
      <c r="B26" s="600"/>
      <c r="C26" s="244" t="s">
        <v>231</v>
      </c>
      <c r="D26" s="245"/>
      <c r="E26" s="246">
        <f t="shared" ref="E26:BX26" si="10">SUM(E27:E33)</f>
        <v>0</v>
      </c>
      <c r="F26" s="246">
        <f t="shared" si="10"/>
        <v>0</v>
      </c>
      <c r="G26" s="246">
        <f t="shared" si="10"/>
        <v>0</v>
      </c>
      <c r="H26" s="246">
        <f t="shared" si="10"/>
        <v>-2420</v>
      </c>
      <c r="I26" s="246">
        <f t="shared" si="10"/>
        <v>-1081909</v>
      </c>
      <c r="J26" s="246">
        <f t="shared" si="10"/>
        <v>0</v>
      </c>
      <c r="K26" s="246">
        <f t="shared" si="10"/>
        <v>0</v>
      </c>
      <c r="L26" s="246">
        <f t="shared" si="10"/>
        <v>-4688041</v>
      </c>
      <c r="M26" s="246">
        <f t="shared" si="10"/>
        <v>-10044501.530000001</v>
      </c>
      <c r="N26" s="246">
        <f t="shared" si="10"/>
        <v>-19919080.57</v>
      </c>
      <c r="O26" s="246">
        <f t="shared" si="10"/>
        <v>-9000862.4199999999</v>
      </c>
      <c r="P26" s="246">
        <f t="shared" si="10"/>
        <v>-9114615.5130000003</v>
      </c>
      <c r="Q26" s="246">
        <f t="shared" si="10"/>
        <v>-6727817.9669999927</v>
      </c>
      <c r="R26" s="246">
        <f t="shared" si="10"/>
        <v>-1500000</v>
      </c>
      <c r="S26" s="246">
        <f t="shared" si="10"/>
        <v>-3274700</v>
      </c>
      <c r="T26" s="246">
        <f t="shared" si="10"/>
        <v>-3274700</v>
      </c>
      <c r="U26" s="246">
        <f t="shared" si="10"/>
        <v>-3274700</v>
      </c>
      <c r="V26" s="246">
        <f t="shared" si="10"/>
        <v>-3274700</v>
      </c>
      <c r="W26" s="246">
        <f t="shared" si="10"/>
        <v>-3274700</v>
      </c>
      <c r="X26" s="246">
        <f t="shared" si="10"/>
        <v>-3274700</v>
      </c>
      <c r="Y26" s="246">
        <f t="shared" si="10"/>
        <v>-3274700</v>
      </c>
      <c r="Z26" s="246">
        <f t="shared" si="10"/>
        <v>-3274700</v>
      </c>
      <c r="AA26" s="246">
        <f t="shared" si="10"/>
        <v>0</v>
      </c>
      <c r="AB26" s="246">
        <f t="shared" si="10"/>
        <v>0</v>
      </c>
      <c r="AC26" s="246">
        <f t="shared" si="10"/>
        <v>0</v>
      </c>
      <c r="AD26" s="246">
        <f t="shared" si="10"/>
        <v>0</v>
      </c>
      <c r="AE26" s="246">
        <f t="shared" si="10"/>
        <v>0</v>
      </c>
      <c r="AF26" s="246">
        <f t="shared" si="10"/>
        <v>0</v>
      </c>
      <c r="AG26" s="246">
        <f t="shared" si="10"/>
        <v>0</v>
      </c>
      <c r="AH26" s="246">
        <f t="shared" si="10"/>
        <v>0</v>
      </c>
      <c r="AI26" s="246">
        <f t="shared" si="10"/>
        <v>0</v>
      </c>
      <c r="AJ26" s="246">
        <f t="shared" si="10"/>
        <v>0</v>
      </c>
      <c r="AK26" s="246">
        <f t="shared" si="10"/>
        <v>0</v>
      </c>
      <c r="AL26" s="246">
        <f t="shared" si="10"/>
        <v>0</v>
      </c>
      <c r="AM26" s="246">
        <f t="shared" si="10"/>
        <v>0</v>
      </c>
      <c r="AN26" s="246">
        <f t="shared" si="10"/>
        <v>0</v>
      </c>
      <c r="AO26" s="246">
        <f t="shared" si="10"/>
        <v>0</v>
      </c>
      <c r="AP26" s="246">
        <f t="shared" si="10"/>
        <v>0</v>
      </c>
      <c r="AQ26" s="246">
        <f t="shared" si="10"/>
        <v>0</v>
      </c>
      <c r="AR26" s="246">
        <f t="shared" si="10"/>
        <v>0</v>
      </c>
      <c r="AS26" s="246">
        <f t="shared" si="10"/>
        <v>0</v>
      </c>
      <c r="AT26" s="246">
        <f t="shared" si="10"/>
        <v>0</v>
      </c>
      <c r="AU26" s="246">
        <f t="shared" si="10"/>
        <v>0</v>
      </c>
      <c r="AV26" s="246">
        <f t="shared" si="10"/>
        <v>0</v>
      </c>
      <c r="AW26" s="246">
        <f t="shared" si="10"/>
        <v>0</v>
      </c>
      <c r="AX26" s="246">
        <f t="shared" si="10"/>
        <v>0</v>
      </c>
      <c r="AY26" s="246">
        <f t="shared" si="10"/>
        <v>0</v>
      </c>
      <c r="AZ26" s="246">
        <f t="shared" si="10"/>
        <v>0</v>
      </c>
      <c r="BA26" s="246">
        <f t="shared" si="10"/>
        <v>0</v>
      </c>
      <c r="BB26" s="246">
        <f t="shared" si="10"/>
        <v>0</v>
      </c>
      <c r="BC26" s="246">
        <f t="shared" si="10"/>
        <v>0</v>
      </c>
      <c r="BD26" s="246">
        <f t="shared" si="10"/>
        <v>0</v>
      </c>
      <c r="BE26" s="246">
        <f t="shared" si="10"/>
        <v>0</v>
      </c>
      <c r="BF26" s="246">
        <f t="shared" si="10"/>
        <v>0</v>
      </c>
      <c r="BG26" s="246">
        <f t="shared" si="10"/>
        <v>0</v>
      </c>
      <c r="BH26" s="246">
        <f t="shared" si="10"/>
        <v>0</v>
      </c>
      <c r="BI26" s="246">
        <f t="shared" si="10"/>
        <v>0</v>
      </c>
      <c r="BJ26" s="246">
        <f t="shared" si="10"/>
        <v>0</v>
      </c>
      <c r="BK26" s="246">
        <f t="shared" si="10"/>
        <v>0</v>
      </c>
      <c r="BL26" s="246">
        <f t="shared" si="10"/>
        <v>0</v>
      </c>
      <c r="BM26" s="246">
        <f t="shared" si="10"/>
        <v>0</v>
      </c>
      <c r="BN26" s="246">
        <f t="shared" si="10"/>
        <v>0</v>
      </c>
      <c r="BO26" s="246">
        <f t="shared" si="10"/>
        <v>0</v>
      </c>
      <c r="BP26" s="246">
        <f t="shared" si="10"/>
        <v>0</v>
      </c>
      <c r="BQ26" s="246">
        <f t="shared" si="10"/>
        <v>0</v>
      </c>
      <c r="BR26" s="246">
        <f t="shared" si="10"/>
        <v>0</v>
      </c>
      <c r="BS26" s="246">
        <f t="shared" si="10"/>
        <v>0</v>
      </c>
      <c r="BT26" s="246">
        <f t="shared" si="10"/>
        <v>0</v>
      </c>
      <c r="BU26" s="246">
        <f t="shared" si="10"/>
        <v>0</v>
      </c>
      <c r="BV26" s="246">
        <f t="shared" si="10"/>
        <v>0</v>
      </c>
      <c r="BW26" s="246">
        <f t="shared" si="10"/>
        <v>0</v>
      </c>
      <c r="BX26" s="246">
        <f t="shared" si="10"/>
        <v>0</v>
      </c>
      <c r="BY26" s="248">
        <f>SUM(BY27:BY33)</f>
        <v>-88276848</v>
      </c>
      <c r="BZ26" s="597"/>
      <c r="CA26" s="222"/>
      <c r="CB26" s="248"/>
      <c r="CC26" s="597"/>
      <c r="CD26" s="222"/>
      <c r="CE26" s="222"/>
      <c r="CF26" s="222"/>
      <c r="CG26" s="258">
        <v>45991</v>
      </c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</row>
    <row r="27" spans="1:138" ht="15.95" outlineLevel="1">
      <c r="A27" s="505"/>
      <c r="B27" s="600"/>
      <c r="C27" s="249" t="s">
        <v>232</v>
      </c>
      <c r="D27" s="250" t="s">
        <v>223</v>
      </c>
      <c r="E27" s="251"/>
      <c r="F27" s="251"/>
      <c r="G27" s="251"/>
      <c r="H27" s="252"/>
      <c r="I27" s="252"/>
      <c r="J27" s="252"/>
      <c r="K27" s="252"/>
      <c r="L27" s="252">
        <f>-4688041</f>
        <v>-4688041</v>
      </c>
      <c r="M27" s="252">
        <f>-3615000-6429501.53</f>
        <v>-10044501.530000001</v>
      </c>
      <c r="N27" s="252">
        <f>-19909473.57</f>
        <v>-19909473.57</v>
      </c>
      <c r="O27" s="252">
        <f>-8977222.42</f>
        <v>-8977222.4199999999</v>
      </c>
      <c r="P27" s="252">
        <f>-10127350.57*0.9</f>
        <v>-9114615.5130000003</v>
      </c>
      <c r="Q27" s="252">
        <f>-(58593172+SUM($L$27:P27))</f>
        <v>-5859317.9669999927</v>
      </c>
      <c r="R27" s="252">
        <f>-1500000</f>
        <v>-1500000</v>
      </c>
      <c r="S27" s="259">
        <f>-(Businessplan_prodej!$F$31)/8</f>
        <v>-2960750</v>
      </c>
      <c r="T27" s="259">
        <f>-(Businessplan_prodej!$F$31)/8</f>
        <v>-2960750</v>
      </c>
      <c r="U27" s="259">
        <f>-(Businessplan_prodej!$F$31)/8</f>
        <v>-2960750</v>
      </c>
      <c r="V27" s="259">
        <f>-(Businessplan_prodej!$F$31)/8</f>
        <v>-2960750</v>
      </c>
      <c r="W27" s="259">
        <f>-(Businessplan_prodej!$F$31)/8</f>
        <v>-2960750</v>
      </c>
      <c r="X27" s="259">
        <f>-(Businessplan_prodej!$F$31)/8</f>
        <v>-2960750</v>
      </c>
      <c r="Y27" s="252">
        <f>-(Businessplan_prodej!$F$31)/8</f>
        <v>-2960750</v>
      </c>
      <c r="Z27" s="252">
        <f>-(Businessplan_prodej!$F$31)/8</f>
        <v>-2960750</v>
      </c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60"/>
      <c r="BY27" s="261">
        <f t="shared" ref="BY27:BY33" si="11">SUM(E27:BX27)</f>
        <v>-83779172</v>
      </c>
      <c r="BZ27" s="597"/>
      <c r="CA27" s="222"/>
      <c r="CB27" s="248"/>
      <c r="CC27" s="597"/>
      <c r="CD27" s="222"/>
      <c r="CE27" s="222"/>
      <c r="CF27" s="222"/>
      <c r="CG27" s="222">
        <f>CG26-CG25</f>
        <v>401</v>
      </c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</row>
    <row r="28" spans="1:138" ht="15.95" outlineLevel="1">
      <c r="A28" s="505"/>
      <c r="B28" s="600"/>
      <c r="C28" s="249" t="s">
        <v>233</v>
      </c>
      <c r="D28" s="250" t="s">
        <v>223</v>
      </c>
      <c r="E28" s="251"/>
      <c r="F28" s="251"/>
      <c r="G28" s="251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60"/>
      <c r="BY28" s="262">
        <f t="shared" si="11"/>
        <v>0</v>
      </c>
      <c r="BZ28" s="597"/>
      <c r="CA28" s="222"/>
      <c r="CB28" s="248"/>
      <c r="CC28" s="597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</row>
    <row r="29" spans="1:138" ht="15.95" outlineLevel="1">
      <c r="A29" s="505"/>
      <c r="B29" s="600"/>
      <c r="C29" s="249" t="s">
        <v>234</v>
      </c>
      <c r="D29" s="250" t="s">
        <v>223</v>
      </c>
      <c r="E29" s="251"/>
      <c r="F29" s="251"/>
      <c r="G29" s="251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60"/>
      <c r="BY29" s="262">
        <f t="shared" si="11"/>
        <v>0</v>
      </c>
      <c r="BZ29" s="597"/>
      <c r="CA29" s="222"/>
      <c r="CB29" s="248"/>
      <c r="CC29" s="597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</row>
    <row r="30" spans="1:138" ht="15.95" outlineLevel="1">
      <c r="A30" s="505"/>
      <c r="B30" s="600"/>
      <c r="C30" s="249" t="s">
        <v>235</v>
      </c>
      <c r="D30" s="250" t="s">
        <v>223</v>
      </c>
      <c r="E30" s="251"/>
      <c r="F30" s="251"/>
      <c r="G30" s="251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>
        <f>-Businessplan_prodej!$F$37*0.5</f>
        <v>0</v>
      </c>
      <c r="T30" s="252">
        <f>-Businessplan_prodej!$F$37*0.3</f>
        <v>0</v>
      </c>
      <c r="U30" s="252">
        <f>-Businessplan_prodej!$F$37*0.2</f>
        <v>0</v>
      </c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60"/>
      <c r="BY30" s="262">
        <f t="shared" si="11"/>
        <v>0</v>
      </c>
      <c r="BZ30" s="597"/>
      <c r="CA30" s="222"/>
      <c r="CB30" s="248"/>
      <c r="CC30" s="597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</row>
    <row r="31" spans="1:138" ht="15.95" outlineLevel="1">
      <c r="A31" s="505"/>
      <c r="B31" s="600"/>
      <c r="C31" s="249" t="s">
        <v>236</v>
      </c>
      <c r="D31" s="250" t="s">
        <v>223</v>
      </c>
      <c r="E31" s="251"/>
      <c r="F31" s="251"/>
      <c r="G31" s="251"/>
      <c r="H31" s="252">
        <f>-2420</f>
        <v>-2420</v>
      </c>
      <c r="I31" s="252"/>
      <c r="J31" s="252"/>
      <c r="K31" s="252"/>
      <c r="L31" s="252"/>
      <c r="M31" s="252"/>
      <c r="N31" s="252">
        <f>-500-9107</f>
        <v>-9607</v>
      </c>
      <c r="O31" s="252">
        <f>-18750-2420-2470</f>
        <v>-23640</v>
      </c>
      <c r="P31" s="252"/>
      <c r="Q31" s="252"/>
      <c r="R31" s="252"/>
      <c r="S31" s="252">
        <f>-Businessplan_prodej!$F$38/8</f>
        <v>-16250</v>
      </c>
      <c r="T31" s="252">
        <f>-Businessplan_prodej!$F$38/8</f>
        <v>-16250</v>
      </c>
      <c r="U31" s="252">
        <f>-Businessplan_prodej!$F$38/8</f>
        <v>-16250</v>
      </c>
      <c r="V31" s="252">
        <f>-Businessplan_prodej!$F$38/8</f>
        <v>-16250</v>
      </c>
      <c r="W31" s="252">
        <f>-Businessplan_prodej!$F$38/8</f>
        <v>-16250</v>
      </c>
      <c r="X31" s="252">
        <f>-Businessplan_prodej!$F$38/8</f>
        <v>-16250</v>
      </c>
      <c r="Y31" s="252">
        <f>-Businessplan_prodej!$F$38/8</f>
        <v>-16250</v>
      </c>
      <c r="Z31" s="252">
        <f>-Businessplan_prodej!$F$38/8</f>
        <v>-16250</v>
      </c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60"/>
      <c r="BY31" s="262">
        <f t="shared" si="11"/>
        <v>-165667</v>
      </c>
      <c r="BZ31" s="597"/>
      <c r="CA31" s="222"/>
      <c r="CB31" s="248"/>
      <c r="CC31" s="597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</row>
    <row r="32" spans="1:138" ht="15.95" outlineLevel="1">
      <c r="A32" s="505"/>
      <c r="B32" s="600"/>
      <c r="C32" s="263" t="s">
        <v>237</v>
      </c>
      <c r="D32" s="250" t="s">
        <v>223</v>
      </c>
      <c r="E32" s="251"/>
      <c r="F32" s="251"/>
      <c r="G32" s="251"/>
      <c r="H32" s="252"/>
      <c r="I32" s="252">
        <f>-1081909</f>
        <v>-1081909</v>
      </c>
      <c r="J32" s="252"/>
      <c r="K32" s="252"/>
      <c r="L32" s="252"/>
      <c r="M32" s="252"/>
      <c r="N32" s="252"/>
      <c r="O32" s="252"/>
      <c r="P32" s="252"/>
      <c r="Q32" s="252">
        <f>-868500</f>
        <v>-868500</v>
      </c>
      <c r="R32" s="252"/>
      <c r="S32" s="252"/>
      <c r="T32" s="252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60"/>
      <c r="BY32" s="262">
        <f t="shared" si="11"/>
        <v>-1950409</v>
      </c>
      <c r="BZ32" s="597"/>
      <c r="CA32" s="222"/>
      <c r="CB32" s="248"/>
      <c r="CC32" s="597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</row>
    <row r="33" spans="1:138" ht="15.95" outlineLevel="1">
      <c r="A33" s="505"/>
      <c r="B33" s="600"/>
      <c r="C33" s="249" t="s">
        <v>238</v>
      </c>
      <c r="D33" s="254" t="s">
        <v>223</v>
      </c>
      <c r="E33" s="251"/>
      <c r="F33" s="251"/>
      <c r="G33" s="251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>
        <f>-Businessplan_prodej!$F$41/8</f>
        <v>-297700</v>
      </c>
      <c r="T33" s="252">
        <f>-Businessplan_prodej!$F$41/8</f>
        <v>-297700</v>
      </c>
      <c r="U33" s="252">
        <f>-Businessplan_prodej!$F$41/8</f>
        <v>-297700</v>
      </c>
      <c r="V33" s="252">
        <f>-Businessplan_prodej!$F$41/8</f>
        <v>-297700</v>
      </c>
      <c r="W33" s="252">
        <f>-Businessplan_prodej!$F$41/8</f>
        <v>-297700</v>
      </c>
      <c r="X33" s="252">
        <f>-Businessplan_prodej!$F$41/8</f>
        <v>-297700</v>
      </c>
      <c r="Y33" s="252">
        <f>-Businessplan_prodej!$F$41/8</f>
        <v>-297700</v>
      </c>
      <c r="Z33" s="252">
        <f>-Businessplan_prodej!$F$41/8</f>
        <v>-297700</v>
      </c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60"/>
      <c r="BY33" s="264">
        <f t="shared" si="11"/>
        <v>-2381600</v>
      </c>
      <c r="BZ33" s="597"/>
      <c r="CA33" s="222"/>
      <c r="CB33" s="248"/>
      <c r="CC33" s="597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</row>
    <row r="34" spans="1:138" ht="15.95">
      <c r="A34" s="505"/>
      <c r="B34" s="600"/>
      <c r="C34" s="244" t="s">
        <v>239</v>
      </c>
      <c r="D34" s="245"/>
      <c r="E34" s="246">
        <f t="shared" ref="E34:BX34" si="12">SUM(E35:E36)</f>
        <v>0</v>
      </c>
      <c r="F34" s="246">
        <f t="shared" si="12"/>
        <v>0</v>
      </c>
      <c r="G34" s="246">
        <f t="shared" si="12"/>
        <v>0</v>
      </c>
      <c r="H34" s="246">
        <f t="shared" si="12"/>
        <v>0</v>
      </c>
      <c r="I34" s="246">
        <f t="shared" si="12"/>
        <v>0</v>
      </c>
      <c r="J34" s="246">
        <f t="shared" si="12"/>
        <v>0</v>
      </c>
      <c r="K34" s="246">
        <f t="shared" si="12"/>
        <v>0</v>
      </c>
      <c r="L34" s="246">
        <f t="shared" si="12"/>
        <v>0</v>
      </c>
      <c r="M34" s="246">
        <f t="shared" si="12"/>
        <v>0</v>
      </c>
      <c r="N34" s="246">
        <f t="shared" si="12"/>
        <v>0</v>
      </c>
      <c r="O34" s="246">
        <f t="shared" si="12"/>
        <v>0</v>
      </c>
      <c r="P34" s="246">
        <f t="shared" si="12"/>
        <v>0</v>
      </c>
      <c r="Q34" s="246">
        <f t="shared" si="12"/>
        <v>0</v>
      </c>
      <c r="R34" s="246">
        <f t="shared" si="12"/>
        <v>0</v>
      </c>
      <c r="S34" s="246">
        <f t="shared" si="12"/>
        <v>-539250</v>
      </c>
      <c r="T34" s="246">
        <f t="shared" si="12"/>
        <v>-539250</v>
      </c>
      <c r="U34" s="246">
        <f t="shared" si="12"/>
        <v>-539250</v>
      </c>
      <c r="V34" s="246">
        <f t="shared" si="12"/>
        <v>-539250</v>
      </c>
      <c r="W34" s="246">
        <f t="shared" si="12"/>
        <v>-539250</v>
      </c>
      <c r="X34" s="246">
        <f t="shared" si="12"/>
        <v>-539250</v>
      </c>
      <c r="Y34" s="246">
        <f t="shared" si="12"/>
        <v>-539250</v>
      </c>
      <c r="Z34" s="246">
        <f t="shared" si="12"/>
        <v>-539250</v>
      </c>
      <c r="AA34" s="246">
        <f t="shared" si="12"/>
        <v>0</v>
      </c>
      <c r="AB34" s="246">
        <f t="shared" si="12"/>
        <v>0</v>
      </c>
      <c r="AC34" s="246">
        <f t="shared" si="12"/>
        <v>0</v>
      </c>
      <c r="AD34" s="246">
        <f t="shared" si="12"/>
        <v>0</v>
      </c>
      <c r="AE34" s="246">
        <f t="shared" si="12"/>
        <v>0</v>
      </c>
      <c r="AF34" s="246">
        <f t="shared" si="12"/>
        <v>0</v>
      </c>
      <c r="AG34" s="246">
        <f t="shared" si="12"/>
        <v>0</v>
      </c>
      <c r="AH34" s="246">
        <f t="shared" si="12"/>
        <v>0</v>
      </c>
      <c r="AI34" s="246">
        <f t="shared" si="12"/>
        <v>0</v>
      </c>
      <c r="AJ34" s="246">
        <f t="shared" si="12"/>
        <v>0</v>
      </c>
      <c r="AK34" s="246">
        <f t="shared" si="12"/>
        <v>0</v>
      </c>
      <c r="AL34" s="246">
        <f t="shared" si="12"/>
        <v>0</v>
      </c>
      <c r="AM34" s="246">
        <f t="shared" si="12"/>
        <v>0</v>
      </c>
      <c r="AN34" s="246">
        <f t="shared" si="12"/>
        <v>0</v>
      </c>
      <c r="AO34" s="246">
        <f t="shared" si="12"/>
        <v>0</v>
      </c>
      <c r="AP34" s="246">
        <f t="shared" si="12"/>
        <v>0</v>
      </c>
      <c r="AQ34" s="246">
        <f t="shared" si="12"/>
        <v>0</v>
      </c>
      <c r="AR34" s="246">
        <f t="shared" si="12"/>
        <v>0</v>
      </c>
      <c r="AS34" s="246">
        <f t="shared" si="12"/>
        <v>0</v>
      </c>
      <c r="AT34" s="246">
        <f t="shared" si="12"/>
        <v>0</v>
      </c>
      <c r="AU34" s="246">
        <f t="shared" si="12"/>
        <v>0</v>
      </c>
      <c r="AV34" s="246">
        <f t="shared" si="12"/>
        <v>0</v>
      </c>
      <c r="AW34" s="246">
        <f t="shared" si="12"/>
        <v>0</v>
      </c>
      <c r="AX34" s="246">
        <f t="shared" si="12"/>
        <v>0</v>
      </c>
      <c r="AY34" s="246">
        <f t="shared" si="12"/>
        <v>0</v>
      </c>
      <c r="AZ34" s="246">
        <f t="shared" si="12"/>
        <v>0</v>
      </c>
      <c r="BA34" s="246">
        <f t="shared" si="12"/>
        <v>0</v>
      </c>
      <c r="BB34" s="246">
        <f t="shared" si="12"/>
        <v>0</v>
      </c>
      <c r="BC34" s="246">
        <f t="shared" si="12"/>
        <v>0</v>
      </c>
      <c r="BD34" s="246">
        <f t="shared" si="12"/>
        <v>0</v>
      </c>
      <c r="BE34" s="246">
        <f t="shared" si="12"/>
        <v>0</v>
      </c>
      <c r="BF34" s="246">
        <f t="shared" si="12"/>
        <v>0</v>
      </c>
      <c r="BG34" s="246">
        <f t="shared" si="12"/>
        <v>0</v>
      </c>
      <c r="BH34" s="246">
        <f t="shared" si="12"/>
        <v>0</v>
      </c>
      <c r="BI34" s="246">
        <f t="shared" si="12"/>
        <v>0</v>
      </c>
      <c r="BJ34" s="246">
        <f t="shared" si="12"/>
        <v>0</v>
      </c>
      <c r="BK34" s="246">
        <f t="shared" si="12"/>
        <v>0</v>
      </c>
      <c r="BL34" s="246">
        <f t="shared" si="12"/>
        <v>0</v>
      </c>
      <c r="BM34" s="246">
        <f t="shared" si="12"/>
        <v>0</v>
      </c>
      <c r="BN34" s="246">
        <f t="shared" si="12"/>
        <v>0</v>
      </c>
      <c r="BO34" s="246">
        <f t="shared" si="12"/>
        <v>0</v>
      </c>
      <c r="BP34" s="246">
        <f t="shared" si="12"/>
        <v>0</v>
      </c>
      <c r="BQ34" s="246">
        <f t="shared" si="12"/>
        <v>0</v>
      </c>
      <c r="BR34" s="246">
        <f t="shared" si="12"/>
        <v>0</v>
      </c>
      <c r="BS34" s="246">
        <f t="shared" si="12"/>
        <v>0</v>
      </c>
      <c r="BT34" s="246">
        <f t="shared" si="12"/>
        <v>0</v>
      </c>
      <c r="BU34" s="246">
        <f t="shared" si="12"/>
        <v>0</v>
      </c>
      <c r="BV34" s="246">
        <f t="shared" si="12"/>
        <v>0</v>
      </c>
      <c r="BW34" s="246">
        <f t="shared" si="12"/>
        <v>0</v>
      </c>
      <c r="BX34" s="246">
        <f t="shared" si="12"/>
        <v>0</v>
      </c>
      <c r="BY34" s="248">
        <f>SUM(BY35:BY36)</f>
        <v>-4314000</v>
      </c>
      <c r="BZ34" s="597"/>
      <c r="CA34" s="222"/>
      <c r="CB34" s="248"/>
      <c r="CC34" s="597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</row>
    <row r="35" spans="1:138" ht="15.95" outlineLevel="1">
      <c r="A35" s="505"/>
      <c r="B35" s="600"/>
      <c r="C35" s="249" t="s">
        <v>240</v>
      </c>
      <c r="D35" s="250" t="s">
        <v>223</v>
      </c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362">
        <f>-Businessplan_prodej!$C$51/8</f>
        <v>-539250</v>
      </c>
      <c r="T35" s="362">
        <f>-Businessplan_prodej!$C$51/8</f>
        <v>-539250</v>
      </c>
      <c r="U35" s="362">
        <f>-Businessplan_prodej!$C$51/8</f>
        <v>-539250</v>
      </c>
      <c r="V35" s="362">
        <f>-Businessplan_prodej!$C$51/8</f>
        <v>-539250</v>
      </c>
      <c r="W35" s="362">
        <f>-Businessplan_prodej!$C$51/8</f>
        <v>-539250</v>
      </c>
      <c r="X35" s="362">
        <f>-Businessplan_prodej!$C$51/8</f>
        <v>-539250</v>
      </c>
      <c r="Y35" s="266">
        <f>-Businessplan_prodej!$C$51/8</f>
        <v>-539250</v>
      </c>
      <c r="Z35" s="266">
        <f>-Businessplan_prodej!$C$51/8</f>
        <v>-539250</v>
      </c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60"/>
      <c r="BY35" s="261">
        <f t="shared" ref="BY35:BY36" si="13">SUM(E35:BX35)</f>
        <v>-4314000</v>
      </c>
      <c r="BZ35" s="597"/>
      <c r="CA35" s="222"/>
      <c r="CB35" s="248"/>
      <c r="CC35" s="597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</row>
    <row r="36" spans="1:138" ht="15.95" outlineLevel="1">
      <c r="A36" s="505"/>
      <c r="B36" s="600"/>
      <c r="C36" s="249" t="s">
        <v>241</v>
      </c>
      <c r="D36" s="254" t="s">
        <v>223</v>
      </c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66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60"/>
      <c r="BY36" s="264">
        <f t="shared" si="13"/>
        <v>0</v>
      </c>
      <c r="BZ36" s="597"/>
      <c r="CA36" s="222"/>
      <c r="CB36" s="248"/>
      <c r="CC36" s="597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</row>
    <row r="37" spans="1:138" ht="15.95">
      <c r="A37" s="505"/>
      <c r="B37" s="600"/>
      <c r="C37" s="244" t="s">
        <v>242</v>
      </c>
      <c r="D37" s="245"/>
      <c r="E37" s="246">
        <f t="shared" ref="E37:G37" si="14">SUM(E38:E48)</f>
        <v>0</v>
      </c>
      <c r="F37" s="246">
        <f t="shared" si="14"/>
        <v>0</v>
      </c>
      <c r="G37" s="246">
        <f t="shared" si="14"/>
        <v>0</v>
      </c>
      <c r="H37" s="246">
        <f t="shared" ref="H37:BM37" si="15">SUM(H38:H41,H42,H45,H46:H48)</f>
        <v>-113225.2</v>
      </c>
      <c r="I37" s="246">
        <f t="shared" si="15"/>
        <v>-414970</v>
      </c>
      <c r="J37" s="246">
        <f t="shared" si="15"/>
        <v>-1007845.81</v>
      </c>
      <c r="K37" s="246">
        <f t="shared" si="15"/>
        <v>-901583.60700000008</v>
      </c>
      <c r="L37" s="246">
        <f t="shared" si="15"/>
        <v>-332396.81</v>
      </c>
      <c r="M37" s="246">
        <f t="shared" si="15"/>
        <v>-666968.62</v>
      </c>
      <c r="N37" s="246">
        <f t="shared" si="15"/>
        <v>-25339</v>
      </c>
      <c r="O37" s="246">
        <f t="shared" si="15"/>
        <v>-744252.62</v>
      </c>
      <c r="P37" s="246">
        <f t="shared" si="15"/>
        <v>-343445.64333333331</v>
      </c>
      <c r="Q37" s="246">
        <f t="shared" si="15"/>
        <v>-211817.15</v>
      </c>
      <c r="R37" s="246">
        <f t="shared" si="15"/>
        <v>-620052.24899999995</v>
      </c>
      <c r="S37" s="246">
        <f t="shared" si="15"/>
        <v>-778687.56579999987</v>
      </c>
      <c r="T37" s="246">
        <f t="shared" si="15"/>
        <v>-294308.01499999996</v>
      </c>
      <c r="U37" s="246">
        <f t="shared" si="15"/>
        <v>-264861.08999999997</v>
      </c>
      <c r="V37" s="246">
        <f t="shared" si="15"/>
        <v>-264861.08999999997</v>
      </c>
      <c r="W37" s="246">
        <f t="shared" si="15"/>
        <v>-330201.08999999997</v>
      </c>
      <c r="X37" s="246">
        <f t="shared" si="15"/>
        <v>-264861.08999999997</v>
      </c>
      <c r="Y37" s="246">
        <f t="shared" si="15"/>
        <v>-373761.08999999997</v>
      </c>
      <c r="Z37" s="246">
        <f t="shared" si="15"/>
        <v>-864574.4907999998</v>
      </c>
      <c r="AA37" s="246">
        <f t="shared" si="15"/>
        <v>-14235</v>
      </c>
      <c r="AB37" s="246">
        <f t="shared" si="15"/>
        <v>0</v>
      </c>
      <c r="AC37" s="246">
        <f t="shared" si="15"/>
        <v>0</v>
      </c>
      <c r="AD37" s="246">
        <f t="shared" si="15"/>
        <v>0</v>
      </c>
      <c r="AE37" s="246">
        <f t="shared" si="15"/>
        <v>0</v>
      </c>
      <c r="AF37" s="246">
        <f t="shared" si="15"/>
        <v>0</v>
      </c>
      <c r="AG37" s="246">
        <f t="shared" si="15"/>
        <v>0</v>
      </c>
      <c r="AH37" s="246">
        <f t="shared" si="15"/>
        <v>0</v>
      </c>
      <c r="AI37" s="246">
        <f t="shared" si="15"/>
        <v>0</v>
      </c>
      <c r="AJ37" s="246">
        <f t="shared" si="15"/>
        <v>0</v>
      </c>
      <c r="AK37" s="246">
        <f t="shared" si="15"/>
        <v>0</v>
      </c>
      <c r="AL37" s="246">
        <f t="shared" si="15"/>
        <v>0</v>
      </c>
      <c r="AM37" s="246">
        <f t="shared" si="15"/>
        <v>0</v>
      </c>
      <c r="AN37" s="246">
        <f t="shared" si="15"/>
        <v>0</v>
      </c>
      <c r="AO37" s="246">
        <f t="shared" si="15"/>
        <v>0</v>
      </c>
      <c r="AP37" s="246">
        <f t="shared" si="15"/>
        <v>0</v>
      </c>
      <c r="AQ37" s="246">
        <f t="shared" si="15"/>
        <v>0</v>
      </c>
      <c r="AR37" s="246">
        <f t="shared" si="15"/>
        <v>0</v>
      </c>
      <c r="AS37" s="246">
        <f t="shared" si="15"/>
        <v>0</v>
      </c>
      <c r="AT37" s="246">
        <f t="shared" si="15"/>
        <v>0</v>
      </c>
      <c r="AU37" s="246">
        <f t="shared" si="15"/>
        <v>0</v>
      </c>
      <c r="AV37" s="246">
        <f t="shared" si="15"/>
        <v>0</v>
      </c>
      <c r="AW37" s="246">
        <f t="shared" si="15"/>
        <v>0</v>
      </c>
      <c r="AX37" s="246">
        <f t="shared" si="15"/>
        <v>0</v>
      </c>
      <c r="AY37" s="246">
        <f t="shared" si="15"/>
        <v>0</v>
      </c>
      <c r="AZ37" s="246">
        <f t="shared" si="15"/>
        <v>0</v>
      </c>
      <c r="BA37" s="246">
        <f t="shared" si="15"/>
        <v>0</v>
      </c>
      <c r="BB37" s="246">
        <f t="shared" si="15"/>
        <v>0</v>
      </c>
      <c r="BC37" s="246">
        <f t="shared" si="15"/>
        <v>0</v>
      </c>
      <c r="BD37" s="246">
        <f t="shared" si="15"/>
        <v>0</v>
      </c>
      <c r="BE37" s="246">
        <f t="shared" si="15"/>
        <v>0</v>
      </c>
      <c r="BF37" s="246">
        <f t="shared" si="15"/>
        <v>0</v>
      </c>
      <c r="BG37" s="246">
        <f t="shared" si="15"/>
        <v>0</v>
      </c>
      <c r="BH37" s="246">
        <f t="shared" si="15"/>
        <v>0</v>
      </c>
      <c r="BI37" s="246">
        <f t="shared" si="15"/>
        <v>0</v>
      </c>
      <c r="BJ37" s="246">
        <f t="shared" si="15"/>
        <v>0</v>
      </c>
      <c r="BK37" s="246">
        <f t="shared" si="15"/>
        <v>0</v>
      </c>
      <c r="BL37" s="246">
        <f t="shared" si="15"/>
        <v>0</v>
      </c>
      <c r="BM37" s="246">
        <f t="shared" si="15"/>
        <v>0</v>
      </c>
      <c r="BN37" s="246">
        <f t="shared" ref="BN37:BX37" si="16">SUM(BN38:BN48)</f>
        <v>0</v>
      </c>
      <c r="BO37" s="246">
        <f t="shared" si="16"/>
        <v>0</v>
      </c>
      <c r="BP37" s="246">
        <f t="shared" si="16"/>
        <v>0</v>
      </c>
      <c r="BQ37" s="246">
        <f t="shared" si="16"/>
        <v>0</v>
      </c>
      <c r="BR37" s="246">
        <f t="shared" si="16"/>
        <v>0</v>
      </c>
      <c r="BS37" s="246">
        <f t="shared" si="16"/>
        <v>0</v>
      </c>
      <c r="BT37" s="246">
        <f t="shared" si="16"/>
        <v>0</v>
      </c>
      <c r="BU37" s="246">
        <f t="shared" si="16"/>
        <v>0</v>
      </c>
      <c r="BV37" s="246">
        <f t="shared" si="16"/>
        <v>0</v>
      </c>
      <c r="BW37" s="246">
        <f t="shared" si="16"/>
        <v>0</v>
      </c>
      <c r="BX37" s="246">
        <f t="shared" si="16"/>
        <v>0</v>
      </c>
      <c r="BY37" s="248">
        <f>SUM(BY38:BY48)</f>
        <v>-9295233.2309333328</v>
      </c>
      <c r="BZ37" s="597"/>
      <c r="CA37" s="222"/>
      <c r="CB37" s="248"/>
      <c r="CC37" s="597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</row>
    <row r="38" spans="1:138" ht="15.95" outlineLevel="1">
      <c r="A38" s="505"/>
      <c r="B38" s="600"/>
      <c r="C38" s="263" t="s">
        <v>170</v>
      </c>
      <c r="D38" s="250" t="s">
        <v>223</v>
      </c>
      <c r="E38" s="255"/>
      <c r="F38" s="255"/>
      <c r="G38" s="255"/>
      <c r="H38" s="256"/>
      <c r="I38" s="256">
        <f>-400000</f>
        <v>-400000</v>
      </c>
      <c r="J38" s="256">
        <f>-661353-(23520+28160+192281+20000)*1.21</f>
        <v>-980745.81</v>
      </c>
      <c r="K38" s="256"/>
      <c r="L38" s="256">
        <f>-(23520+28160+192281+20000)*1.21</f>
        <v>-319392.81</v>
      </c>
      <c r="M38" s="256">
        <f>-(23520+28160+192281+20000)*1.21-(23520+28160+192281+20000)*1.21</f>
        <v>-638785.62</v>
      </c>
      <c r="N38" s="256"/>
      <c r="O38" s="256">
        <f>-(23520+28160+192281+20000)*1.21*2</f>
        <v>-638785.62</v>
      </c>
      <c r="P38" s="256">
        <f>-(23520+28160+192281+20000)*1.21</f>
        <v>-319392.81</v>
      </c>
      <c r="Q38" s="256">
        <f>-Businessplan_prodej!$F$78/10*1.21</f>
        <v>-92146.34</v>
      </c>
      <c r="R38" s="363">
        <f>-Businessplan_prodej!$F$78/10*1.21</f>
        <v>-92146.34</v>
      </c>
      <c r="S38" s="363">
        <f>-Businessplan_prodej!$F$78/10*1.21</f>
        <v>-92146.34</v>
      </c>
      <c r="T38" s="363">
        <f>-Businessplan_prodej!$F$78/10*1.21</f>
        <v>-92146.34</v>
      </c>
      <c r="U38" s="363">
        <f>-Businessplan_prodej!$F$78/10*1.21</f>
        <v>-92146.34</v>
      </c>
      <c r="V38" s="363">
        <f>-Businessplan_prodej!$F$78/10*1.21</f>
        <v>-92146.34</v>
      </c>
      <c r="W38" s="363">
        <f>-Businessplan_prodej!$F$78/10*1.21</f>
        <v>-92146.34</v>
      </c>
      <c r="X38" s="363">
        <f>-Businessplan_prodej!$F$78/10*1.21</f>
        <v>-92146.34</v>
      </c>
      <c r="Y38" s="363">
        <f>-Businessplan_prodej!$F$78/10*1.21</f>
        <v>-92146.34</v>
      </c>
      <c r="Z38" s="363">
        <f>-Businessplan_prodej!$F$78/10*1.21</f>
        <v>-92146.34</v>
      </c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67"/>
      <c r="BY38" s="261">
        <f t="shared" ref="BY38:BY48" si="17">SUM(E38:BX38)</f>
        <v>-4218566.0699999994</v>
      </c>
      <c r="BZ38" s="597"/>
      <c r="CA38" s="222"/>
      <c r="CB38" s="248"/>
      <c r="CC38" s="597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</row>
    <row r="39" spans="1:138" ht="15.95" outlineLevel="1">
      <c r="A39" s="505"/>
      <c r="B39" s="600"/>
      <c r="C39" s="263" t="s">
        <v>171</v>
      </c>
      <c r="D39" s="250" t="s">
        <v>223</v>
      </c>
      <c r="E39" s="255"/>
      <c r="F39" s="255"/>
      <c r="G39" s="255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363">
        <f>-100000*1.21</f>
        <v>-121000</v>
      </c>
      <c r="S39" s="363">
        <f>-Businessplan_prodej!$F$82/8*1.21</f>
        <v>-139119.75</v>
      </c>
      <c r="T39" s="363">
        <f>-Businessplan_prodej!$F$82/8*1.21</f>
        <v>-139119.75</v>
      </c>
      <c r="U39" s="363">
        <f>-Businessplan_prodej!$F$82/8*1.21</f>
        <v>-139119.75</v>
      </c>
      <c r="V39" s="363">
        <f>-Businessplan_prodej!$F$82/8*1.21</f>
        <v>-139119.75</v>
      </c>
      <c r="W39" s="363">
        <f>-Businessplan_prodej!$F$82/8*1.21</f>
        <v>-139119.75</v>
      </c>
      <c r="X39" s="363">
        <f>-Businessplan_prodej!$F$82/8*1.21</f>
        <v>-139119.75</v>
      </c>
      <c r="Y39" s="363">
        <f>-Businessplan_prodej!$F$82/8*1.21</f>
        <v>-139119.75</v>
      </c>
      <c r="Z39" s="363">
        <f>-Businessplan_prodej!$F$82/8*1.21</f>
        <v>-139119.75</v>
      </c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67"/>
      <c r="BY39" s="262">
        <f t="shared" si="17"/>
        <v>-1233958</v>
      </c>
      <c r="BZ39" s="597"/>
      <c r="CA39" s="222"/>
      <c r="CB39" s="248"/>
      <c r="CC39" s="597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</row>
    <row r="40" spans="1:138" ht="15.95" outlineLevel="1">
      <c r="A40" s="505"/>
      <c r="B40" s="600"/>
      <c r="C40" s="263" t="s">
        <v>172</v>
      </c>
      <c r="D40" s="250" t="s">
        <v>223</v>
      </c>
      <c r="E40" s="255"/>
      <c r="F40" s="255"/>
      <c r="G40" s="255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68"/>
      <c r="T40" s="256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67"/>
      <c r="BY40" s="262">
        <f t="shared" si="17"/>
        <v>0</v>
      </c>
      <c r="BZ40" s="597"/>
      <c r="CA40" s="222"/>
      <c r="CB40" s="248"/>
      <c r="CC40" s="597"/>
      <c r="CD40" s="222"/>
      <c r="CE40" s="238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</row>
    <row r="41" spans="1:138" ht="15.95" outlineLevel="1">
      <c r="A41" s="505"/>
      <c r="B41" s="600"/>
      <c r="C41" s="263" t="s">
        <v>176</v>
      </c>
      <c r="D41" s="250" t="s">
        <v>223</v>
      </c>
      <c r="E41" s="255"/>
      <c r="F41" s="255"/>
      <c r="G41" s="255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68">
        <f>-Businessplan_prodej!$F$87/9*1.21</f>
        <v>0</v>
      </c>
      <c r="S41" s="268">
        <f>-Businessplan_prodej!$F$87/9*1.21</f>
        <v>0</v>
      </c>
      <c r="T41" s="268">
        <f>-Businessplan_prodej!$F$87/9*1.21</f>
        <v>0</v>
      </c>
      <c r="U41" s="268">
        <f>-Businessplan_prodej!$F$87/9*1.21</f>
        <v>0</v>
      </c>
      <c r="V41" s="268">
        <f>-Businessplan_prodej!$F$87/9*1.21</f>
        <v>0</v>
      </c>
      <c r="W41" s="268">
        <f>-Businessplan_prodej!$F$87/9*1.21</f>
        <v>0</v>
      </c>
      <c r="X41" s="268">
        <f>-Businessplan_prodej!$F$87/9*1.21</f>
        <v>0</v>
      </c>
      <c r="Y41" s="268">
        <f>-Businessplan_prodej!$F$87/9*1.21</f>
        <v>0</v>
      </c>
      <c r="Z41" s="268">
        <f>-Businessplan_prodej!$F$87/9*1.21</f>
        <v>0</v>
      </c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67"/>
      <c r="BY41" s="262">
        <f t="shared" si="17"/>
        <v>0</v>
      </c>
      <c r="BZ41" s="597"/>
      <c r="CA41" s="222"/>
      <c r="CB41" s="248"/>
      <c r="CC41" s="597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</row>
    <row r="42" spans="1:138" ht="15.95" outlineLevel="1">
      <c r="A42" s="505"/>
      <c r="B42" s="600"/>
      <c r="C42" s="249" t="s">
        <v>177</v>
      </c>
      <c r="D42" s="269" t="s">
        <v>223</v>
      </c>
      <c r="E42" s="270"/>
      <c r="F42" s="271"/>
      <c r="G42" s="271"/>
      <c r="H42" s="271">
        <f t="shared" ref="H42:AA42" si="18">SUM(H43:H44)</f>
        <v>-36364</v>
      </c>
      <c r="I42" s="271">
        <f t="shared" si="18"/>
        <v>-8194</v>
      </c>
      <c r="J42" s="271">
        <f t="shared" si="18"/>
        <v>-27000</v>
      </c>
      <c r="K42" s="271">
        <f t="shared" si="18"/>
        <v>-7113</v>
      </c>
      <c r="L42" s="271">
        <f t="shared" si="18"/>
        <v>-5262</v>
      </c>
      <c r="M42" s="271">
        <f t="shared" si="18"/>
        <v>-3613</v>
      </c>
      <c r="N42" s="271">
        <f t="shared" si="18"/>
        <v>-3999</v>
      </c>
      <c r="O42" s="271">
        <f t="shared" si="18"/>
        <v>-6441</v>
      </c>
      <c r="P42" s="271">
        <f t="shared" si="18"/>
        <v>-5000</v>
      </c>
      <c r="Q42" s="271">
        <f t="shared" si="18"/>
        <v>-85000</v>
      </c>
      <c r="R42" s="271">
        <f t="shared" si="18"/>
        <v>-85000</v>
      </c>
      <c r="S42" s="271">
        <f t="shared" si="18"/>
        <v>-10000</v>
      </c>
      <c r="T42" s="271">
        <f t="shared" si="18"/>
        <v>-10000</v>
      </c>
      <c r="U42" s="271">
        <f t="shared" si="18"/>
        <v>-10000</v>
      </c>
      <c r="V42" s="271">
        <f t="shared" si="18"/>
        <v>-10000</v>
      </c>
      <c r="W42" s="271">
        <f t="shared" si="18"/>
        <v>-10000</v>
      </c>
      <c r="X42" s="271">
        <f t="shared" si="18"/>
        <v>-10000</v>
      </c>
      <c r="Y42" s="271">
        <f t="shared" si="18"/>
        <v>-10000</v>
      </c>
      <c r="Z42" s="271">
        <f t="shared" si="18"/>
        <v>-110000</v>
      </c>
      <c r="AA42" s="271">
        <f t="shared" si="18"/>
        <v>-10000</v>
      </c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2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60"/>
      <c r="BY42" s="262">
        <f t="shared" si="17"/>
        <v>-462986</v>
      </c>
      <c r="BZ42" s="597"/>
      <c r="CA42" s="222"/>
      <c r="CB42" s="248"/>
      <c r="CC42" s="597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</row>
    <row r="43" spans="1:138" ht="15.95" outlineLevel="2">
      <c r="A43" s="505"/>
      <c r="B43" s="600"/>
      <c r="C43" s="273" t="s">
        <v>243</v>
      </c>
      <c r="D43" s="250" t="s">
        <v>223</v>
      </c>
      <c r="E43" s="251"/>
      <c r="F43" s="251"/>
      <c r="G43" s="251"/>
      <c r="H43" s="274">
        <f>-11364</f>
        <v>-11364</v>
      </c>
      <c r="I43" s="274">
        <f>-8194</f>
        <v>-8194</v>
      </c>
      <c r="J43" s="274"/>
      <c r="K43" s="274">
        <f>-3219-3894</f>
        <v>-7113</v>
      </c>
      <c r="L43" s="274">
        <f>-5262</f>
        <v>-5262</v>
      </c>
      <c r="M43" s="274">
        <f>-3613</f>
        <v>-3613</v>
      </c>
      <c r="N43" s="274">
        <f>-3999</f>
        <v>-3999</v>
      </c>
      <c r="O43" s="274">
        <f>-6441</f>
        <v>-6441</v>
      </c>
      <c r="P43" s="274">
        <f>-5000</f>
        <v>-5000</v>
      </c>
      <c r="Q43" s="274">
        <f>-(Businessplan_prodej!$F$88-3000*25)/11</f>
        <v>-10000</v>
      </c>
      <c r="R43" s="274">
        <f>-(Businessplan_prodej!$F$88-3000*25)/11</f>
        <v>-10000</v>
      </c>
      <c r="S43" s="274">
        <f>-(Businessplan_prodej!$F$88-3000*25)/11</f>
        <v>-10000</v>
      </c>
      <c r="T43" s="274">
        <f>-(Businessplan_prodej!$F$88-3000*25)/11</f>
        <v>-10000</v>
      </c>
      <c r="U43" s="274">
        <f>-(Businessplan_prodej!$F$88-3000*25)/11</f>
        <v>-10000</v>
      </c>
      <c r="V43" s="274">
        <f>-(Businessplan_prodej!$F$88-3000*25)/11</f>
        <v>-10000</v>
      </c>
      <c r="W43" s="274">
        <f>-(Businessplan_prodej!$F$88-3000*25)/11</f>
        <v>-10000</v>
      </c>
      <c r="X43" s="274">
        <f>-(Businessplan_prodej!$F$88-3000*25)/11</f>
        <v>-10000</v>
      </c>
      <c r="Y43" s="274">
        <f>-(Businessplan_prodej!$F$88-3000*25)/11</f>
        <v>-10000</v>
      </c>
      <c r="Z43" s="274">
        <f>-(Businessplan_prodej!$F$88-3000*25)/11</f>
        <v>-10000</v>
      </c>
      <c r="AA43" s="274">
        <f>-(Businessplan_prodej!$F$88-3000*25)/11</f>
        <v>-10000</v>
      </c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60"/>
      <c r="BY43" s="262">
        <f t="shared" si="17"/>
        <v>-160986</v>
      </c>
      <c r="BZ43" s="597"/>
      <c r="CA43" s="222"/>
      <c r="CB43" s="248"/>
      <c r="CC43" s="597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</row>
    <row r="44" spans="1:138" ht="15.95" outlineLevel="2">
      <c r="A44" s="505"/>
      <c r="B44" s="600"/>
      <c r="C44" s="273" t="s">
        <v>244</v>
      </c>
      <c r="D44" s="250" t="s">
        <v>223</v>
      </c>
      <c r="E44" s="251"/>
      <c r="F44" s="251"/>
      <c r="G44" s="251"/>
      <c r="H44" s="274">
        <f>-25000</f>
        <v>-25000</v>
      </c>
      <c r="I44" s="274"/>
      <c r="J44" s="274">
        <f>-27000</f>
        <v>-27000</v>
      </c>
      <c r="K44" s="274"/>
      <c r="L44" s="274"/>
      <c r="M44" s="274"/>
      <c r="N44" s="274"/>
      <c r="O44" s="274"/>
      <c r="P44" s="274"/>
      <c r="Q44" s="274">
        <f t="shared" ref="Q44:R44" si="19">-3000*25</f>
        <v>-75000</v>
      </c>
      <c r="R44" s="274">
        <f t="shared" si="19"/>
        <v>-75000</v>
      </c>
      <c r="S44" s="274"/>
      <c r="T44" s="274"/>
      <c r="U44" s="274"/>
      <c r="V44" s="274"/>
      <c r="W44" s="274"/>
      <c r="X44" s="274"/>
      <c r="Y44" s="274"/>
      <c r="Z44" s="274">
        <f>-50000*2</f>
        <v>-100000</v>
      </c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60"/>
      <c r="BY44" s="262">
        <f t="shared" si="17"/>
        <v>-302000</v>
      </c>
      <c r="BZ44" s="597"/>
      <c r="CA44" s="222"/>
      <c r="CB44" s="248"/>
      <c r="CC44" s="597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</row>
    <row r="45" spans="1:138" ht="15.95" outlineLevel="1">
      <c r="A45" s="505"/>
      <c r="B45" s="600"/>
      <c r="C45" s="249" t="s">
        <v>178</v>
      </c>
      <c r="D45" s="250" t="s">
        <v>223</v>
      </c>
      <c r="E45" s="251"/>
      <c r="F45" s="251"/>
      <c r="G45" s="251"/>
      <c r="H45" s="252">
        <f>-1000</f>
        <v>-1000</v>
      </c>
      <c r="I45" s="252"/>
      <c r="J45" s="252">
        <f>-100</f>
        <v>-100</v>
      </c>
      <c r="K45" s="252">
        <f>-7230</f>
        <v>-7230</v>
      </c>
      <c r="L45" s="252">
        <f>-1000-6742</f>
        <v>-7742</v>
      </c>
      <c r="M45" s="252">
        <f>-2000-20570-2000</f>
        <v>-24570</v>
      </c>
      <c r="N45" s="252">
        <f>-19360-1980</f>
        <v>-21340</v>
      </c>
      <c r="O45" s="252">
        <f>-7865-7000-19360-21780-43021</f>
        <v>-99026</v>
      </c>
      <c r="P45" s="252">
        <f>-Businessplan_prodej!$F$68/12*1.21</f>
        <v>-19052.833333333336</v>
      </c>
      <c r="Q45" s="252">
        <f t="shared" ref="Q45:R45" si="20">-3500*1.21</f>
        <v>-4235</v>
      </c>
      <c r="R45" s="252">
        <f t="shared" si="20"/>
        <v>-4235</v>
      </c>
      <c r="S45" s="252">
        <f t="shared" ref="S45:Z45" si="21">-3500*1.21-19360</f>
        <v>-23595</v>
      </c>
      <c r="T45" s="252">
        <f t="shared" si="21"/>
        <v>-23595</v>
      </c>
      <c r="U45" s="252">
        <f t="shared" si="21"/>
        <v>-23595</v>
      </c>
      <c r="V45" s="252">
        <f t="shared" si="21"/>
        <v>-23595</v>
      </c>
      <c r="W45" s="252">
        <f t="shared" si="21"/>
        <v>-23595</v>
      </c>
      <c r="X45" s="252">
        <f t="shared" si="21"/>
        <v>-23595</v>
      </c>
      <c r="Y45" s="252">
        <f t="shared" si="21"/>
        <v>-23595</v>
      </c>
      <c r="Z45" s="252">
        <f t="shared" si="21"/>
        <v>-23595</v>
      </c>
      <c r="AA45" s="252">
        <f>-3500*1.21</f>
        <v>-4235</v>
      </c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60"/>
      <c r="BY45" s="262">
        <f t="shared" si="17"/>
        <v>-381525.83333333337</v>
      </c>
      <c r="BZ45" s="597"/>
      <c r="CA45" s="222"/>
      <c r="CB45" s="248"/>
      <c r="CC45" s="597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</row>
    <row r="46" spans="1:138" ht="14.25" customHeight="1" outlineLevel="1">
      <c r="A46" s="505"/>
      <c r="B46" s="600"/>
      <c r="C46" s="249" t="s">
        <v>179</v>
      </c>
      <c r="D46" s="250" t="s">
        <v>223</v>
      </c>
      <c r="E46" s="251"/>
      <c r="F46" s="251"/>
      <c r="G46" s="251"/>
      <c r="H46" s="252">
        <f>-10188.2-65673</f>
        <v>-75861.2</v>
      </c>
      <c r="I46" s="252">
        <f>-6776</f>
        <v>-6776</v>
      </c>
      <c r="J46" s="252"/>
      <c r="K46" s="252">
        <f>-4900.5</f>
        <v>-4900.5</v>
      </c>
      <c r="L46" s="252"/>
      <c r="M46" s="252"/>
      <c r="N46" s="252"/>
      <c r="O46" s="252"/>
      <c r="P46" s="252"/>
      <c r="Q46" s="252">
        <f>-Businessplan_prodej!$F$69*0.3*1.21-$K$46</f>
        <v>-30435.809999999998</v>
      </c>
      <c r="R46" s="252">
        <f>-Businessplan_prodej!$F$69*0.2*1.21</f>
        <v>-23557.54</v>
      </c>
      <c r="S46" s="252"/>
      <c r="T46" s="252">
        <f>-Businessplan_prodej!$F$69*0.25*1.21</f>
        <v>-29446.924999999999</v>
      </c>
      <c r="U46" s="251"/>
      <c r="V46" s="251"/>
      <c r="W46" s="251"/>
      <c r="X46" s="251"/>
      <c r="Y46" s="251"/>
      <c r="Z46" s="252">
        <f>-Businessplan_prodej!$F$69*0.25*1.21</f>
        <v>-29446.924999999999</v>
      </c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60"/>
      <c r="BY46" s="262">
        <f t="shared" si="17"/>
        <v>-200424.89999999997</v>
      </c>
      <c r="BZ46" s="597"/>
      <c r="CA46" s="222"/>
      <c r="CB46" s="248"/>
      <c r="CC46" s="597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22"/>
      <c r="DJ46" s="222"/>
      <c r="DK46" s="222"/>
      <c r="DL46" s="222"/>
      <c r="DM46" s="222"/>
      <c r="DN46" s="222"/>
      <c r="DO46" s="222"/>
      <c r="DP46" s="222"/>
      <c r="DQ46" s="222"/>
      <c r="DR46" s="222"/>
      <c r="DS46" s="222"/>
      <c r="DT46" s="222"/>
      <c r="DU46" s="222"/>
      <c r="DV46" s="222"/>
      <c r="DW46" s="222"/>
      <c r="DX46" s="222"/>
      <c r="DY46" s="222"/>
      <c r="DZ46" s="222"/>
      <c r="EA46" s="222"/>
      <c r="EB46" s="222"/>
      <c r="EC46" s="222"/>
      <c r="ED46" s="222"/>
      <c r="EE46" s="222"/>
      <c r="EF46" s="222"/>
      <c r="EG46" s="222"/>
      <c r="EH46" s="222"/>
    </row>
    <row r="47" spans="1:138" ht="14.25" customHeight="1" outlineLevel="1">
      <c r="A47" s="505"/>
      <c r="B47" s="600"/>
      <c r="C47" s="249" t="s">
        <v>180</v>
      </c>
      <c r="D47" s="250" t="s">
        <v>223</v>
      </c>
      <c r="E47" s="251"/>
      <c r="F47" s="251"/>
      <c r="G47" s="251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>
        <f>-Businessplan_prodej!$F$91*0.2*1.21</f>
        <v>-43560</v>
      </c>
      <c r="T47" s="252"/>
      <c r="U47" s="251"/>
      <c r="V47" s="251"/>
      <c r="W47" s="252">
        <f>-Businessplan_prodej!$F$91*0.3*1.21</f>
        <v>-65340</v>
      </c>
      <c r="X47" s="251"/>
      <c r="Y47" s="252">
        <f>-Businessplan_prodej!$F$91*0.5*1.21</f>
        <v>-108900</v>
      </c>
      <c r="Z47" s="252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60"/>
      <c r="BY47" s="262">
        <f t="shared" si="17"/>
        <v>-217800</v>
      </c>
      <c r="BZ47" s="597"/>
      <c r="CA47" s="222"/>
      <c r="CB47" s="248"/>
      <c r="CC47" s="597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/>
      <c r="DU47" s="222"/>
      <c r="DV47" s="222"/>
      <c r="DW47" s="222"/>
      <c r="DX47" s="222"/>
      <c r="DY47" s="222"/>
      <c r="DZ47" s="222"/>
      <c r="EA47" s="222"/>
      <c r="EB47" s="222"/>
      <c r="EC47" s="222"/>
      <c r="ED47" s="222"/>
      <c r="EE47" s="222"/>
      <c r="EF47" s="222"/>
      <c r="EG47" s="222"/>
      <c r="EH47" s="222"/>
    </row>
    <row r="48" spans="1:138" ht="14.25" customHeight="1" outlineLevel="1">
      <c r="A48" s="505"/>
      <c r="B48" s="600"/>
      <c r="C48" s="249" t="s">
        <v>181</v>
      </c>
      <c r="D48" s="254" t="s">
        <v>223</v>
      </c>
      <c r="E48" s="251"/>
      <c r="F48" s="251"/>
      <c r="G48" s="251"/>
      <c r="H48" s="252"/>
      <c r="I48" s="252"/>
      <c r="J48" s="252"/>
      <c r="K48" s="252">
        <f>-((17529*2*25.2+44407*2)*1.21)*75%</f>
        <v>-882340.10700000008</v>
      </c>
      <c r="L48" s="252"/>
      <c r="M48" s="252"/>
      <c r="N48" s="252"/>
      <c r="O48" s="252"/>
      <c r="P48" s="252"/>
      <c r="Q48" s="252"/>
      <c r="R48" s="252">
        <f>-((17529*2*25.2+44407*2)*1.21)*25%</f>
        <v>-294113.36900000001</v>
      </c>
      <c r="S48" s="252">
        <f>-Businessplan_prodej!$F$92*0.5*1.21</f>
        <v>-470266.4757999999</v>
      </c>
      <c r="T48" s="252"/>
      <c r="U48" s="251"/>
      <c r="V48" s="251"/>
      <c r="W48" s="251"/>
      <c r="X48" s="251"/>
      <c r="Y48" s="251"/>
      <c r="Z48" s="252">
        <f>-Businessplan_prodej!$F$92*0.5*1.21</f>
        <v>-470266.4757999999</v>
      </c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60"/>
      <c r="BY48" s="262">
        <f t="shared" si="17"/>
        <v>-2116986.4276000001</v>
      </c>
      <c r="BZ48" s="597"/>
      <c r="CA48" s="222"/>
      <c r="CB48" s="248"/>
      <c r="CC48" s="597"/>
      <c r="CD48" s="222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2"/>
      <c r="CV48" s="222"/>
      <c r="CW48" s="222"/>
      <c r="CX48" s="222"/>
      <c r="CY48" s="222"/>
      <c r="CZ48" s="222"/>
      <c r="DA48" s="222"/>
      <c r="DB48" s="222"/>
      <c r="DC48" s="222"/>
      <c r="DD48" s="222"/>
      <c r="DE48" s="222"/>
      <c r="DF48" s="222"/>
      <c r="DG48" s="222"/>
      <c r="DH48" s="222"/>
      <c r="DI48" s="222"/>
      <c r="DJ48" s="222"/>
      <c r="DK48" s="222"/>
      <c r="DL48" s="222"/>
      <c r="DM48" s="222"/>
      <c r="DN48" s="222"/>
      <c r="DO48" s="222"/>
      <c r="DP48" s="222"/>
      <c r="DQ48" s="222"/>
      <c r="DR48" s="222"/>
      <c r="DS48" s="222"/>
      <c r="DT48" s="222"/>
      <c r="DU48" s="222"/>
      <c r="DV48" s="222"/>
      <c r="DW48" s="222"/>
      <c r="DX48" s="222"/>
      <c r="DY48" s="222"/>
      <c r="DZ48" s="222"/>
      <c r="EA48" s="222"/>
      <c r="EB48" s="222"/>
      <c r="EC48" s="222"/>
      <c r="ED48" s="222"/>
      <c r="EE48" s="222"/>
      <c r="EF48" s="222"/>
      <c r="EG48" s="222"/>
      <c r="EH48" s="222"/>
    </row>
    <row r="49" spans="1:138" ht="15.95" collapsed="1">
      <c r="A49" s="505"/>
      <c r="B49" s="600"/>
      <c r="C49" s="244" t="s">
        <v>245</v>
      </c>
      <c r="D49" s="245"/>
      <c r="E49" s="246">
        <f t="shared" ref="E49:BX49" si="22">SUM(E50:E54)</f>
        <v>0</v>
      </c>
      <c r="F49" s="246">
        <f t="shared" si="22"/>
        <v>0</v>
      </c>
      <c r="G49" s="246">
        <f t="shared" si="22"/>
        <v>0</v>
      </c>
      <c r="H49" s="246">
        <f t="shared" si="22"/>
        <v>-1442.155</v>
      </c>
      <c r="I49" s="246">
        <f t="shared" si="22"/>
        <v>-4792.1949999999997</v>
      </c>
      <c r="J49" s="246">
        <f t="shared" si="22"/>
        <v>-1444.855</v>
      </c>
      <c r="K49" s="246">
        <f t="shared" si="22"/>
        <v>-1290.27</v>
      </c>
      <c r="L49" s="246">
        <f t="shared" si="22"/>
        <v>-1842.35</v>
      </c>
      <c r="M49" s="246">
        <f t="shared" si="22"/>
        <v>-1088.2900000000002</v>
      </c>
      <c r="N49" s="246">
        <f t="shared" si="22"/>
        <v>-1844.5900000000001</v>
      </c>
      <c r="O49" s="246">
        <f t="shared" si="22"/>
        <v>-3360</v>
      </c>
      <c r="P49" s="246">
        <f t="shared" si="22"/>
        <v>-1290.27</v>
      </c>
      <c r="Q49" s="246">
        <f t="shared" si="22"/>
        <v>-1290.27</v>
      </c>
      <c r="R49" s="246">
        <f t="shared" si="22"/>
        <v>-1290.27</v>
      </c>
      <c r="S49" s="246">
        <f t="shared" si="22"/>
        <v>-1290.27</v>
      </c>
      <c r="T49" s="246">
        <f t="shared" si="22"/>
        <v>-1290.27</v>
      </c>
      <c r="U49" s="246">
        <f t="shared" si="22"/>
        <v>-1290.27</v>
      </c>
      <c r="V49" s="246">
        <f t="shared" si="22"/>
        <v>-1290.27</v>
      </c>
      <c r="W49" s="246">
        <f t="shared" si="22"/>
        <v>-1290.27</v>
      </c>
      <c r="X49" s="246">
        <f t="shared" si="22"/>
        <v>-1290.27</v>
      </c>
      <c r="Y49" s="246">
        <f t="shared" si="22"/>
        <v>-1290.27</v>
      </c>
      <c r="Z49" s="246">
        <f t="shared" si="22"/>
        <v>-1290.27</v>
      </c>
      <c r="AA49" s="246">
        <f t="shared" si="22"/>
        <v>-1290.27</v>
      </c>
      <c r="AB49" s="246">
        <f t="shared" si="22"/>
        <v>0</v>
      </c>
      <c r="AC49" s="246">
        <f t="shared" si="22"/>
        <v>0</v>
      </c>
      <c r="AD49" s="246">
        <f t="shared" si="22"/>
        <v>0</v>
      </c>
      <c r="AE49" s="246">
        <f t="shared" si="22"/>
        <v>0</v>
      </c>
      <c r="AF49" s="246">
        <f t="shared" si="22"/>
        <v>0</v>
      </c>
      <c r="AG49" s="246">
        <f t="shared" si="22"/>
        <v>0</v>
      </c>
      <c r="AH49" s="246">
        <f t="shared" si="22"/>
        <v>0</v>
      </c>
      <c r="AI49" s="246">
        <f t="shared" si="22"/>
        <v>0</v>
      </c>
      <c r="AJ49" s="246">
        <f t="shared" si="22"/>
        <v>0</v>
      </c>
      <c r="AK49" s="246">
        <f t="shared" si="22"/>
        <v>0</v>
      </c>
      <c r="AL49" s="246">
        <f t="shared" si="22"/>
        <v>0</v>
      </c>
      <c r="AM49" s="246">
        <f t="shared" si="22"/>
        <v>0</v>
      </c>
      <c r="AN49" s="246">
        <f t="shared" si="22"/>
        <v>0</v>
      </c>
      <c r="AO49" s="246">
        <f t="shared" si="22"/>
        <v>0</v>
      </c>
      <c r="AP49" s="246">
        <f t="shared" si="22"/>
        <v>0</v>
      </c>
      <c r="AQ49" s="246">
        <f t="shared" si="22"/>
        <v>0</v>
      </c>
      <c r="AR49" s="246">
        <f t="shared" si="22"/>
        <v>0</v>
      </c>
      <c r="AS49" s="246">
        <f t="shared" si="22"/>
        <v>0</v>
      </c>
      <c r="AT49" s="246">
        <f t="shared" si="22"/>
        <v>0</v>
      </c>
      <c r="AU49" s="246">
        <f t="shared" si="22"/>
        <v>0</v>
      </c>
      <c r="AV49" s="246">
        <f t="shared" si="22"/>
        <v>0</v>
      </c>
      <c r="AW49" s="246">
        <f t="shared" si="22"/>
        <v>0</v>
      </c>
      <c r="AX49" s="246">
        <f t="shared" si="22"/>
        <v>0</v>
      </c>
      <c r="AY49" s="246">
        <f t="shared" si="22"/>
        <v>0</v>
      </c>
      <c r="AZ49" s="246">
        <f t="shared" si="22"/>
        <v>0</v>
      </c>
      <c r="BA49" s="246">
        <f t="shared" si="22"/>
        <v>0</v>
      </c>
      <c r="BB49" s="246">
        <f t="shared" si="22"/>
        <v>0</v>
      </c>
      <c r="BC49" s="246">
        <f t="shared" si="22"/>
        <v>0</v>
      </c>
      <c r="BD49" s="246">
        <f t="shared" si="22"/>
        <v>0</v>
      </c>
      <c r="BE49" s="246">
        <f t="shared" si="22"/>
        <v>0</v>
      </c>
      <c r="BF49" s="246">
        <f t="shared" si="22"/>
        <v>0</v>
      </c>
      <c r="BG49" s="246">
        <f t="shared" si="22"/>
        <v>0</v>
      </c>
      <c r="BH49" s="246">
        <f t="shared" si="22"/>
        <v>0</v>
      </c>
      <c r="BI49" s="246">
        <f t="shared" si="22"/>
        <v>0</v>
      </c>
      <c r="BJ49" s="246">
        <f t="shared" si="22"/>
        <v>0</v>
      </c>
      <c r="BK49" s="246">
        <f t="shared" si="22"/>
        <v>0</v>
      </c>
      <c r="BL49" s="246">
        <f t="shared" si="22"/>
        <v>0</v>
      </c>
      <c r="BM49" s="246">
        <f t="shared" si="22"/>
        <v>0</v>
      </c>
      <c r="BN49" s="246">
        <f t="shared" si="22"/>
        <v>0</v>
      </c>
      <c r="BO49" s="246">
        <f t="shared" si="22"/>
        <v>0</v>
      </c>
      <c r="BP49" s="246">
        <f t="shared" si="22"/>
        <v>0</v>
      </c>
      <c r="BQ49" s="246">
        <f t="shared" si="22"/>
        <v>0</v>
      </c>
      <c r="BR49" s="246">
        <f t="shared" si="22"/>
        <v>0</v>
      </c>
      <c r="BS49" s="246">
        <f t="shared" si="22"/>
        <v>0</v>
      </c>
      <c r="BT49" s="246">
        <f t="shared" si="22"/>
        <v>0</v>
      </c>
      <c r="BU49" s="246">
        <f t="shared" si="22"/>
        <v>0</v>
      </c>
      <c r="BV49" s="246">
        <f t="shared" si="22"/>
        <v>0</v>
      </c>
      <c r="BW49" s="246">
        <f t="shared" si="22"/>
        <v>0</v>
      </c>
      <c r="BX49" s="246">
        <f t="shared" si="22"/>
        <v>0</v>
      </c>
      <c r="BY49" s="248">
        <f>SUM(BY50:BY54)</f>
        <v>-32587.945000000007</v>
      </c>
      <c r="BZ49" s="597"/>
      <c r="CA49" s="222"/>
      <c r="CB49" s="248"/>
      <c r="CC49" s="597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2"/>
      <c r="DE49" s="222"/>
      <c r="DF49" s="222"/>
      <c r="DG49" s="222"/>
      <c r="DH49" s="222"/>
      <c r="DI49" s="222"/>
      <c r="DJ49" s="222"/>
      <c r="DK49" s="222"/>
      <c r="DL49" s="222"/>
      <c r="DM49" s="222"/>
      <c r="DN49" s="222"/>
      <c r="DO49" s="222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2"/>
      <c r="EA49" s="222"/>
      <c r="EB49" s="222"/>
      <c r="EC49" s="222"/>
      <c r="ED49" s="222"/>
      <c r="EE49" s="222"/>
      <c r="EF49" s="222"/>
      <c r="EG49" s="222"/>
      <c r="EH49" s="222"/>
    </row>
    <row r="50" spans="1:138" ht="15.95" hidden="1" outlineLevel="1">
      <c r="A50" s="505"/>
      <c r="B50" s="600"/>
      <c r="C50" s="249" t="s">
        <v>183</v>
      </c>
      <c r="D50" s="250" t="s">
        <v>223</v>
      </c>
      <c r="E50" s="251"/>
      <c r="F50" s="251"/>
      <c r="G50" s="251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60"/>
      <c r="BY50" s="261">
        <f t="shared" ref="BY50:BY54" si="23">SUM(E50:BX50)</f>
        <v>0</v>
      </c>
      <c r="BZ50" s="597"/>
      <c r="CA50" s="222"/>
      <c r="CB50" s="248"/>
      <c r="CC50" s="597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22"/>
      <c r="DH50" s="222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</row>
    <row r="51" spans="1:138" ht="15.95" hidden="1" outlineLevel="1">
      <c r="A51" s="505"/>
      <c r="B51" s="600"/>
      <c r="C51" s="249" t="s">
        <v>246</v>
      </c>
      <c r="D51" s="250" t="s">
        <v>223</v>
      </c>
      <c r="E51" s="251"/>
      <c r="F51" s="251"/>
      <c r="G51" s="251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60"/>
      <c r="BY51" s="261">
        <f t="shared" si="23"/>
        <v>0</v>
      </c>
      <c r="BZ51" s="597"/>
      <c r="CA51" s="222"/>
      <c r="CB51" s="248"/>
      <c r="CC51" s="597"/>
      <c r="CD51" s="222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222"/>
      <c r="DJ51" s="222"/>
      <c r="DK51" s="222"/>
      <c r="DL51" s="222"/>
      <c r="DM51" s="222"/>
      <c r="DN51" s="222"/>
      <c r="DO51" s="222"/>
      <c r="DP51" s="222"/>
      <c r="DQ51" s="222"/>
      <c r="DR51" s="222"/>
      <c r="DS51" s="222"/>
      <c r="DT51" s="222"/>
      <c r="DU51" s="222"/>
      <c r="DV51" s="222"/>
      <c r="DW51" s="222"/>
      <c r="DX51" s="222"/>
      <c r="DY51" s="222"/>
      <c r="DZ51" s="222"/>
      <c r="EA51" s="222"/>
      <c r="EB51" s="222"/>
      <c r="EC51" s="222"/>
      <c r="ED51" s="222"/>
      <c r="EE51" s="222"/>
      <c r="EF51" s="222"/>
      <c r="EG51" s="222"/>
      <c r="EH51" s="222"/>
    </row>
    <row r="52" spans="1:138" ht="15.95" hidden="1" outlineLevel="1">
      <c r="A52" s="505"/>
      <c r="B52" s="600"/>
      <c r="C52" s="249" t="s">
        <v>247</v>
      </c>
      <c r="D52" s="250" t="s">
        <v>223</v>
      </c>
      <c r="E52" s="251"/>
      <c r="F52" s="251"/>
      <c r="G52" s="251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60"/>
      <c r="BY52" s="261">
        <f t="shared" si="23"/>
        <v>0</v>
      </c>
      <c r="BZ52" s="597"/>
      <c r="CA52" s="222"/>
      <c r="CB52" s="248"/>
      <c r="CC52" s="597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</row>
    <row r="53" spans="1:138" ht="15.95" hidden="1" outlineLevel="1">
      <c r="A53" s="505"/>
      <c r="B53" s="600"/>
      <c r="C53" s="249" t="s">
        <v>189</v>
      </c>
      <c r="D53" s="250" t="s">
        <v>223</v>
      </c>
      <c r="E53" s="251"/>
      <c r="F53" s="251"/>
      <c r="G53" s="251"/>
      <c r="H53" s="252">
        <f>-3-12-5-200-2-12-400-36-(0.02+0.09+0.21+17.06)*22-15.91*24.5</f>
        <v>-1442.155</v>
      </c>
      <c r="I53" s="252">
        <f>-6-5-200-12-400-24-2-16.19*24.5-17.57*22</f>
        <v>-1432.1949999999999</v>
      </c>
      <c r="J53" s="252">
        <f>-3-32-5-6-200-15-400-2-(0.01+0.08+15.98+0.2)*24.5-(0.02+0.09+0.21+17.1)*22</f>
        <v>-1444.855</v>
      </c>
      <c r="K53" s="252">
        <f>-20-12-3-200-2-400-10-2-10.9*24.5-17.01*22</f>
        <v>-1290.27</v>
      </c>
      <c r="L53" s="252">
        <f>-12-4-6-200-15-400-24-400-15.98*24.5-17.72*22</f>
        <v>-1842.35</v>
      </c>
      <c r="M53" s="252">
        <f>-40-200-15-2-12-400-10-2-400.11-(0.01+0.08+0.2+15.89)*25-(0.03-0.09-17.78-0.22)*22</f>
        <v>-1088.2900000000002</v>
      </c>
      <c r="N53" s="252">
        <f>-9-9-5-200-400-24-3-399.88-15.79*25-18.18*22</f>
        <v>-1844.5900000000001</v>
      </c>
      <c r="O53" s="252"/>
      <c r="P53" s="252">
        <f t="shared" ref="P53:AA53" si="24">-20-12-3-200-2-400-10-2-10.9*24.5-17.01*22</f>
        <v>-1290.27</v>
      </c>
      <c r="Q53" s="252">
        <f t="shared" si="24"/>
        <v>-1290.27</v>
      </c>
      <c r="R53" s="252">
        <f t="shared" si="24"/>
        <v>-1290.27</v>
      </c>
      <c r="S53" s="252">
        <f t="shared" si="24"/>
        <v>-1290.27</v>
      </c>
      <c r="T53" s="252">
        <f t="shared" si="24"/>
        <v>-1290.27</v>
      </c>
      <c r="U53" s="252">
        <f t="shared" si="24"/>
        <v>-1290.27</v>
      </c>
      <c r="V53" s="252">
        <f t="shared" si="24"/>
        <v>-1290.27</v>
      </c>
      <c r="W53" s="252">
        <f t="shared" si="24"/>
        <v>-1290.27</v>
      </c>
      <c r="X53" s="252">
        <f t="shared" si="24"/>
        <v>-1290.27</v>
      </c>
      <c r="Y53" s="252">
        <f t="shared" si="24"/>
        <v>-1290.27</v>
      </c>
      <c r="Z53" s="252">
        <f t="shared" si="24"/>
        <v>-1290.27</v>
      </c>
      <c r="AA53" s="252">
        <f t="shared" si="24"/>
        <v>-1290.27</v>
      </c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60"/>
      <c r="BY53" s="262">
        <f t="shared" si="23"/>
        <v>-25867.945000000007</v>
      </c>
      <c r="BZ53" s="597"/>
      <c r="CA53" s="222"/>
      <c r="CB53" s="248"/>
      <c r="CC53" s="597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</row>
    <row r="54" spans="1:138" ht="15.95" hidden="1" outlineLevel="1">
      <c r="A54" s="505"/>
      <c r="B54" s="600"/>
      <c r="C54" s="249" t="s">
        <v>190</v>
      </c>
      <c r="D54" s="254" t="s">
        <v>223</v>
      </c>
      <c r="E54" s="255"/>
      <c r="F54" s="255"/>
      <c r="G54" s="251"/>
      <c r="H54" s="252"/>
      <c r="I54" s="252">
        <f>-3360</f>
        <v>-3360</v>
      </c>
      <c r="J54" s="252"/>
      <c r="K54" s="252"/>
      <c r="L54" s="252"/>
      <c r="M54" s="252"/>
      <c r="N54" s="252"/>
      <c r="O54" s="252">
        <f>-3360</f>
        <v>-3360</v>
      </c>
      <c r="P54" s="252"/>
      <c r="Q54" s="252"/>
      <c r="R54" s="252"/>
      <c r="S54" s="252"/>
      <c r="T54" s="252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60"/>
      <c r="BY54" s="264">
        <f t="shared" si="23"/>
        <v>-6720</v>
      </c>
      <c r="BZ54" s="597"/>
      <c r="CA54" s="222"/>
      <c r="CB54" s="248"/>
      <c r="CC54" s="597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</row>
    <row r="55" spans="1:138" ht="15.95">
      <c r="A55" s="505"/>
      <c r="B55" s="600"/>
      <c r="C55" s="244" t="s">
        <v>248</v>
      </c>
      <c r="D55" s="245"/>
      <c r="E55" s="246">
        <f t="shared" ref="E55:BX55" si="25">SUM(E56:E62)</f>
        <v>0</v>
      </c>
      <c r="F55" s="246">
        <f t="shared" si="25"/>
        <v>0</v>
      </c>
      <c r="G55" s="246">
        <f t="shared" si="25"/>
        <v>0</v>
      </c>
      <c r="H55" s="246">
        <f t="shared" si="25"/>
        <v>0</v>
      </c>
      <c r="I55" s="246">
        <f t="shared" si="25"/>
        <v>0</v>
      </c>
      <c r="J55" s="246">
        <f t="shared" si="25"/>
        <v>0</v>
      </c>
      <c r="K55" s="246">
        <f t="shared" si="25"/>
        <v>0</v>
      </c>
      <c r="L55" s="246">
        <f t="shared" si="25"/>
        <v>0</v>
      </c>
      <c r="M55" s="246">
        <f t="shared" si="25"/>
        <v>-48944.520000000004</v>
      </c>
      <c r="N55" s="246">
        <f t="shared" si="25"/>
        <v>-123582.04</v>
      </c>
      <c r="O55" s="246">
        <f t="shared" si="25"/>
        <v>-10395.44</v>
      </c>
      <c r="P55" s="246">
        <f t="shared" si="25"/>
        <v>-280000.00000000006</v>
      </c>
      <c r="Q55" s="246">
        <f t="shared" si="25"/>
        <v>-300416.66666666674</v>
      </c>
      <c r="R55" s="246">
        <f t="shared" si="25"/>
        <v>-300416.66666666674</v>
      </c>
      <c r="S55" s="246">
        <f t="shared" si="25"/>
        <v>-259583.3333333334</v>
      </c>
      <c r="T55" s="246">
        <f t="shared" si="25"/>
        <v>-259583.3333333334</v>
      </c>
      <c r="U55" s="246">
        <f t="shared" si="25"/>
        <v>-259583.3333333334</v>
      </c>
      <c r="V55" s="246">
        <f t="shared" si="25"/>
        <v>-284471.33333333337</v>
      </c>
      <c r="W55" s="246">
        <f t="shared" si="25"/>
        <v>-309359.33333333337</v>
      </c>
      <c r="X55" s="246">
        <f t="shared" si="25"/>
        <v>-334247.33333333337</v>
      </c>
      <c r="Y55" s="246">
        <f t="shared" si="25"/>
        <v>-359135.33333333337</v>
      </c>
      <c r="Z55" s="246">
        <f t="shared" si="25"/>
        <v>-384023.33333333337</v>
      </c>
      <c r="AA55" s="246">
        <f t="shared" si="25"/>
        <v>-4897635.1161278533</v>
      </c>
      <c r="AB55" s="246">
        <f t="shared" si="25"/>
        <v>0</v>
      </c>
      <c r="AC55" s="246">
        <f t="shared" si="25"/>
        <v>0</v>
      </c>
      <c r="AD55" s="246">
        <f t="shared" si="25"/>
        <v>0</v>
      </c>
      <c r="AE55" s="246">
        <f t="shared" si="25"/>
        <v>0</v>
      </c>
      <c r="AF55" s="246">
        <f t="shared" si="25"/>
        <v>0</v>
      </c>
      <c r="AG55" s="246">
        <f t="shared" si="25"/>
        <v>0</v>
      </c>
      <c r="AH55" s="246">
        <f t="shared" si="25"/>
        <v>0</v>
      </c>
      <c r="AI55" s="246">
        <f t="shared" si="25"/>
        <v>0</v>
      </c>
      <c r="AJ55" s="246">
        <f t="shared" si="25"/>
        <v>0</v>
      </c>
      <c r="AK55" s="246">
        <f t="shared" si="25"/>
        <v>0</v>
      </c>
      <c r="AL55" s="246">
        <f t="shared" si="25"/>
        <v>0</v>
      </c>
      <c r="AM55" s="246">
        <f t="shared" si="25"/>
        <v>0</v>
      </c>
      <c r="AN55" s="246">
        <f t="shared" si="25"/>
        <v>0</v>
      </c>
      <c r="AO55" s="246">
        <f t="shared" si="25"/>
        <v>0</v>
      </c>
      <c r="AP55" s="246">
        <f t="shared" si="25"/>
        <v>0</v>
      </c>
      <c r="AQ55" s="246">
        <f t="shared" si="25"/>
        <v>0</v>
      </c>
      <c r="AR55" s="246">
        <f t="shared" si="25"/>
        <v>0</v>
      </c>
      <c r="AS55" s="246">
        <f t="shared" si="25"/>
        <v>0</v>
      </c>
      <c r="AT55" s="246">
        <f t="shared" si="25"/>
        <v>0</v>
      </c>
      <c r="AU55" s="246">
        <f t="shared" si="25"/>
        <v>0</v>
      </c>
      <c r="AV55" s="246">
        <f t="shared" si="25"/>
        <v>0</v>
      </c>
      <c r="AW55" s="246">
        <f t="shared" si="25"/>
        <v>0</v>
      </c>
      <c r="AX55" s="246">
        <f t="shared" si="25"/>
        <v>0</v>
      </c>
      <c r="AY55" s="246">
        <f t="shared" si="25"/>
        <v>0</v>
      </c>
      <c r="AZ55" s="246">
        <f t="shared" si="25"/>
        <v>0</v>
      </c>
      <c r="BA55" s="246">
        <f t="shared" si="25"/>
        <v>0</v>
      </c>
      <c r="BB55" s="246">
        <f t="shared" si="25"/>
        <v>0</v>
      </c>
      <c r="BC55" s="246">
        <f t="shared" si="25"/>
        <v>0</v>
      </c>
      <c r="BD55" s="246">
        <f t="shared" si="25"/>
        <v>0</v>
      </c>
      <c r="BE55" s="246">
        <f t="shared" si="25"/>
        <v>0</v>
      </c>
      <c r="BF55" s="246">
        <f t="shared" si="25"/>
        <v>0</v>
      </c>
      <c r="BG55" s="246">
        <f t="shared" si="25"/>
        <v>0</v>
      </c>
      <c r="BH55" s="246">
        <f t="shared" si="25"/>
        <v>0</v>
      </c>
      <c r="BI55" s="246">
        <f t="shared" si="25"/>
        <v>0</v>
      </c>
      <c r="BJ55" s="246">
        <f t="shared" si="25"/>
        <v>0</v>
      </c>
      <c r="BK55" s="246">
        <f t="shared" si="25"/>
        <v>0</v>
      </c>
      <c r="BL55" s="246">
        <f t="shared" si="25"/>
        <v>0</v>
      </c>
      <c r="BM55" s="246">
        <f t="shared" si="25"/>
        <v>0</v>
      </c>
      <c r="BN55" s="246">
        <f t="shared" si="25"/>
        <v>0</v>
      </c>
      <c r="BO55" s="246">
        <f t="shared" si="25"/>
        <v>0</v>
      </c>
      <c r="BP55" s="246">
        <f t="shared" si="25"/>
        <v>0</v>
      </c>
      <c r="BQ55" s="246">
        <f t="shared" si="25"/>
        <v>0</v>
      </c>
      <c r="BR55" s="246">
        <f t="shared" si="25"/>
        <v>0</v>
      </c>
      <c r="BS55" s="246">
        <f t="shared" si="25"/>
        <v>0</v>
      </c>
      <c r="BT55" s="246">
        <f t="shared" si="25"/>
        <v>0</v>
      </c>
      <c r="BU55" s="246">
        <f t="shared" si="25"/>
        <v>0</v>
      </c>
      <c r="BV55" s="246">
        <f t="shared" si="25"/>
        <v>0</v>
      </c>
      <c r="BW55" s="246">
        <f t="shared" si="25"/>
        <v>0</v>
      </c>
      <c r="BX55" s="246">
        <f t="shared" si="25"/>
        <v>0</v>
      </c>
      <c r="BY55" s="248">
        <f>SUM(BY56:BY62)</f>
        <v>-8411377.1161278561</v>
      </c>
      <c r="BZ55" s="597"/>
      <c r="CA55" s="222"/>
      <c r="CB55" s="248"/>
      <c r="CC55" s="597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222"/>
      <c r="DJ55" s="222"/>
      <c r="DK55" s="222"/>
      <c r="DL55" s="222"/>
      <c r="DM55" s="222"/>
      <c r="DN55" s="222"/>
      <c r="DO55" s="222"/>
      <c r="DP55" s="222"/>
      <c r="DQ55" s="222"/>
      <c r="DR55" s="222"/>
      <c r="DS55" s="222"/>
      <c r="DT55" s="222"/>
      <c r="DU55" s="222"/>
      <c r="DV55" s="222"/>
      <c r="DW55" s="222"/>
      <c r="DX55" s="222"/>
      <c r="DY55" s="222"/>
      <c r="DZ55" s="222"/>
      <c r="EA55" s="222"/>
      <c r="EB55" s="222"/>
      <c r="EC55" s="222"/>
      <c r="ED55" s="222"/>
      <c r="EE55" s="222"/>
      <c r="EF55" s="222"/>
      <c r="EG55" s="222"/>
      <c r="EH55" s="222"/>
    </row>
    <row r="56" spans="1:138" ht="15.95" outlineLevel="1">
      <c r="A56" s="505"/>
      <c r="B56" s="600"/>
      <c r="C56" s="249" t="s">
        <v>249</v>
      </c>
      <c r="D56" s="275">
        <v>0</v>
      </c>
      <c r="E56" s="251"/>
      <c r="F56" s="251"/>
      <c r="G56" s="251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1"/>
      <c r="V56" s="251"/>
      <c r="W56" s="251"/>
      <c r="X56" s="251"/>
      <c r="Y56" s="251"/>
      <c r="Z56" s="251"/>
      <c r="AA56" s="265">
        <f>-BY5*D57/365*CG27</f>
        <v>-1977699.2827945205</v>
      </c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76">
        <f t="shared" ref="BY56:BY62" si="26">SUM(E56:BX56)</f>
        <v>-1977699.2827945205</v>
      </c>
      <c r="BZ56" s="597"/>
      <c r="CA56" s="222"/>
      <c r="CB56" s="248"/>
      <c r="CC56" s="597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</row>
    <row r="57" spans="1:138" ht="15.95" outlineLevel="1">
      <c r="A57" s="505"/>
      <c r="B57" s="600"/>
      <c r="C57" s="249" t="s">
        <v>250</v>
      </c>
      <c r="D57" s="275">
        <v>0.11</v>
      </c>
      <c r="E57" s="251"/>
      <c r="F57" s="251"/>
      <c r="G57" s="251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1"/>
      <c r="V57" s="251"/>
      <c r="W57" s="251"/>
      <c r="X57" s="251"/>
      <c r="Y57" s="251"/>
      <c r="Z57" s="251"/>
      <c r="AA57" s="265">
        <f>-SUM(' Interest Calc Cash-flow Plan v'!E8:E23)-' Interest Calc Cash-flow Plan v'!E23</f>
        <v>-2535912.5</v>
      </c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76">
        <f t="shared" si="26"/>
        <v>-2535912.5</v>
      </c>
      <c r="BZ57" s="597"/>
      <c r="CA57" s="222"/>
      <c r="CB57" s="248"/>
      <c r="CC57" s="597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</row>
    <row r="58" spans="1:138" ht="15.95" outlineLevel="1">
      <c r="A58" s="505"/>
      <c r="B58" s="600"/>
      <c r="C58" s="249" t="s">
        <v>251</v>
      </c>
      <c r="D58" s="275">
        <v>0.11</v>
      </c>
      <c r="E58" s="251"/>
      <c r="F58" s="251"/>
      <c r="G58" s="251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76">
        <f t="shared" si="26"/>
        <v>0</v>
      </c>
      <c r="BZ58" s="597"/>
      <c r="CA58" s="222"/>
      <c r="CB58" s="248"/>
      <c r="CC58" s="597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</row>
    <row r="59" spans="1:138" ht="15.95" outlineLevel="1">
      <c r="A59" s="505"/>
      <c r="B59" s="600"/>
      <c r="C59" s="249" t="s">
        <v>252</v>
      </c>
      <c r="D59" s="275">
        <v>0.105</v>
      </c>
      <c r="E59" s="251"/>
      <c r="F59" s="251"/>
      <c r="G59" s="251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77">
        <f t="shared" si="26"/>
        <v>0</v>
      </c>
      <c r="BZ59" s="597"/>
      <c r="CA59" s="222"/>
      <c r="CB59" s="248"/>
      <c r="CC59" s="597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</row>
    <row r="60" spans="1:138" ht="15.95" outlineLevel="1">
      <c r="A60" s="505"/>
      <c r="B60" s="600"/>
      <c r="C60" s="249" t="s">
        <v>253</v>
      </c>
      <c r="D60" s="275">
        <v>0.15</v>
      </c>
      <c r="E60" s="251"/>
      <c r="F60" s="251"/>
      <c r="G60" s="251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78">
        <f t="shared" si="26"/>
        <v>0</v>
      </c>
      <c r="BZ60" s="597"/>
      <c r="CA60" s="222"/>
      <c r="CB60" s="248"/>
      <c r="CC60" s="597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</row>
    <row r="61" spans="1:138" ht="15.95" outlineLevel="1">
      <c r="A61" s="505"/>
      <c r="B61" s="600"/>
      <c r="C61" s="249" t="s">
        <v>254</v>
      </c>
      <c r="D61" s="279">
        <v>6.1199999999999997E-2</v>
      </c>
      <c r="E61" s="255"/>
      <c r="F61" s="255"/>
      <c r="G61" s="255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>
        <f>-U10*D61/12</f>
        <v>0</v>
      </c>
      <c r="V61" s="256">
        <f t="shared" ref="V61:AA61" si="27">-SUM($U$10:V10)*$D$61/12</f>
        <v>-24888</v>
      </c>
      <c r="W61" s="256">
        <f t="shared" si="27"/>
        <v>-49776</v>
      </c>
      <c r="X61" s="256">
        <f t="shared" si="27"/>
        <v>-74664</v>
      </c>
      <c r="Y61" s="256">
        <f t="shared" si="27"/>
        <v>-99552</v>
      </c>
      <c r="Z61" s="256">
        <f t="shared" si="27"/>
        <v>-124440</v>
      </c>
      <c r="AA61" s="256">
        <f t="shared" si="27"/>
        <v>-124440</v>
      </c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  <c r="BL61" s="251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78">
        <f t="shared" si="26"/>
        <v>-497760</v>
      </c>
      <c r="BZ61" s="597"/>
      <c r="CA61" s="222"/>
      <c r="CB61" s="248"/>
      <c r="CC61" s="597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</row>
    <row r="62" spans="1:138" ht="15.95" outlineLevel="1">
      <c r="A62" s="505"/>
      <c r="B62" s="600"/>
      <c r="C62" s="280" t="s">
        <v>255</v>
      </c>
      <c r="D62" s="281">
        <v>7.0000000000000007E-2</v>
      </c>
      <c r="E62" s="282"/>
      <c r="F62" s="282"/>
      <c r="G62" s="282"/>
      <c r="H62" s="283"/>
      <c r="I62" s="283"/>
      <c r="J62" s="283"/>
      <c r="K62" s="283"/>
      <c r="L62" s="283"/>
      <c r="M62" s="283">
        <f>-500-3013.89-17009.89-28420.74</f>
        <v>-48944.520000000004</v>
      </c>
      <c r="N62" s="361">
        <f>-500-3013.89-9715.85-35542.84-269.74-74539.72</f>
        <v>-123582.04</v>
      </c>
      <c r="O62" s="283">
        <f>-10395.44</f>
        <v>-10395.44</v>
      </c>
      <c r="P62" s="283">
        <v>-280000.00000000006</v>
      </c>
      <c r="Q62" s="283">
        <f t="shared" ref="Q62:R62" si="28">-SUM($K$11:Q11)*$D$62/12</f>
        <v>-300416.66666666674</v>
      </c>
      <c r="R62" s="283">
        <f t="shared" si="28"/>
        <v>-300416.66666666674</v>
      </c>
      <c r="S62" s="283">
        <f t="shared" ref="S62:AA62" si="29">(-SUM($K$11:S11)+7000000)*$D$62/12</f>
        <v>-259583.3333333334</v>
      </c>
      <c r="T62" s="283">
        <f t="shared" si="29"/>
        <v>-259583.3333333334</v>
      </c>
      <c r="U62" s="283">
        <f t="shared" si="29"/>
        <v>-259583.3333333334</v>
      </c>
      <c r="V62" s="283">
        <f t="shared" si="29"/>
        <v>-259583.3333333334</v>
      </c>
      <c r="W62" s="283">
        <f t="shared" si="29"/>
        <v>-259583.3333333334</v>
      </c>
      <c r="X62" s="283">
        <f t="shared" si="29"/>
        <v>-259583.3333333334</v>
      </c>
      <c r="Y62" s="283">
        <f t="shared" si="29"/>
        <v>-259583.3333333334</v>
      </c>
      <c r="Z62" s="283">
        <f t="shared" si="29"/>
        <v>-259583.3333333334</v>
      </c>
      <c r="AA62" s="283">
        <f t="shared" si="29"/>
        <v>-259583.3333333334</v>
      </c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4"/>
      <c r="BN62" s="284"/>
      <c r="BO62" s="284"/>
      <c r="BP62" s="284"/>
      <c r="BQ62" s="284"/>
      <c r="BR62" s="284"/>
      <c r="BS62" s="284"/>
      <c r="BT62" s="284"/>
      <c r="BU62" s="284"/>
      <c r="BV62" s="284"/>
      <c r="BW62" s="284"/>
      <c r="BX62" s="284"/>
      <c r="BY62" s="285">
        <f t="shared" si="26"/>
        <v>-3400005.3333333349</v>
      </c>
      <c r="BZ62" s="597"/>
      <c r="CA62" s="222"/>
      <c r="CB62" s="248"/>
      <c r="CC62" s="597"/>
      <c r="CD62" s="222"/>
      <c r="CE62" s="222"/>
      <c r="CF62" s="222"/>
      <c r="CG62" s="222"/>
      <c r="CH62" s="222"/>
      <c r="CI62" s="222"/>
      <c r="CJ62" s="222"/>
      <c r="CK62" s="222"/>
      <c r="CL62" s="222"/>
      <c r="CM62" s="222"/>
      <c r="CN62" s="222"/>
      <c r="CO62" s="222"/>
      <c r="CP62" s="222"/>
      <c r="CQ62" s="222"/>
      <c r="CR62" s="222"/>
      <c r="CS62" s="222"/>
      <c r="CT62" s="222"/>
      <c r="CU62" s="222"/>
      <c r="CV62" s="222"/>
      <c r="CW62" s="222"/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222"/>
      <c r="DT62" s="222"/>
      <c r="DU62" s="222"/>
      <c r="DV62" s="222"/>
      <c r="DW62" s="222"/>
      <c r="DX62" s="222"/>
      <c r="DY62" s="222"/>
      <c r="DZ62" s="222"/>
      <c r="EA62" s="222"/>
      <c r="EB62" s="222"/>
      <c r="EC62" s="222"/>
      <c r="ED62" s="222"/>
      <c r="EE62" s="222"/>
      <c r="EF62" s="222"/>
      <c r="EG62" s="222"/>
      <c r="EH62" s="222"/>
    </row>
    <row r="63" spans="1:138" ht="15.95" collapsed="1">
      <c r="A63" s="505"/>
      <c r="B63" s="600"/>
      <c r="C63" s="244" t="s">
        <v>256</v>
      </c>
      <c r="D63" s="245"/>
      <c r="E63" s="246">
        <f t="shared" ref="E63:BY63" si="30">SUM(E64:E86)</f>
        <v>0</v>
      </c>
      <c r="F63" s="246">
        <f t="shared" si="30"/>
        <v>0</v>
      </c>
      <c r="G63" s="246">
        <f t="shared" si="30"/>
        <v>0</v>
      </c>
      <c r="H63" s="246">
        <f t="shared" si="30"/>
        <v>0</v>
      </c>
      <c r="I63" s="246">
        <f t="shared" si="30"/>
        <v>0</v>
      </c>
      <c r="J63" s="246">
        <f t="shared" si="30"/>
        <v>0</v>
      </c>
      <c r="K63" s="246">
        <f t="shared" si="30"/>
        <v>0</v>
      </c>
      <c r="L63" s="246">
        <f t="shared" si="30"/>
        <v>0</v>
      </c>
      <c r="M63" s="246">
        <f t="shared" si="30"/>
        <v>0</v>
      </c>
      <c r="N63" s="246">
        <f t="shared" si="30"/>
        <v>0</v>
      </c>
      <c r="O63" s="246">
        <f t="shared" si="30"/>
        <v>0</v>
      </c>
      <c r="P63" s="246">
        <f t="shared" si="30"/>
        <v>0</v>
      </c>
      <c r="Q63" s="246">
        <f t="shared" si="30"/>
        <v>0</v>
      </c>
      <c r="R63" s="246">
        <f t="shared" si="30"/>
        <v>0</v>
      </c>
      <c r="S63" s="246">
        <f t="shared" si="30"/>
        <v>0</v>
      </c>
      <c r="T63" s="246">
        <f t="shared" si="30"/>
        <v>0</v>
      </c>
      <c r="U63" s="246">
        <f t="shared" si="30"/>
        <v>0</v>
      </c>
      <c r="V63" s="246">
        <f t="shared" si="30"/>
        <v>0</v>
      </c>
      <c r="W63" s="246">
        <f t="shared" si="30"/>
        <v>0</v>
      </c>
      <c r="X63" s="246">
        <f t="shared" si="30"/>
        <v>0</v>
      </c>
      <c r="Y63" s="246">
        <f t="shared" si="30"/>
        <v>0</v>
      </c>
      <c r="Z63" s="246">
        <f t="shared" si="30"/>
        <v>0</v>
      </c>
      <c r="AA63" s="246">
        <f t="shared" si="30"/>
        <v>-792643.69479999971</v>
      </c>
      <c r="AB63" s="246">
        <f t="shared" si="30"/>
        <v>0</v>
      </c>
      <c r="AC63" s="246">
        <f t="shared" si="30"/>
        <v>0</v>
      </c>
      <c r="AD63" s="246">
        <f t="shared" si="30"/>
        <v>0</v>
      </c>
      <c r="AE63" s="246">
        <f t="shared" si="30"/>
        <v>0</v>
      </c>
      <c r="AF63" s="246">
        <f t="shared" si="30"/>
        <v>0</v>
      </c>
      <c r="AG63" s="246">
        <f t="shared" si="30"/>
        <v>0</v>
      </c>
      <c r="AH63" s="246">
        <f t="shared" si="30"/>
        <v>0</v>
      </c>
      <c r="AI63" s="246">
        <f t="shared" si="30"/>
        <v>0</v>
      </c>
      <c r="AJ63" s="246">
        <f t="shared" si="30"/>
        <v>0</v>
      </c>
      <c r="AK63" s="246">
        <f t="shared" si="30"/>
        <v>0</v>
      </c>
      <c r="AL63" s="246">
        <f t="shared" si="30"/>
        <v>0</v>
      </c>
      <c r="AM63" s="246">
        <f t="shared" si="30"/>
        <v>0</v>
      </c>
      <c r="AN63" s="246">
        <f t="shared" si="30"/>
        <v>0</v>
      </c>
      <c r="AO63" s="246">
        <f t="shared" si="30"/>
        <v>0</v>
      </c>
      <c r="AP63" s="246">
        <f t="shared" si="30"/>
        <v>0</v>
      </c>
      <c r="AQ63" s="246">
        <f t="shared" si="30"/>
        <v>0</v>
      </c>
      <c r="AR63" s="246">
        <f t="shared" si="30"/>
        <v>0</v>
      </c>
      <c r="AS63" s="246">
        <f t="shared" si="30"/>
        <v>0</v>
      </c>
      <c r="AT63" s="246">
        <f t="shared" si="30"/>
        <v>0</v>
      </c>
      <c r="AU63" s="246">
        <f t="shared" si="30"/>
        <v>0</v>
      </c>
      <c r="AV63" s="246">
        <f t="shared" si="30"/>
        <v>0</v>
      </c>
      <c r="AW63" s="246">
        <f t="shared" si="30"/>
        <v>0</v>
      </c>
      <c r="AX63" s="246">
        <f t="shared" si="30"/>
        <v>0</v>
      </c>
      <c r="AY63" s="246">
        <f t="shared" si="30"/>
        <v>0</v>
      </c>
      <c r="AZ63" s="246">
        <f t="shared" si="30"/>
        <v>0</v>
      </c>
      <c r="BA63" s="246">
        <f t="shared" si="30"/>
        <v>0</v>
      </c>
      <c r="BB63" s="246">
        <f t="shared" si="30"/>
        <v>0</v>
      </c>
      <c r="BC63" s="246">
        <f t="shared" si="30"/>
        <v>0</v>
      </c>
      <c r="BD63" s="246">
        <f t="shared" si="30"/>
        <v>0</v>
      </c>
      <c r="BE63" s="246">
        <f t="shared" si="30"/>
        <v>0</v>
      </c>
      <c r="BF63" s="246">
        <f t="shared" si="30"/>
        <v>0</v>
      </c>
      <c r="BG63" s="246">
        <f t="shared" si="30"/>
        <v>0</v>
      </c>
      <c r="BH63" s="246">
        <f t="shared" si="30"/>
        <v>0</v>
      </c>
      <c r="BI63" s="246">
        <f t="shared" si="30"/>
        <v>0</v>
      </c>
      <c r="BJ63" s="246">
        <f t="shared" si="30"/>
        <v>0</v>
      </c>
      <c r="BK63" s="246">
        <f t="shared" si="30"/>
        <v>0</v>
      </c>
      <c r="BL63" s="246">
        <f t="shared" si="30"/>
        <v>0</v>
      </c>
      <c r="BM63" s="246">
        <f t="shared" si="30"/>
        <v>0</v>
      </c>
      <c r="BN63" s="246">
        <f t="shared" si="30"/>
        <v>0</v>
      </c>
      <c r="BO63" s="246">
        <f t="shared" si="30"/>
        <v>0</v>
      </c>
      <c r="BP63" s="246">
        <f t="shared" si="30"/>
        <v>0</v>
      </c>
      <c r="BQ63" s="246">
        <f t="shared" si="30"/>
        <v>0</v>
      </c>
      <c r="BR63" s="246">
        <f t="shared" si="30"/>
        <v>0</v>
      </c>
      <c r="BS63" s="246">
        <f t="shared" si="30"/>
        <v>0</v>
      </c>
      <c r="BT63" s="246">
        <f t="shared" si="30"/>
        <v>0</v>
      </c>
      <c r="BU63" s="246">
        <f t="shared" si="30"/>
        <v>0</v>
      </c>
      <c r="BV63" s="246">
        <f t="shared" si="30"/>
        <v>0</v>
      </c>
      <c r="BW63" s="246">
        <f t="shared" si="30"/>
        <v>0</v>
      </c>
      <c r="BX63" s="246">
        <f t="shared" si="30"/>
        <v>0</v>
      </c>
      <c r="BY63" s="247">
        <f t="shared" si="30"/>
        <v>-792643.69479999971</v>
      </c>
      <c r="BZ63" s="597"/>
      <c r="CA63" s="222"/>
      <c r="CB63" s="248"/>
      <c r="CC63" s="597"/>
      <c r="CD63" s="222"/>
      <c r="CE63" s="222">
        <v>-165083.33333333334</v>
      </c>
      <c r="CF63" s="222">
        <v>-215833.33333333337</v>
      </c>
      <c r="CG63" s="222">
        <v>-271833.33333333337</v>
      </c>
      <c r="CH63" s="222">
        <v>-280000.00000000006</v>
      </c>
      <c r="CI63" s="222">
        <v>-165083.33333333334</v>
      </c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2"/>
      <c r="DI63" s="222"/>
      <c r="DJ63" s="222"/>
      <c r="DK63" s="222"/>
      <c r="DL63" s="222"/>
      <c r="DM63" s="222"/>
      <c r="DN63" s="222"/>
      <c r="DO63" s="222"/>
      <c r="DP63" s="222"/>
      <c r="DQ63" s="222"/>
      <c r="DR63" s="222"/>
      <c r="DS63" s="222"/>
      <c r="DT63" s="222"/>
      <c r="DU63" s="222"/>
      <c r="DV63" s="222"/>
      <c r="DW63" s="222"/>
      <c r="DX63" s="222"/>
      <c r="DY63" s="222"/>
      <c r="DZ63" s="222"/>
      <c r="EA63" s="222"/>
      <c r="EB63" s="222"/>
      <c r="EC63" s="222"/>
      <c r="ED63" s="222"/>
      <c r="EE63" s="222"/>
      <c r="EF63" s="222"/>
      <c r="EG63" s="222"/>
      <c r="EH63" s="222"/>
    </row>
    <row r="64" spans="1:138" ht="15.95" hidden="1" outlineLevel="1">
      <c r="A64" s="505"/>
      <c r="B64" s="600"/>
      <c r="C64" s="286" t="s">
        <v>257</v>
      </c>
      <c r="D64" s="250" t="s">
        <v>223</v>
      </c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87">
        <f t="shared" ref="BY64:BY86" si="31">SUM(E64:BX64)</f>
        <v>0</v>
      </c>
      <c r="BZ64" s="597"/>
      <c r="CA64" s="222"/>
      <c r="CB64" s="248"/>
      <c r="CC64" s="597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</row>
    <row r="65" spans="1:138" ht="15.95" hidden="1" outlineLevel="1">
      <c r="A65" s="505"/>
      <c r="B65" s="600"/>
      <c r="C65" s="288" t="s">
        <v>258</v>
      </c>
      <c r="D65" s="250" t="s">
        <v>223</v>
      </c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87">
        <f t="shared" si="31"/>
        <v>0</v>
      </c>
      <c r="BZ65" s="597"/>
      <c r="CA65" s="222"/>
      <c r="CB65" s="248"/>
      <c r="CC65" s="597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2"/>
      <c r="DC65" s="222"/>
      <c r="DD65" s="222"/>
      <c r="DE65" s="222"/>
      <c r="DF65" s="222"/>
      <c r="DG65" s="222"/>
      <c r="DH65" s="222"/>
      <c r="DI65" s="222"/>
      <c r="DJ65" s="222"/>
      <c r="DK65" s="222"/>
      <c r="DL65" s="222"/>
      <c r="DM65" s="222"/>
      <c r="DN65" s="222"/>
      <c r="DO65" s="222"/>
      <c r="DP65" s="222"/>
      <c r="DQ65" s="222"/>
      <c r="DR65" s="222"/>
      <c r="DS65" s="222"/>
      <c r="DT65" s="222"/>
      <c r="DU65" s="222"/>
      <c r="DV65" s="222"/>
      <c r="DW65" s="222"/>
      <c r="DX65" s="222"/>
      <c r="DY65" s="222"/>
      <c r="DZ65" s="222"/>
      <c r="EA65" s="222"/>
      <c r="EB65" s="222"/>
      <c r="EC65" s="222"/>
      <c r="ED65" s="222"/>
      <c r="EE65" s="222"/>
      <c r="EF65" s="222"/>
      <c r="EG65" s="222"/>
      <c r="EH65" s="222"/>
    </row>
    <row r="66" spans="1:138" ht="15.95" hidden="1" outlineLevel="1">
      <c r="A66" s="505"/>
      <c r="B66" s="600"/>
      <c r="C66" s="288" t="s">
        <v>259</v>
      </c>
      <c r="D66" s="250" t="s">
        <v>223</v>
      </c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87">
        <f t="shared" si="31"/>
        <v>0</v>
      </c>
      <c r="BZ66" s="597"/>
      <c r="CA66" s="222"/>
      <c r="CB66" s="248"/>
      <c r="CC66" s="597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</row>
    <row r="67" spans="1:138" ht="15.95" hidden="1" outlineLevel="1">
      <c r="A67" s="505"/>
      <c r="B67" s="600"/>
      <c r="C67" s="288" t="s">
        <v>260</v>
      </c>
      <c r="D67" s="250" t="s">
        <v>223</v>
      </c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87">
        <f t="shared" si="31"/>
        <v>0</v>
      </c>
      <c r="BZ67" s="597"/>
      <c r="CA67" s="222"/>
      <c r="CB67" s="248"/>
      <c r="CC67" s="597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</row>
    <row r="68" spans="1:138" ht="15.95" hidden="1" outlineLevel="1">
      <c r="A68" s="505"/>
      <c r="B68" s="600"/>
      <c r="C68" s="288" t="s">
        <v>261</v>
      </c>
      <c r="D68" s="250" t="s">
        <v>223</v>
      </c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87">
        <f t="shared" si="31"/>
        <v>0</v>
      </c>
      <c r="BZ68" s="597"/>
      <c r="CA68" s="222"/>
      <c r="CB68" s="248"/>
      <c r="CC68" s="597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</row>
    <row r="69" spans="1:138" ht="15.95" hidden="1" outlineLevel="1">
      <c r="A69" s="505"/>
      <c r="B69" s="600"/>
      <c r="C69" s="288" t="s">
        <v>262</v>
      </c>
      <c r="D69" s="250" t="s">
        <v>223</v>
      </c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87">
        <f t="shared" si="31"/>
        <v>0</v>
      </c>
      <c r="BZ69" s="597"/>
      <c r="CA69" s="222"/>
      <c r="CB69" s="248"/>
      <c r="CC69" s="597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</row>
    <row r="70" spans="1:138" ht="15.95" hidden="1" outlineLevel="1">
      <c r="A70" s="505"/>
      <c r="B70" s="600"/>
      <c r="C70" s="288" t="s">
        <v>263</v>
      </c>
      <c r="D70" s="250" t="s">
        <v>223</v>
      </c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87">
        <f t="shared" si="31"/>
        <v>0</v>
      </c>
      <c r="BZ70" s="597"/>
      <c r="CA70" s="222"/>
      <c r="CB70" s="248"/>
      <c r="CC70" s="597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2"/>
      <c r="DI70" s="222"/>
      <c r="DJ70" s="222"/>
      <c r="DK70" s="222"/>
      <c r="DL70" s="222"/>
      <c r="DM70" s="222"/>
      <c r="DN70" s="222"/>
      <c r="DO70" s="222"/>
      <c r="DP70" s="222"/>
      <c r="DQ70" s="222"/>
      <c r="DR70" s="222"/>
      <c r="DS70" s="222"/>
      <c r="DT70" s="222"/>
      <c r="DU70" s="222"/>
      <c r="DV70" s="222"/>
      <c r="DW70" s="222"/>
      <c r="DX70" s="222"/>
      <c r="DY70" s="222"/>
      <c r="DZ70" s="222"/>
      <c r="EA70" s="222"/>
      <c r="EB70" s="222"/>
      <c r="EC70" s="222"/>
      <c r="ED70" s="222"/>
      <c r="EE70" s="222"/>
      <c r="EF70" s="222"/>
      <c r="EG70" s="222"/>
      <c r="EH70" s="222"/>
    </row>
    <row r="71" spans="1:138" ht="15.95" hidden="1" outlineLevel="1">
      <c r="A71" s="505"/>
      <c r="B71" s="600"/>
      <c r="C71" s="288" t="s">
        <v>264</v>
      </c>
      <c r="D71" s="250" t="s">
        <v>223</v>
      </c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87">
        <f t="shared" si="31"/>
        <v>0</v>
      </c>
      <c r="BZ71" s="597"/>
      <c r="CA71" s="222"/>
      <c r="CB71" s="248"/>
      <c r="CC71" s="597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D71" s="222"/>
      <c r="EE71" s="222"/>
      <c r="EF71" s="222"/>
      <c r="EG71" s="222"/>
      <c r="EH71" s="222"/>
    </row>
    <row r="72" spans="1:138" ht="15.95" hidden="1" outlineLevel="1">
      <c r="A72" s="505"/>
      <c r="B72" s="600"/>
      <c r="C72" s="288" t="s">
        <v>265</v>
      </c>
      <c r="D72" s="250" t="s">
        <v>223</v>
      </c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87">
        <f t="shared" si="31"/>
        <v>0</v>
      </c>
      <c r="BZ72" s="597"/>
      <c r="CA72" s="222"/>
      <c r="CB72" s="248"/>
      <c r="CC72" s="597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2"/>
      <c r="DI72" s="222"/>
      <c r="DJ72" s="222"/>
      <c r="DK72" s="222"/>
      <c r="DL72" s="222"/>
      <c r="DM72" s="222"/>
      <c r="DN72" s="222"/>
      <c r="DO72" s="222"/>
      <c r="DP72" s="222"/>
      <c r="DQ72" s="222"/>
      <c r="DR72" s="222"/>
      <c r="DS72" s="222"/>
      <c r="DT72" s="222"/>
      <c r="DU72" s="222"/>
      <c r="DV72" s="222"/>
      <c r="DW72" s="222"/>
      <c r="DX72" s="222"/>
      <c r="DY72" s="222"/>
      <c r="DZ72" s="222"/>
      <c r="EA72" s="222"/>
      <c r="EB72" s="222"/>
      <c r="EC72" s="222"/>
      <c r="ED72" s="222"/>
      <c r="EE72" s="222"/>
      <c r="EF72" s="222"/>
      <c r="EG72" s="222"/>
      <c r="EH72" s="222"/>
    </row>
    <row r="73" spans="1:138" ht="15.95" hidden="1" outlineLevel="1">
      <c r="A73" s="505"/>
      <c r="B73" s="600"/>
      <c r="C73" s="288" t="s">
        <v>266</v>
      </c>
      <c r="D73" s="250" t="s">
        <v>223</v>
      </c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87">
        <f t="shared" si="31"/>
        <v>0</v>
      </c>
      <c r="BZ73" s="597"/>
      <c r="CA73" s="222"/>
      <c r="CB73" s="248"/>
      <c r="CC73" s="597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  <c r="DI73" s="222"/>
      <c r="DJ73" s="222"/>
      <c r="DK73" s="222"/>
      <c r="DL73" s="222"/>
      <c r="DM73" s="222"/>
      <c r="DN73" s="222"/>
      <c r="DO73" s="222"/>
      <c r="DP73" s="222"/>
      <c r="DQ73" s="222"/>
      <c r="DR73" s="222"/>
      <c r="DS73" s="222"/>
      <c r="DT73" s="222"/>
      <c r="DU73" s="222"/>
      <c r="DV73" s="222"/>
      <c r="DW73" s="222"/>
      <c r="DX73" s="222"/>
      <c r="DY73" s="222"/>
      <c r="DZ73" s="222"/>
      <c r="EA73" s="222"/>
      <c r="EB73" s="222"/>
      <c r="EC73" s="222"/>
      <c r="ED73" s="222"/>
      <c r="EE73" s="222"/>
      <c r="EF73" s="222"/>
      <c r="EG73" s="222"/>
      <c r="EH73" s="222"/>
    </row>
    <row r="74" spans="1:138" ht="15.95" hidden="1" outlineLevel="1">
      <c r="A74" s="505"/>
      <c r="B74" s="600"/>
      <c r="C74" s="288" t="s">
        <v>267</v>
      </c>
      <c r="D74" s="250" t="s">
        <v>223</v>
      </c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87">
        <f t="shared" si="31"/>
        <v>0</v>
      </c>
      <c r="BZ74" s="597"/>
      <c r="CA74" s="222"/>
      <c r="CB74" s="248"/>
      <c r="CC74" s="597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2"/>
      <c r="DI74" s="222"/>
      <c r="DJ74" s="222"/>
      <c r="DK74" s="222"/>
      <c r="DL74" s="222"/>
      <c r="DM74" s="222"/>
      <c r="DN74" s="222"/>
      <c r="DO74" s="222"/>
      <c r="DP74" s="222"/>
      <c r="DQ74" s="222"/>
      <c r="DR74" s="222"/>
      <c r="DS74" s="222"/>
      <c r="DT74" s="222"/>
      <c r="DU74" s="222"/>
      <c r="DV74" s="222"/>
      <c r="DW74" s="222"/>
      <c r="DX74" s="222"/>
      <c r="DY74" s="222"/>
      <c r="DZ74" s="222"/>
      <c r="EA74" s="222"/>
      <c r="EB74" s="222"/>
      <c r="EC74" s="222"/>
      <c r="ED74" s="222"/>
      <c r="EE74" s="222"/>
      <c r="EF74" s="222"/>
      <c r="EG74" s="222"/>
      <c r="EH74" s="222"/>
    </row>
    <row r="75" spans="1:138" ht="15.95" hidden="1" outlineLevel="1">
      <c r="A75" s="505"/>
      <c r="B75" s="600"/>
      <c r="C75" s="288" t="s">
        <v>268</v>
      </c>
      <c r="D75" s="250" t="s">
        <v>223</v>
      </c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87">
        <f t="shared" si="31"/>
        <v>0</v>
      </c>
      <c r="BZ75" s="597"/>
      <c r="CA75" s="222"/>
      <c r="CB75" s="248"/>
      <c r="CC75" s="597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</row>
    <row r="76" spans="1:138" ht="15.95" hidden="1" outlineLevel="1">
      <c r="A76" s="505"/>
      <c r="B76" s="600"/>
      <c r="C76" s="288" t="s">
        <v>269</v>
      </c>
      <c r="D76" s="250" t="s">
        <v>223</v>
      </c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87">
        <f t="shared" si="31"/>
        <v>0</v>
      </c>
      <c r="BZ76" s="597"/>
      <c r="CA76" s="222"/>
      <c r="CB76" s="248"/>
      <c r="CC76" s="597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</row>
    <row r="77" spans="1:138" ht="15.95" hidden="1" outlineLevel="1">
      <c r="A77" s="505"/>
      <c r="B77" s="600"/>
      <c r="C77" s="288" t="s">
        <v>270</v>
      </c>
      <c r="D77" s="250" t="s">
        <v>223</v>
      </c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87">
        <f t="shared" si="31"/>
        <v>0</v>
      </c>
      <c r="BZ77" s="597"/>
      <c r="CA77" s="222"/>
      <c r="CB77" s="248"/>
      <c r="CC77" s="597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</row>
    <row r="78" spans="1:138" ht="15.95" hidden="1" outlineLevel="1">
      <c r="A78" s="505"/>
      <c r="B78" s="600"/>
      <c r="C78" s="288" t="s">
        <v>271</v>
      </c>
      <c r="D78" s="250" t="s">
        <v>223</v>
      </c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87">
        <f t="shared" si="31"/>
        <v>0</v>
      </c>
      <c r="BZ78" s="597"/>
      <c r="CA78" s="222"/>
      <c r="CB78" s="248"/>
      <c r="CC78" s="597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</row>
    <row r="79" spans="1:138" ht="15.95" hidden="1" outlineLevel="1">
      <c r="A79" s="505"/>
      <c r="B79" s="600"/>
      <c r="C79" s="288" t="s">
        <v>272</v>
      </c>
      <c r="D79" s="250" t="s">
        <v>223</v>
      </c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87">
        <f t="shared" si="31"/>
        <v>0</v>
      </c>
      <c r="BZ79" s="597"/>
      <c r="CA79" s="222"/>
      <c r="CB79" s="248"/>
      <c r="CC79" s="597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</row>
    <row r="80" spans="1:138" ht="15.95" hidden="1" outlineLevel="1">
      <c r="A80" s="505"/>
      <c r="B80" s="600"/>
      <c r="C80" s="288" t="s">
        <v>273</v>
      </c>
      <c r="D80" s="250" t="s">
        <v>223</v>
      </c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87">
        <f t="shared" si="31"/>
        <v>0</v>
      </c>
      <c r="BZ80" s="597"/>
      <c r="CA80" s="222"/>
      <c r="CB80" s="248"/>
      <c r="CC80" s="597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</row>
    <row r="81" spans="1:138" ht="15.95" hidden="1" outlineLevel="1">
      <c r="A81" s="505"/>
      <c r="B81" s="600"/>
      <c r="C81" s="288" t="s">
        <v>274</v>
      </c>
      <c r="D81" s="250" t="s">
        <v>223</v>
      </c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87">
        <f t="shared" si="31"/>
        <v>0</v>
      </c>
      <c r="BZ81" s="597"/>
      <c r="CA81" s="222"/>
      <c r="CB81" s="248"/>
      <c r="CC81" s="597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</row>
    <row r="82" spans="1:138" ht="15.95" hidden="1" outlineLevel="1">
      <c r="A82" s="505"/>
      <c r="B82" s="600"/>
      <c r="C82" s="289" t="s">
        <v>178</v>
      </c>
      <c r="D82" s="250" t="s">
        <v>223</v>
      </c>
      <c r="E82" s="252"/>
      <c r="F82" s="251"/>
      <c r="G82" s="251"/>
      <c r="H82" s="252"/>
      <c r="I82" s="252"/>
      <c r="J82" s="252"/>
      <c r="K82" s="252"/>
      <c r="L82" s="252"/>
      <c r="M82" s="252"/>
      <c r="N82" s="252"/>
      <c r="O82" s="252"/>
      <c r="P82" s="252"/>
      <c r="Q82" s="252">
        <f>-Businessplan_prodej!$N$19/12*1.21*Businessplan_prodej!$J$27</f>
        <v>0</v>
      </c>
      <c r="R82" s="252">
        <f>-Businessplan_prodej!$N$19/12*1.21*Businessplan_prodej!$J$27</f>
        <v>0</v>
      </c>
      <c r="S82" s="252">
        <f>-Businessplan_prodej!$N$19/12*1.21*Businessplan_prodej!$J$27</f>
        <v>0</v>
      </c>
      <c r="T82" s="252">
        <f>-Businessplan_prodej!$N$19/12*1.21*Businessplan_prodej!$J$27</f>
        <v>0</v>
      </c>
      <c r="U82" s="252">
        <f>-Businessplan_prodej!$N$19/12*1.21*Businessplan_prodej!$J$27</f>
        <v>0</v>
      </c>
      <c r="V82" s="252">
        <f>-Businessplan_prodej!$N$19/12*1.21*Businessplan_prodej!$J$27</f>
        <v>0</v>
      </c>
      <c r="W82" s="252">
        <f>-Businessplan_prodej!$N$19/12*1.21*Businessplan_prodej!$J$27</f>
        <v>0</v>
      </c>
      <c r="X82" s="252">
        <f>-Businessplan_prodej!$N$19/12*1.21*Businessplan_prodej!$J$27</f>
        <v>0</v>
      </c>
      <c r="Y82" s="252">
        <f>-Businessplan_prodej!$N$19/12*1.21*Businessplan_prodej!$J$27</f>
        <v>0</v>
      </c>
      <c r="Z82" s="252">
        <f>-Businessplan_prodej!$N$19/12*1.21*Businessplan_prodej!$J$27</f>
        <v>0</v>
      </c>
      <c r="AA82" s="252">
        <f>-Businessplan_prodej!$N$19/12*1.21</f>
        <v>-98230.703999999983</v>
      </c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87">
        <f t="shared" si="31"/>
        <v>-98230.703999999983</v>
      </c>
      <c r="BZ82" s="597"/>
      <c r="CA82" s="222"/>
      <c r="CB82" s="248"/>
      <c r="CC82" s="597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</row>
    <row r="83" spans="1:138" ht="15.95" hidden="1" outlineLevel="1">
      <c r="A83" s="505"/>
      <c r="B83" s="600"/>
      <c r="C83" s="288" t="s">
        <v>179</v>
      </c>
      <c r="D83" s="250" t="s">
        <v>223</v>
      </c>
      <c r="E83" s="252"/>
      <c r="F83" s="251"/>
      <c r="G83" s="251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87">
        <f t="shared" si="31"/>
        <v>0</v>
      </c>
      <c r="BZ83" s="597"/>
      <c r="CA83" s="222"/>
      <c r="CB83" s="248"/>
      <c r="CC83" s="597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</row>
    <row r="84" spans="1:138" ht="15.95" hidden="1" outlineLevel="1">
      <c r="A84" s="505"/>
      <c r="B84" s="600"/>
      <c r="C84" s="288" t="s">
        <v>189</v>
      </c>
      <c r="D84" s="250" t="s">
        <v>223</v>
      </c>
      <c r="E84" s="252"/>
      <c r="F84" s="251"/>
      <c r="G84" s="251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87">
        <f t="shared" si="31"/>
        <v>0</v>
      </c>
      <c r="BZ84" s="597"/>
      <c r="CA84" s="222"/>
      <c r="CB84" s="248"/>
      <c r="CC84" s="597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</row>
    <row r="85" spans="1:138" ht="15.95" hidden="1" outlineLevel="1">
      <c r="A85" s="505"/>
      <c r="B85" s="600"/>
      <c r="C85" s="288" t="s">
        <v>190</v>
      </c>
      <c r="D85" s="250" t="s">
        <v>223</v>
      </c>
      <c r="E85" s="252"/>
      <c r="F85" s="251"/>
      <c r="G85" s="251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87">
        <f t="shared" si="31"/>
        <v>0</v>
      </c>
      <c r="BZ85" s="597"/>
      <c r="CA85" s="222"/>
      <c r="CB85" s="248"/>
      <c r="CC85" s="597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</row>
    <row r="86" spans="1:138" ht="15.95" hidden="1" outlineLevel="1">
      <c r="A86" s="505"/>
      <c r="B86" s="600"/>
      <c r="C86" s="290" t="s">
        <v>275</v>
      </c>
      <c r="D86" s="254" t="s">
        <v>223</v>
      </c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>
        <f>Businessplan_prodej!N21</f>
        <v>-694412.99079999968</v>
      </c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87">
        <f t="shared" si="31"/>
        <v>-694412.99079999968</v>
      </c>
      <c r="BZ86" s="597"/>
      <c r="CA86" s="222"/>
      <c r="CB86" s="248"/>
      <c r="CC86" s="597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</row>
    <row r="87" spans="1:138" ht="15.95" collapsed="1">
      <c r="A87" s="505"/>
      <c r="B87" s="600"/>
      <c r="C87" s="244" t="s">
        <v>276</v>
      </c>
      <c r="D87" s="245"/>
      <c r="E87" s="246">
        <f t="shared" ref="E87:BY87" si="32">SUM(E88:E89)</f>
        <v>0</v>
      </c>
      <c r="F87" s="246">
        <f t="shared" si="32"/>
        <v>0</v>
      </c>
      <c r="G87" s="246">
        <f t="shared" si="32"/>
        <v>0</v>
      </c>
      <c r="H87" s="246">
        <f t="shared" si="32"/>
        <v>0</v>
      </c>
      <c r="I87" s="246">
        <f t="shared" si="32"/>
        <v>0</v>
      </c>
      <c r="J87" s="246">
        <f t="shared" si="32"/>
        <v>0</v>
      </c>
      <c r="K87" s="246">
        <f t="shared" si="32"/>
        <v>0</v>
      </c>
      <c r="L87" s="246">
        <f t="shared" si="32"/>
        <v>0</v>
      </c>
      <c r="M87" s="246">
        <f t="shared" si="32"/>
        <v>0</v>
      </c>
      <c r="N87" s="246">
        <f t="shared" si="32"/>
        <v>0</v>
      </c>
      <c r="O87" s="246">
        <f t="shared" si="32"/>
        <v>0</v>
      </c>
      <c r="P87" s="246">
        <f t="shared" si="32"/>
        <v>0</v>
      </c>
      <c r="Q87" s="246">
        <f t="shared" si="32"/>
        <v>0</v>
      </c>
      <c r="R87" s="246">
        <f t="shared" si="32"/>
        <v>0</v>
      </c>
      <c r="S87" s="246">
        <f t="shared" si="32"/>
        <v>0</v>
      </c>
      <c r="T87" s="246">
        <f t="shared" si="32"/>
        <v>0</v>
      </c>
      <c r="U87" s="246">
        <f t="shared" si="32"/>
        <v>0</v>
      </c>
      <c r="V87" s="246">
        <f t="shared" si="32"/>
        <v>0</v>
      </c>
      <c r="W87" s="246">
        <f t="shared" si="32"/>
        <v>0</v>
      </c>
      <c r="X87" s="246">
        <f t="shared" si="32"/>
        <v>0</v>
      </c>
      <c r="Y87" s="246">
        <f t="shared" si="32"/>
        <v>0</v>
      </c>
      <c r="Z87" s="246">
        <f t="shared" si="32"/>
        <v>0</v>
      </c>
      <c r="AA87" s="246">
        <f t="shared" si="32"/>
        <v>0</v>
      </c>
      <c r="AB87" s="246">
        <f t="shared" si="32"/>
        <v>0</v>
      </c>
      <c r="AC87" s="246">
        <f t="shared" si="32"/>
        <v>0</v>
      </c>
      <c r="AD87" s="246">
        <f t="shared" si="32"/>
        <v>0</v>
      </c>
      <c r="AE87" s="246">
        <f t="shared" si="32"/>
        <v>0</v>
      </c>
      <c r="AF87" s="246">
        <f t="shared" si="32"/>
        <v>0</v>
      </c>
      <c r="AG87" s="246">
        <f t="shared" si="32"/>
        <v>0</v>
      </c>
      <c r="AH87" s="246">
        <f t="shared" si="32"/>
        <v>0</v>
      </c>
      <c r="AI87" s="246">
        <f t="shared" si="32"/>
        <v>0</v>
      </c>
      <c r="AJ87" s="246">
        <f t="shared" si="32"/>
        <v>0</v>
      </c>
      <c r="AK87" s="246">
        <f t="shared" si="32"/>
        <v>0</v>
      </c>
      <c r="AL87" s="246">
        <f t="shared" si="32"/>
        <v>0</v>
      </c>
      <c r="AM87" s="246">
        <f t="shared" si="32"/>
        <v>0</v>
      </c>
      <c r="AN87" s="246">
        <f t="shared" si="32"/>
        <v>0</v>
      </c>
      <c r="AO87" s="246">
        <f t="shared" si="32"/>
        <v>0</v>
      </c>
      <c r="AP87" s="246">
        <f t="shared" si="32"/>
        <v>0</v>
      </c>
      <c r="AQ87" s="246">
        <f t="shared" si="32"/>
        <v>0</v>
      </c>
      <c r="AR87" s="246">
        <f t="shared" si="32"/>
        <v>0</v>
      </c>
      <c r="AS87" s="246">
        <f t="shared" si="32"/>
        <v>0</v>
      </c>
      <c r="AT87" s="246">
        <f t="shared" si="32"/>
        <v>0</v>
      </c>
      <c r="AU87" s="246">
        <f t="shared" si="32"/>
        <v>0</v>
      </c>
      <c r="AV87" s="246">
        <f t="shared" si="32"/>
        <v>0</v>
      </c>
      <c r="AW87" s="246">
        <f t="shared" si="32"/>
        <v>0</v>
      </c>
      <c r="AX87" s="246">
        <f t="shared" si="32"/>
        <v>0</v>
      </c>
      <c r="AY87" s="246">
        <f t="shared" si="32"/>
        <v>0</v>
      </c>
      <c r="AZ87" s="246">
        <f t="shared" si="32"/>
        <v>0</v>
      </c>
      <c r="BA87" s="246">
        <f t="shared" si="32"/>
        <v>0</v>
      </c>
      <c r="BB87" s="246">
        <f t="shared" si="32"/>
        <v>0</v>
      </c>
      <c r="BC87" s="246">
        <f t="shared" si="32"/>
        <v>0</v>
      </c>
      <c r="BD87" s="246">
        <f t="shared" si="32"/>
        <v>0</v>
      </c>
      <c r="BE87" s="246">
        <f t="shared" si="32"/>
        <v>0</v>
      </c>
      <c r="BF87" s="246">
        <f t="shared" si="32"/>
        <v>0</v>
      </c>
      <c r="BG87" s="246">
        <f t="shared" si="32"/>
        <v>0</v>
      </c>
      <c r="BH87" s="246">
        <f t="shared" si="32"/>
        <v>0</v>
      </c>
      <c r="BI87" s="246">
        <f t="shared" si="32"/>
        <v>0</v>
      </c>
      <c r="BJ87" s="246">
        <f t="shared" si="32"/>
        <v>0</v>
      </c>
      <c r="BK87" s="246">
        <f t="shared" si="32"/>
        <v>0</v>
      </c>
      <c r="BL87" s="246">
        <f t="shared" si="32"/>
        <v>0</v>
      </c>
      <c r="BM87" s="246">
        <f t="shared" si="32"/>
        <v>0</v>
      </c>
      <c r="BN87" s="246">
        <f t="shared" si="32"/>
        <v>0</v>
      </c>
      <c r="BO87" s="246">
        <f t="shared" si="32"/>
        <v>0</v>
      </c>
      <c r="BP87" s="246">
        <f t="shared" si="32"/>
        <v>0</v>
      </c>
      <c r="BQ87" s="246">
        <f t="shared" si="32"/>
        <v>0</v>
      </c>
      <c r="BR87" s="246">
        <f t="shared" si="32"/>
        <v>0</v>
      </c>
      <c r="BS87" s="246">
        <f t="shared" si="32"/>
        <v>0</v>
      </c>
      <c r="BT87" s="246">
        <f t="shared" si="32"/>
        <v>0</v>
      </c>
      <c r="BU87" s="246">
        <f t="shared" si="32"/>
        <v>0</v>
      </c>
      <c r="BV87" s="246">
        <f t="shared" si="32"/>
        <v>0</v>
      </c>
      <c r="BW87" s="246">
        <f t="shared" si="32"/>
        <v>0</v>
      </c>
      <c r="BX87" s="246">
        <f t="shared" si="32"/>
        <v>0</v>
      </c>
      <c r="BY87" s="247">
        <f t="shared" si="32"/>
        <v>0</v>
      </c>
      <c r="BZ87" s="597"/>
      <c r="CA87" s="222"/>
      <c r="CB87" s="248"/>
      <c r="CC87" s="597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</row>
    <row r="88" spans="1:138" ht="15.95" hidden="1" outlineLevel="1">
      <c r="A88" s="505"/>
      <c r="B88" s="600"/>
      <c r="C88" s="286" t="s">
        <v>277</v>
      </c>
      <c r="D88" s="250" t="s">
        <v>223</v>
      </c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  <c r="AR88" s="256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92">
        <f t="shared" ref="BY88:BY89" si="33">SUM(E88:BX88)</f>
        <v>0</v>
      </c>
      <c r="BZ88" s="597"/>
      <c r="CA88" s="222"/>
      <c r="CB88" s="248"/>
      <c r="CC88" s="597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</row>
    <row r="89" spans="1:138" ht="15.95" hidden="1" outlineLevel="1">
      <c r="A89" s="505"/>
      <c r="B89" s="600"/>
      <c r="C89" s="290" t="s">
        <v>278</v>
      </c>
      <c r="D89" s="254" t="s">
        <v>223</v>
      </c>
      <c r="E89" s="283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  <c r="BS89" s="284"/>
      <c r="BT89" s="284"/>
      <c r="BU89" s="284"/>
      <c r="BV89" s="284"/>
      <c r="BW89" s="284"/>
      <c r="BX89" s="284"/>
      <c r="BY89" s="293">
        <f t="shared" si="33"/>
        <v>0</v>
      </c>
      <c r="BZ89" s="592"/>
      <c r="CA89" s="222"/>
      <c r="CB89" s="248"/>
      <c r="CC89" s="59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</row>
    <row r="90" spans="1:138">
      <c r="A90" s="505"/>
      <c r="B90" s="600"/>
      <c r="C90" s="244" t="s">
        <v>279</v>
      </c>
      <c r="D90" s="245"/>
      <c r="E90" s="246">
        <f t="shared" ref="E90:BX90" si="34">SUM(E91:E97)</f>
        <v>0</v>
      </c>
      <c r="F90" s="246">
        <f t="shared" si="34"/>
        <v>0</v>
      </c>
      <c r="G90" s="246">
        <f t="shared" si="34"/>
        <v>0</v>
      </c>
      <c r="H90" s="246">
        <f t="shared" si="34"/>
        <v>0</v>
      </c>
      <c r="I90" s="246">
        <f t="shared" si="34"/>
        <v>0</v>
      </c>
      <c r="J90" s="246">
        <f t="shared" si="34"/>
        <v>0</v>
      </c>
      <c r="K90" s="246">
        <f t="shared" si="34"/>
        <v>0</v>
      </c>
      <c r="L90" s="246">
        <f t="shared" si="34"/>
        <v>0</v>
      </c>
      <c r="M90" s="246">
        <f t="shared" si="34"/>
        <v>0</v>
      </c>
      <c r="N90" s="246">
        <f t="shared" si="34"/>
        <v>0</v>
      </c>
      <c r="O90" s="246">
        <f t="shared" si="34"/>
        <v>0</v>
      </c>
      <c r="P90" s="246">
        <f t="shared" si="34"/>
        <v>0</v>
      </c>
      <c r="Q90" s="246">
        <f t="shared" si="34"/>
        <v>0</v>
      </c>
      <c r="R90" s="246">
        <f t="shared" si="34"/>
        <v>-7063574.6199300056</v>
      </c>
      <c r="S90" s="246">
        <f t="shared" si="34"/>
        <v>-54933.409454082517</v>
      </c>
      <c r="T90" s="246">
        <f t="shared" si="34"/>
        <v>-54933.409454082517</v>
      </c>
      <c r="U90" s="246">
        <f t="shared" si="34"/>
        <v>-54933.409454082517</v>
      </c>
      <c r="V90" s="246">
        <f t="shared" si="34"/>
        <v>-54933.409454082517</v>
      </c>
      <c r="W90" s="246">
        <f t="shared" si="34"/>
        <v>-54933.409454082517</v>
      </c>
      <c r="X90" s="246">
        <f t="shared" si="34"/>
        <v>-54933.409454082517</v>
      </c>
      <c r="Y90" s="246">
        <f t="shared" si="34"/>
        <v>-54933.409454082517</v>
      </c>
      <c r="Z90" s="246">
        <f t="shared" si="34"/>
        <v>-54933.409454082517</v>
      </c>
      <c r="AA90" s="246">
        <f t="shared" si="34"/>
        <v>-110690280.10443735</v>
      </c>
      <c r="AB90" s="246">
        <f t="shared" si="34"/>
        <v>0</v>
      </c>
      <c r="AC90" s="246">
        <f t="shared" si="34"/>
        <v>0</v>
      </c>
      <c r="AD90" s="246">
        <f t="shared" si="34"/>
        <v>0</v>
      </c>
      <c r="AE90" s="246">
        <f t="shared" si="34"/>
        <v>0</v>
      </c>
      <c r="AF90" s="246">
        <f t="shared" si="34"/>
        <v>0</v>
      </c>
      <c r="AG90" s="246">
        <f t="shared" si="34"/>
        <v>0</v>
      </c>
      <c r="AH90" s="246">
        <f t="shared" si="34"/>
        <v>0</v>
      </c>
      <c r="AI90" s="246">
        <f t="shared" si="34"/>
        <v>0</v>
      </c>
      <c r="AJ90" s="246">
        <f t="shared" si="34"/>
        <v>0</v>
      </c>
      <c r="AK90" s="246">
        <f t="shared" si="34"/>
        <v>0</v>
      </c>
      <c r="AL90" s="246">
        <f t="shared" si="34"/>
        <v>0</v>
      </c>
      <c r="AM90" s="246">
        <f t="shared" si="34"/>
        <v>0</v>
      </c>
      <c r="AN90" s="246">
        <f t="shared" si="34"/>
        <v>0</v>
      </c>
      <c r="AO90" s="246">
        <f t="shared" si="34"/>
        <v>0</v>
      </c>
      <c r="AP90" s="246">
        <f t="shared" si="34"/>
        <v>0</v>
      </c>
      <c r="AQ90" s="246">
        <f t="shared" si="34"/>
        <v>0</v>
      </c>
      <c r="AR90" s="246">
        <f t="shared" si="34"/>
        <v>0</v>
      </c>
      <c r="AS90" s="246">
        <f t="shared" si="34"/>
        <v>0</v>
      </c>
      <c r="AT90" s="246">
        <f t="shared" si="34"/>
        <v>0</v>
      </c>
      <c r="AU90" s="246">
        <f t="shared" si="34"/>
        <v>0</v>
      </c>
      <c r="AV90" s="246">
        <f t="shared" si="34"/>
        <v>0</v>
      </c>
      <c r="AW90" s="246">
        <f t="shared" si="34"/>
        <v>0</v>
      </c>
      <c r="AX90" s="246">
        <f t="shared" si="34"/>
        <v>0</v>
      </c>
      <c r="AY90" s="246">
        <f t="shared" si="34"/>
        <v>0</v>
      </c>
      <c r="AZ90" s="246">
        <f t="shared" si="34"/>
        <v>0</v>
      </c>
      <c r="BA90" s="246">
        <f t="shared" si="34"/>
        <v>0</v>
      </c>
      <c r="BB90" s="246">
        <f t="shared" si="34"/>
        <v>0</v>
      </c>
      <c r="BC90" s="246">
        <f t="shared" si="34"/>
        <v>0</v>
      </c>
      <c r="BD90" s="246">
        <f t="shared" si="34"/>
        <v>0</v>
      </c>
      <c r="BE90" s="246">
        <f t="shared" si="34"/>
        <v>0</v>
      </c>
      <c r="BF90" s="246">
        <f t="shared" si="34"/>
        <v>0</v>
      </c>
      <c r="BG90" s="246">
        <f t="shared" si="34"/>
        <v>0</v>
      </c>
      <c r="BH90" s="246">
        <f t="shared" si="34"/>
        <v>0</v>
      </c>
      <c r="BI90" s="246">
        <f t="shared" si="34"/>
        <v>0</v>
      </c>
      <c r="BJ90" s="246">
        <f t="shared" si="34"/>
        <v>0</v>
      </c>
      <c r="BK90" s="246">
        <f t="shared" si="34"/>
        <v>0</v>
      </c>
      <c r="BL90" s="246">
        <f t="shared" si="34"/>
        <v>0</v>
      </c>
      <c r="BM90" s="246">
        <f t="shared" si="34"/>
        <v>0</v>
      </c>
      <c r="BN90" s="246">
        <f t="shared" si="34"/>
        <v>0</v>
      </c>
      <c r="BO90" s="246">
        <f t="shared" si="34"/>
        <v>0</v>
      </c>
      <c r="BP90" s="246">
        <f t="shared" si="34"/>
        <v>0</v>
      </c>
      <c r="BQ90" s="246">
        <f t="shared" si="34"/>
        <v>0</v>
      </c>
      <c r="BR90" s="246">
        <f t="shared" si="34"/>
        <v>0</v>
      </c>
      <c r="BS90" s="246">
        <f t="shared" si="34"/>
        <v>0</v>
      </c>
      <c r="BT90" s="246">
        <f t="shared" si="34"/>
        <v>0</v>
      </c>
      <c r="BU90" s="246">
        <f t="shared" si="34"/>
        <v>0</v>
      </c>
      <c r="BV90" s="246">
        <f t="shared" si="34"/>
        <v>0</v>
      </c>
      <c r="BW90" s="246">
        <f t="shared" si="34"/>
        <v>0</v>
      </c>
      <c r="BX90" s="246">
        <f t="shared" si="34"/>
        <v>0</v>
      </c>
      <c r="BY90" s="564">
        <f>BZ17</f>
        <v>-124522534.58686118</v>
      </c>
      <c r="BZ90" s="599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</row>
    <row r="91" spans="1:138" outlineLevel="1">
      <c r="A91" s="505"/>
      <c r="B91" s="600"/>
      <c r="C91" s="249" t="s">
        <v>280</v>
      </c>
      <c r="D91" s="250" t="s">
        <v>223</v>
      </c>
      <c r="E91" s="251"/>
      <c r="F91" s="251"/>
      <c r="G91" s="251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1"/>
      <c r="V91" s="251"/>
      <c r="W91" s="251"/>
      <c r="X91" s="251"/>
      <c r="Y91" s="251"/>
      <c r="Z91" s="251"/>
      <c r="AA91" s="252">
        <f>-BY5-SUM(L91:Z91)</f>
        <v>-16365002</v>
      </c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2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60"/>
      <c r="BY91" s="292">
        <f t="shared" ref="BY91:BY97" si="35">SUM(E91:BX91)</f>
        <v>-16365002</v>
      </c>
      <c r="BZ91" s="562">
        <f>SUM(BY91:BY97)</f>
        <v>-118193322</v>
      </c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</row>
    <row r="92" spans="1:138" outlineLevel="1">
      <c r="A92" s="249" t="s">
        <v>281</v>
      </c>
      <c r="B92" s="600"/>
      <c r="C92" s="249" t="s">
        <v>282</v>
      </c>
      <c r="D92" s="250" t="s">
        <v>223</v>
      </c>
      <c r="E92" s="251"/>
      <c r="F92" s="251"/>
      <c r="G92" s="251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1"/>
      <c r="V92" s="251"/>
      <c r="W92" s="251"/>
      <c r="X92" s="251"/>
      <c r="Y92" s="251"/>
      <c r="Z92" s="251"/>
      <c r="AA92" s="252">
        <f>-BY6-SUM(E92:Z92)</f>
        <v>-25555000</v>
      </c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60"/>
      <c r="BY92" s="287">
        <f t="shared" si="35"/>
        <v>-25555000</v>
      </c>
      <c r="BZ92" s="597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</row>
    <row r="93" spans="1:138" outlineLevel="1">
      <c r="A93" s="249" t="s">
        <v>283</v>
      </c>
      <c r="B93" s="600"/>
      <c r="C93" s="289" t="s">
        <v>281</v>
      </c>
      <c r="D93" s="250" t="s">
        <v>223</v>
      </c>
      <c r="E93" s="251"/>
      <c r="F93" s="251"/>
      <c r="G93" s="251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1"/>
      <c r="V93" s="251"/>
      <c r="W93" s="251"/>
      <c r="X93" s="251"/>
      <c r="Y93" s="251"/>
      <c r="Z93" s="251"/>
      <c r="AA93" s="252">
        <f>-CF7</f>
        <v>0</v>
      </c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60"/>
      <c r="BY93" s="287">
        <f t="shared" si="35"/>
        <v>0</v>
      </c>
      <c r="BZ93" s="597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</row>
    <row r="94" spans="1:138" outlineLevel="1">
      <c r="A94" s="505"/>
      <c r="B94" s="600"/>
      <c r="C94" s="288" t="s">
        <v>283</v>
      </c>
      <c r="D94" s="250" t="s">
        <v>223</v>
      </c>
      <c r="E94" s="251"/>
      <c r="F94" s="251"/>
      <c r="G94" s="251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60"/>
      <c r="BY94" s="287">
        <f t="shared" si="35"/>
        <v>0</v>
      </c>
      <c r="BZ94" s="597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</row>
    <row r="95" spans="1:138" outlineLevel="1">
      <c r="A95" s="505"/>
      <c r="B95" s="600"/>
      <c r="C95" s="249" t="s">
        <v>284</v>
      </c>
      <c r="D95" s="250" t="s">
        <v>223</v>
      </c>
      <c r="E95" s="251"/>
      <c r="F95" s="251"/>
      <c r="G95" s="251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2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60"/>
      <c r="BY95" s="287">
        <f t="shared" si="35"/>
        <v>0</v>
      </c>
      <c r="BZ95" s="597"/>
      <c r="CA95" s="222"/>
      <c r="CB95" s="222"/>
      <c r="CC95" s="222"/>
      <c r="CD95" s="222"/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222"/>
      <c r="DU95" s="222"/>
      <c r="DV95" s="222"/>
      <c r="DW95" s="222"/>
      <c r="DX95" s="222"/>
      <c r="DY95" s="222"/>
      <c r="DZ95" s="222"/>
      <c r="EA95" s="222"/>
      <c r="EB95" s="222"/>
      <c r="EC95" s="222"/>
      <c r="ED95" s="222"/>
      <c r="EE95" s="222"/>
      <c r="EF95" s="222"/>
      <c r="EG95" s="222"/>
      <c r="EH95" s="222"/>
    </row>
    <row r="96" spans="1:138" outlineLevel="1">
      <c r="A96" s="505"/>
      <c r="B96" s="600"/>
      <c r="C96" s="249" t="s">
        <v>285</v>
      </c>
      <c r="D96" s="250" t="s">
        <v>223</v>
      </c>
      <c r="E96" s="251"/>
      <c r="F96" s="251"/>
      <c r="G96" s="251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1"/>
      <c r="V96" s="251"/>
      <c r="W96" s="251"/>
      <c r="X96" s="251"/>
      <c r="Y96" s="251"/>
      <c r="Z96" s="251"/>
      <c r="AA96" s="251">
        <f>-BY10-BY9</f>
        <v>-24773320</v>
      </c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2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60"/>
      <c r="BY96" s="294">
        <f t="shared" si="35"/>
        <v>-24773320</v>
      </c>
      <c r="BZ96" s="597"/>
      <c r="CA96" s="222"/>
      <c r="CB96" s="222"/>
      <c r="CC96" s="222"/>
      <c r="CD96" s="222"/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2"/>
      <c r="CQ96" s="222"/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2"/>
      <c r="DI96" s="222"/>
      <c r="DJ96" s="222"/>
      <c r="DK96" s="222"/>
      <c r="DL96" s="222"/>
      <c r="DM96" s="222"/>
      <c r="DN96" s="222"/>
      <c r="DO96" s="222"/>
      <c r="DP96" s="222"/>
      <c r="DQ96" s="222"/>
      <c r="DR96" s="222"/>
      <c r="DS96" s="222"/>
      <c r="DT96" s="222"/>
      <c r="DU96" s="222"/>
      <c r="DV96" s="222"/>
      <c r="DW96" s="222"/>
      <c r="DX96" s="222"/>
      <c r="DY96" s="222"/>
      <c r="DZ96" s="222"/>
      <c r="EA96" s="222"/>
      <c r="EB96" s="222"/>
      <c r="EC96" s="222"/>
      <c r="ED96" s="222"/>
      <c r="EE96" s="222"/>
      <c r="EF96" s="222"/>
      <c r="EG96" s="222"/>
      <c r="EH96" s="222"/>
    </row>
    <row r="97" spans="1:138" outlineLevel="1">
      <c r="A97" s="505"/>
      <c r="B97" s="601"/>
      <c r="C97" s="280" t="s">
        <v>286</v>
      </c>
      <c r="D97" s="295" t="s">
        <v>223</v>
      </c>
      <c r="E97" s="282"/>
      <c r="F97" s="282"/>
      <c r="G97" s="282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>
        <f>PMT($D$62/12,25*12,$BY11)-R62-7000000</f>
        <v>-7063574.6199300056</v>
      </c>
      <c r="S97" s="283">
        <f t="shared" ref="S97:Z97" si="36">(PMT($D$62/12,25*12,$BY11-7000000)-S62)</f>
        <v>-54933.409454082517</v>
      </c>
      <c r="T97" s="283">
        <f t="shared" si="36"/>
        <v>-54933.409454082517</v>
      </c>
      <c r="U97" s="283">
        <f t="shared" si="36"/>
        <v>-54933.409454082517</v>
      </c>
      <c r="V97" s="283">
        <f t="shared" si="36"/>
        <v>-54933.409454082517</v>
      </c>
      <c r="W97" s="283">
        <f t="shared" si="36"/>
        <v>-54933.409454082517</v>
      </c>
      <c r="X97" s="283">
        <f t="shared" si="36"/>
        <v>-54933.409454082517</v>
      </c>
      <c r="Y97" s="283">
        <f t="shared" si="36"/>
        <v>-54933.409454082517</v>
      </c>
      <c r="Z97" s="283">
        <f t="shared" si="36"/>
        <v>-54933.409454082517</v>
      </c>
      <c r="AA97" s="283">
        <f>-$BY$11-SUM($P$97:Z97)</f>
        <v>-43996958.104437344</v>
      </c>
      <c r="AB97" s="282"/>
      <c r="AC97" s="282"/>
      <c r="AD97" s="282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  <c r="BW97" s="282"/>
      <c r="BX97" s="284"/>
      <c r="BY97" s="264">
        <f t="shared" si="35"/>
        <v>-51500000.000000007</v>
      </c>
      <c r="BZ97" s="602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2"/>
      <c r="DI97" s="222"/>
      <c r="DJ97" s="222"/>
      <c r="DK97" s="222"/>
      <c r="DL97" s="222"/>
      <c r="DM97" s="222"/>
      <c r="DN97" s="222"/>
      <c r="DO97" s="222"/>
      <c r="DP97" s="222"/>
      <c r="DQ97" s="222"/>
      <c r="DR97" s="222"/>
      <c r="DS97" s="222"/>
      <c r="DT97" s="222"/>
      <c r="DU97" s="222"/>
      <c r="DV97" s="222"/>
      <c r="DW97" s="222"/>
      <c r="DX97" s="222"/>
      <c r="DY97" s="222"/>
      <c r="DZ97" s="222"/>
      <c r="EA97" s="222"/>
      <c r="EB97" s="222"/>
      <c r="EC97" s="222"/>
      <c r="ED97" s="222"/>
      <c r="EE97" s="222"/>
      <c r="EF97" s="222"/>
      <c r="EG97" s="222"/>
      <c r="EH97" s="222"/>
    </row>
    <row r="98" spans="1:138" ht="15.95">
      <c r="A98" s="505"/>
      <c r="B98" s="571" t="s">
        <v>287</v>
      </c>
      <c r="C98" s="592"/>
      <c r="D98" s="296" t="s">
        <v>223</v>
      </c>
      <c r="E98" s="297">
        <f t="shared" ref="E98:BX98" si="37">(E17+E23+E26+E34+E37+E49+E55+E63+E87+E90)</f>
        <v>0</v>
      </c>
      <c r="F98" s="297">
        <f t="shared" si="37"/>
        <v>0</v>
      </c>
      <c r="G98" s="297">
        <f t="shared" si="37"/>
        <v>0</v>
      </c>
      <c r="H98" s="297">
        <f t="shared" si="37"/>
        <v>-10737799.354999999</v>
      </c>
      <c r="I98" s="297">
        <f t="shared" si="37"/>
        <v>-1867696.1950000001</v>
      </c>
      <c r="J98" s="297">
        <f t="shared" si="37"/>
        <v>-1817623.665</v>
      </c>
      <c r="K98" s="297">
        <f t="shared" si="37"/>
        <v>-902873.87700000009</v>
      </c>
      <c r="L98" s="297">
        <f t="shared" si="37"/>
        <v>-5038194.0799999991</v>
      </c>
      <c r="M98" s="297">
        <f t="shared" si="37"/>
        <v>-10761502.959999999</v>
      </c>
      <c r="N98" s="297">
        <f t="shared" si="37"/>
        <v>-20069846.199999999</v>
      </c>
      <c r="O98" s="297">
        <f t="shared" si="37"/>
        <v>-9758870.4799999986</v>
      </c>
      <c r="P98" s="297">
        <f t="shared" si="37"/>
        <v>-10541712.106333332</v>
      </c>
      <c r="Q98" s="297">
        <f t="shared" si="37"/>
        <v>-7634592.0536666596</v>
      </c>
      <c r="R98" s="297">
        <f t="shared" si="37"/>
        <v>-9878583.805596672</v>
      </c>
      <c r="S98" s="297">
        <f t="shared" si="37"/>
        <v>-4908444.5785874147</v>
      </c>
      <c r="T98" s="297">
        <f t="shared" si="37"/>
        <v>-4424065.0277874153</v>
      </c>
      <c r="U98" s="297">
        <f t="shared" si="37"/>
        <v>-4394618.1027874155</v>
      </c>
      <c r="V98" s="297">
        <f t="shared" si="37"/>
        <v>-4419506.1027874155</v>
      </c>
      <c r="W98" s="297">
        <f t="shared" si="37"/>
        <v>-4509734.1027874155</v>
      </c>
      <c r="X98" s="297">
        <f t="shared" si="37"/>
        <v>-4469282.1027874155</v>
      </c>
      <c r="Y98" s="297">
        <f t="shared" si="37"/>
        <v>-4603070.1027874155</v>
      </c>
      <c r="Z98" s="297">
        <f t="shared" si="37"/>
        <v>-5118771.5035874145</v>
      </c>
      <c r="AA98" s="297">
        <f t="shared" si="37"/>
        <v>-116396084.1853652</v>
      </c>
      <c r="AB98" s="297">
        <f t="shared" si="37"/>
        <v>0</v>
      </c>
      <c r="AC98" s="297">
        <f t="shared" si="37"/>
        <v>0</v>
      </c>
      <c r="AD98" s="297">
        <f t="shared" si="37"/>
        <v>0</v>
      </c>
      <c r="AE98" s="297">
        <f t="shared" si="37"/>
        <v>0</v>
      </c>
      <c r="AF98" s="297">
        <f t="shared" si="37"/>
        <v>0</v>
      </c>
      <c r="AG98" s="297">
        <f t="shared" si="37"/>
        <v>0</v>
      </c>
      <c r="AH98" s="297">
        <f t="shared" si="37"/>
        <v>0</v>
      </c>
      <c r="AI98" s="297">
        <f t="shared" si="37"/>
        <v>0</v>
      </c>
      <c r="AJ98" s="297">
        <f t="shared" si="37"/>
        <v>0</v>
      </c>
      <c r="AK98" s="297">
        <f t="shared" si="37"/>
        <v>0</v>
      </c>
      <c r="AL98" s="297">
        <f t="shared" si="37"/>
        <v>0</v>
      </c>
      <c r="AM98" s="297">
        <f t="shared" si="37"/>
        <v>0</v>
      </c>
      <c r="AN98" s="297">
        <f t="shared" si="37"/>
        <v>0</v>
      </c>
      <c r="AO98" s="297">
        <f t="shared" si="37"/>
        <v>0</v>
      </c>
      <c r="AP98" s="297">
        <f t="shared" si="37"/>
        <v>0</v>
      </c>
      <c r="AQ98" s="297">
        <f t="shared" si="37"/>
        <v>0</v>
      </c>
      <c r="AR98" s="297">
        <f t="shared" si="37"/>
        <v>0</v>
      </c>
      <c r="AS98" s="297">
        <f t="shared" si="37"/>
        <v>0</v>
      </c>
      <c r="AT98" s="297">
        <f t="shared" si="37"/>
        <v>0</v>
      </c>
      <c r="AU98" s="297">
        <f t="shared" si="37"/>
        <v>0</v>
      </c>
      <c r="AV98" s="297">
        <f t="shared" si="37"/>
        <v>0</v>
      </c>
      <c r="AW98" s="297">
        <f t="shared" si="37"/>
        <v>0</v>
      </c>
      <c r="AX98" s="297">
        <f t="shared" si="37"/>
        <v>0</v>
      </c>
      <c r="AY98" s="297">
        <f t="shared" si="37"/>
        <v>0</v>
      </c>
      <c r="AZ98" s="297">
        <f t="shared" si="37"/>
        <v>0</v>
      </c>
      <c r="BA98" s="297">
        <f t="shared" si="37"/>
        <v>0</v>
      </c>
      <c r="BB98" s="297">
        <f t="shared" si="37"/>
        <v>0</v>
      </c>
      <c r="BC98" s="297">
        <f t="shared" si="37"/>
        <v>0</v>
      </c>
      <c r="BD98" s="297">
        <f t="shared" si="37"/>
        <v>0</v>
      </c>
      <c r="BE98" s="297">
        <f t="shared" si="37"/>
        <v>0</v>
      </c>
      <c r="BF98" s="297">
        <f t="shared" si="37"/>
        <v>0</v>
      </c>
      <c r="BG98" s="297">
        <f t="shared" si="37"/>
        <v>0</v>
      </c>
      <c r="BH98" s="297">
        <f t="shared" si="37"/>
        <v>0</v>
      </c>
      <c r="BI98" s="297">
        <f t="shared" si="37"/>
        <v>0</v>
      </c>
      <c r="BJ98" s="297">
        <f t="shared" si="37"/>
        <v>0</v>
      </c>
      <c r="BK98" s="297">
        <f t="shared" si="37"/>
        <v>0</v>
      </c>
      <c r="BL98" s="297">
        <f t="shared" si="37"/>
        <v>0</v>
      </c>
      <c r="BM98" s="297">
        <f t="shared" si="37"/>
        <v>0</v>
      </c>
      <c r="BN98" s="297">
        <f t="shared" si="37"/>
        <v>0</v>
      </c>
      <c r="BO98" s="297">
        <f t="shared" si="37"/>
        <v>0</v>
      </c>
      <c r="BP98" s="297">
        <f t="shared" si="37"/>
        <v>0</v>
      </c>
      <c r="BQ98" s="297">
        <f t="shared" si="37"/>
        <v>0</v>
      </c>
      <c r="BR98" s="297">
        <f t="shared" si="37"/>
        <v>0</v>
      </c>
      <c r="BS98" s="297">
        <f t="shared" si="37"/>
        <v>0</v>
      </c>
      <c r="BT98" s="297">
        <f t="shared" si="37"/>
        <v>0</v>
      </c>
      <c r="BU98" s="297">
        <f t="shared" si="37"/>
        <v>0</v>
      </c>
      <c r="BV98" s="297">
        <f t="shared" si="37"/>
        <v>0</v>
      </c>
      <c r="BW98" s="297">
        <f t="shared" si="37"/>
        <v>0</v>
      </c>
      <c r="BX98" s="297">
        <f t="shared" si="37"/>
        <v>0</v>
      </c>
      <c r="BY98" s="565">
        <f>BZ91</f>
        <v>-118193322</v>
      </c>
      <c r="BZ98" s="601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</row>
    <row r="99" spans="1:138" ht="15.95">
      <c r="A99" s="505"/>
      <c r="B99" s="507"/>
      <c r="C99" s="507"/>
      <c r="D99" s="298"/>
      <c r="E99" s="299"/>
      <c r="F99" s="299"/>
      <c r="G99" s="299"/>
      <c r="H99" s="299">
        <f>H98</f>
        <v>-10737799.354999999</v>
      </c>
      <c r="I99" s="299">
        <f t="shared" ref="I99:N99" si="38">H99+I98</f>
        <v>-12605495.549999999</v>
      </c>
      <c r="J99" s="299">
        <f t="shared" si="38"/>
        <v>-14423119.215</v>
      </c>
      <c r="K99" s="299">
        <f t="shared" si="38"/>
        <v>-15325993.092</v>
      </c>
      <c r="L99" s="299">
        <f t="shared" si="38"/>
        <v>-20364187.171999998</v>
      </c>
      <c r="M99" s="299">
        <f t="shared" si="38"/>
        <v>-31125690.131999999</v>
      </c>
      <c r="N99" s="299">
        <f t="shared" si="38"/>
        <v>-51195536.332000002</v>
      </c>
      <c r="O99" s="300"/>
      <c r="P99" s="300"/>
      <c r="Q99" s="300"/>
      <c r="R99" s="300"/>
      <c r="S99" s="300"/>
      <c r="T99" s="300"/>
      <c r="U99" s="299"/>
      <c r="V99" s="299"/>
      <c r="W99" s="299"/>
      <c r="X99" s="300"/>
      <c r="Y99" s="300"/>
      <c r="Z99" s="300"/>
      <c r="AA99" s="300"/>
      <c r="AB99" s="300"/>
      <c r="AC99" s="299"/>
      <c r="AD99" s="300"/>
      <c r="AE99" s="300"/>
      <c r="AF99" s="300"/>
      <c r="AG99" s="300"/>
      <c r="AH99" s="300"/>
      <c r="AI99" s="300"/>
      <c r="AJ99" s="300"/>
      <c r="AK99" s="300"/>
      <c r="AL99" s="300"/>
      <c r="AM99" s="300"/>
      <c r="AN99" s="300"/>
      <c r="AO99" s="299"/>
      <c r="AP99" s="300"/>
      <c r="AQ99" s="300"/>
      <c r="AR99" s="300"/>
      <c r="AS99" s="299"/>
      <c r="AT99" s="299"/>
      <c r="AU99" s="299"/>
      <c r="AV99" s="299"/>
      <c r="AW99" s="299"/>
      <c r="AX99" s="299"/>
      <c r="AY99" s="299"/>
      <c r="AZ99" s="299"/>
      <c r="BA99" s="299"/>
      <c r="BB99" s="299"/>
      <c r="BC99" s="299"/>
      <c r="BD99" s="299"/>
      <c r="BE99" s="299"/>
      <c r="BF99" s="299"/>
      <c r="BG99" s="299"/>
      <c r="BH99" s="299"/>
      <c r="BI99" s="299"/>
      <c r="BJ99" s="299"/>
      <c r="BK99" s="299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301"/>
      <c r="BW99" s="301"/>
      <c r="BX99" s="301"/>
      <c r="BY99" s="302"/>
      <c r="BZ99" s="302"/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2"/>
      <c r="DI99" s="222"/>
      <c r="DJ99" s="222"/>
      <c r="DK99" s="222"/>
      <c r="DL99" s="222"/>
      <c r="DM99" s="222"/>
      <c r="DN99" s="222"/>
      <c r="DO99" s="222"/>
      <c r="DP99" s="222"/>
      <c r="DQ99" s="222"/>
      <c r="DR99" s="222"/>
      <c r="DS99" s="222"/>
      <c r="DT99" s="222"/>
      <c r="DU99" s="222"/>
      <c r="DV99" s="222"/>
      <c r="DW99" s="222"/>
      <c r="DX99" s="222"/>
      <c r="DY99" s="222"/>
      <c r="DZ99" s="222"/>
      <c r="EA99" s="222"/>
      <c r="EB99" s="222"/>
      <c r="EC99" s="222"/>
      <c r="ED99" s="222"/>
      <c r="EE99" s="222"/>
      <c r="EF99" s="222"/>
      <c r="EG99" s="222"/>
      <c r="EH99" s="222"/>
    </row>
    <row r="100" spans="1:138" ht="15.95">
      <c r="A100" s="505"/>
      <c r="B100" s="572" t="s">
        <v>288</v>
      </c>
      <c r="C100" s="592"/>
      <c r="D100" s="303"/>
      <c r="E100" s="299">
        <f t="shared" ref="E100:BX100" si="39">E16+E98</f>
        <v>0</v>
      </c>
      <c r="F100" s="299">
        <f t="shared" si="39"/>
        <v>0</v>
      </c>
      <c r="G100" s="299">
        <f t="shared" si="39"/>
        <v>0</v>
      </c>
      <c r="H100" s="299">
        <f t="shared" si="39"/>
        <v>5627202.6450000014</v>
      </c>
      <c r="I100" s="299">
        <f t="shared" si="39"/>
        <v>-1861469.1950000001</v>
      </c>
      <c r="J100" s="299">
        <f t="shared" si="39"/>
        <v>-1803035.665</v>
      </c>
      <c r="K100" s="299">
        <f t="shared" si="39"/>
        <v>439594.12299999991</v>
      </c>
      <c r="L100" s="299">
        <f t="shared" si="39"/>
        <v>-3040677.0799999991</v>
      </c>
      <c r="M100" s="300">
        <f t="shared" si="39"/>
        <v>57291.090000001714</v>
      </c>
      <c r="N100" s="299">
        <f t="shared" si="39"/>
        <v>-75913.25</v>
      </c>
      <c r="O100" s="300">
        <f t="shared" si="39"/>
        <v>32310.750000001863</v>
      </c>
      <c r="P100" s="300">
        <f t="shared" si="39"/>
        <v>57337.571352617815</v>
      </c>
      <c r="Q100" s="300">
        <f t="shared" si="39"/>
        <v>12865305.028415989</v>
      </c>
      <c r="R100" s="300">
        <f t="shared" si="39"/>
        <v>-9066594.3549189866</v>
      </c>
      <c r="S100" s="300">
        <f t="shared" si="39"/>
        <v>-746521.72445518337</v>
      </c>
      <c r="T100" s="300">
        <f t="shared" si="39"/>
        <v>1158708.5460059736</v>
      </c>
      <c r="U100" s="299">
        <f t="shared" si="39"/>
        <v>347437.22020266764</v>
      </c>
      <c r="V100" s="299">
        <f t="shared" si="39"/>
        <v>1043371.3477497753</v>
      </c>
      <c r="W100" s="299">
        <f t="shared" si="39"/>
        <v>972920.72440266702</v>
      </c>
      <c r="X100" s="300">
        <f t="shared" si="39"/>
        <v>1038260.724402667</v>
      </c>
      <c r="Y100" s="300">
        <f t="shared" si="39"/>
        <v>940700.72440266702</v>
      </c>
      <c r="Z100" s="300">
        <f t="shared" si="39"/>
        <v>438547.32360266801</v>
      </c>
      <c r="AA100" s="300">
        <f t="shared" si="39"/>
        <v>23510769.704291493</v>
      </c>
      <c r="AB100" s="300">
        <f t="shared" si="39"/>
        <v>0</v>
      </c>
      <c r="AC100" s="299">
        <f t="shared" si="39"/>
        <v>0</v>
      </c>
      <c r="AD100" s="300">
        <f t="shared" si="39"/>
        <v>0</v>
      </c>
      <c r="AE100" s="300">
        <f t="shared" si="39"/>
        <v>0</v>
      </c>
      <c r="AF100" s="300">
        <f t="shared" si="39"/>
        <v>0</v>
      </c>
      <c r="AG100" s="300">
        <f t="shared" si="39"/>
        <v>0</v>
      </c>
      <c r="AH100" s="300">
        <f t="shared" si="39"/>
        <v>0</v>
      </c>
      <c r="AI100" s="300">
        <f t="shared" si="39"/>
        <v>0</v>
      </c>
      <c r="AJ100" s="300">
        <f t="shared" si="39"/>
        <v>0</v>
      </c>
      <c r="AK100" s="300">
        <f t="shared" si="39"/>
        <v>0</v>
      </c>
      <c r="AL100" s="300">
        <f t="shared" si="39"/>
        <v>0</v>
      </c>
      <c r="AM100" s="300">
        <f t="shared" si="39"/>
        <v>0</v>
      </c>
      <c r="AN100" s="300">
        <f t="shared" si="39"/>
        <v>0</v>
      </c>
      <c r="AO100" s="299">
        <f t="shared" si="39"/>
        <v>0</v>
      </c>
      <c r="AP100" s="300">
        <f t="shared" si="39"/>
        <v>0</v>
      </c>
      <c r="AQ100" s="300">
        <f t="shared" si="39"/>
        <v>0</v>
      </c>
      <c r="AR100" s="300">
        <f t="shared" si="39"/>
        <v>0</v>
      </c>
      <c r="AS100" s="299">
        <f t="shared" si="39"/>
        <v>0</v>
      </c>
      <c r="AT100" s="299">
        <f t="shared" si="39"/>
        <v>0</v>
      </c>
      <c r="AU100" s="299">
        <f t="shared" si="39"/>
        <v>0</v>
      </c>
      <c r="AV100" s="299">
        <f t="shared" si="39"/>
        <v>0</v>
      </c>
      <c r="AW100" s="299">
        <f t="shared" si="39"/>
        <v>0</v>
      </c>
      <c r="AX100" s="299">
        <f t="shared" si="39"/>
        <v>0</v>
      </c>
      <c r="AY100" s="299">
        <f t="shared" si="39"/>
        <v>0</v>
      </c>
      <c r="AZ100" s="299">
        <f t="shared" si="39"/>
        <v>0</v>
      </c>
      <c r="BA100" s="299">
        <f t="shared" si="39"/>
        <v>0</v>
      </c>
      <c r="BB100" s="299">
        <f t="shared" si="39"/>
        <v>0</v>
      </c>
      <c r="BC100" s="299">
        <f t="shared" si="39"/>
        <v>0</v>
      </c>
      <c r="BD100" s="299">
        <f t="shared" si="39"/>
        <v>0</v>
      </c>
      <c r="BE100" s="299">
        <f t="shared" si="39"/>
        <v>0</v>
      </c>
      <c r="BF100" s="299">
        <f t="shared" si="39"/>
        <v>0</v>
      </c>
      <c r="BG100" s="299">
        <f t="shared" si="39"/>
        <v>0</v>
      </c>
      <c r="BH100" s="299">
        <f t="shared" si="39"/>
        <v>0</v>
      </c>
      <c r="BI100" s="299">
        <f t="shared" si="39"/>
        <v>0</v>
      </c>
      <c r="BJ100" s="299">
        <f t="shared" si="39"/>
        <v>0</v>
      </c>
      <c r="BK100" s="299">
        <f t="shared" si="39"/>
        <v>0</v>
      </c>
      <c r="BL100" s="304">
        <f t="shared" si="39"/>
        <v>0</v>
      </c>
      <c r="BM100" s="304">
        <f t="shared" si="39"/>
        <v>0</v>
      </c>
      <c r="BN100" s="304">
        <f t="shared" si="39"/>
        <v>0</v>
      </c>
      <c r="BO100" s="304">
        <f t="shared" si="39"/>
        <v>0</v>
      </c>
      <c r="BP100" s="304">
        <f t="shared" si="39"/>
        <v>0</v>
      </c>
      <c r="BQ100" s="304">
        <f t="shared" si="39"/>
        <v>0</v>
      </c>
      <c r="BR100" s="304">
        <f t="shared" si="39"/>
        <v>0</v>
      </c>
      <c r="BS100" s="304">
        <f t="shared" si="39"/>
        <v>0</v>
      </c>
      <c r="BT100" s="304">
        <f t="shared" si="39"/>
        <v>0</v>
      </c>
      <c r="BU100" s="304">
        <f t="shared" si="39"/>
        <v>0</v>
      </c>
      <c r="BV100" s="304">
        <f t="shared" si="39"/>
        <v>0</v>
      </c>
      <c r="BW100" s="304">
        <f t="shared" si="39"/>
        <v>0</v>
      </c>
      <c r="BX100" s="304">
        <f t="shared" si="39"/>
        <v>0</v>
      </c>
      <c r="BY100" s="566">
        <f>BY16+BY90+BY98</f>
        <v>31472560.253454983</v>
      </c>
      <c r="BZ100" s="603"/>
      <c r="CA100" s="222"/>
      <c r="CB100" s="222"/>
      <c r="CC100" s="222"/>
      <c r="CD100" s="222"/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2"/>
      <c r="CQ100" s="222"/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E100" s="222"/>
      <c r="EF100" s="222"/>
      <c r="EG100" s="222"/>
      <c r="EH100" s="222"/>
    </row>
    <row r="101" spans="1:138">
      <c r="A101" s="505"/>
      <c r="B101" s="573" t="s">
        <v>289</v>
      </c>
      <c r="C101" s="592"/>
      <c r="D101" s="305"/>
      <c r="E101" s="306">
        <f>E100</f>
        <v>0</v>
      </c>
      <c r="F101" s="306">
        <f>F100+E101</f>
        <v>0</v>
      </c>
      <c r="G101" s="306">
        <f>655760.63+24.98*24.5-16.85*22</f>
        <v>656001.94000000006</v>
      </c>
      <c r="H101" s="306">
        <f>H100+G101-66</f>
        <v>6283138.5850000018</v>
      </c>
      <c r="I101" s="306">
        <f t="shared" ref="I101:BX101" si="40">I100+H101</f>
        <v>4421669.3900000015</v>
      </c>
      <c r="J101" s="306">
        <f t="shared" si="40"/>
        <v>2618633.7250000015</v>
      </c>
      <c r="K101" s="306">
        <f t="shared" si="40"/>
        <v>3058227.8480000012</v>
      </c>
      <c r="L101" s="306">
        <f t="shared" si="40"/>
        <v>17550.768000002019</v>
      </c>
      <c r="M101" s="306">
        <f t="shared" si="40"/>
        <v>74841.858000003733</v>
      </c>
      <c r="N101" s="306">
        <f t="shared" si="40"/>
        <v>-1071.3919999962673</v>
      </c>
      <c r="O101" s="306">
        <f t="shared" si="40"/>
        <v>31239.358000005595</v>
      </c>
      <c r="P101" s="306">
        <f t="shared" si="40"/>
        <v>88576.929352623411</v>
      </c>
      <c r="Q101" s="306">
        <f t="shared" si="40"/>
        <v>12953881.957768612</v>
      </c>
      <c r="R101" s="306">
        <f t="shared" si="40"/>
        <v>3887287.6028496251</v>
      </c>
      <c r="S101" s="306">
        <f t="shared" si="40"/>
        <v>3140765.8783944417</v>
      </c>
      <c r="T101" s="306">
        <f t="shared" si="40"/>
        <v>4299474.4244004153</v>
      </c>
      <c r="U101" s="306">
        <f t="shared" si="40"/>
        <v>4646911.6446030829</v>
      </c>
      <c r="V101" s="306">
        <f t="shared" si="40"/>
        <v>5690282.9923528582</v>
      </c>
      <c r="W101" s="306">
        <f t="shared" si="40"/>
        <v>6663203.7167555252</v>
      </c>
      <c r="X101" s="306">
        <f t="shared" si="40"/>
        <v>7701464.4411581922</v>
      </c>
      <c r="Y101" s="306">
        <f t="shared" si="40"/>
        <v>8642165.1655608602</v>
      </c>
      <c r="Z101" s="306">
        <f t="shared" si="40"/>
        <v>9080712.4891635291</v>
      </c>
      <c r="AA101" s="306">
        <f t="shared" si="40"/>
        <v>32591482.193455022</v>
      </c>
      <c r="AB101" s="306">
        <f t="shared" si="40"/>
        <v>32591482.193455022</v>
      </c>
      <c r="AC101" s="306">
        <f t="shared" si="40"/>
        <v>32591482.193455022</v>
      </c>
      <c r="AD101" s="306">
        <f t="shared" si="40"/>
        <v>32591482.193455022</v>
      </c>
      <c r="AE101" s="306">
        <f t="shared" si="40"/>
        <v>32591482.193455022</v>
      </c>
      <c r="AF101" s="306">
        <f t="shared" si="40"/>
        <v>32591482.193455022</v>
      </c>
      <c r="AG101" s="306">
        <f t="shared" si="40"/>
        <v>32591482.193455022</v>
      </c>
      <c r="AH101" s="306">
        <f t="shared" si="40"/>
        <v>32591482.193455022</v>
      </c>
      <c r="AI101" s="306">
        <f t="shared" si="40"/>
        <v>32591482.193455022</v>
      </c>
      <c r="AJ101" s="306">
        <f t="shared" si="40"/>
        <v>32591482.193455022</v>
      </c>
      <c r="AK101" s="306">
        <f t="shared" si="40"/>
        <v>32591482.193455022</v>
      </c>
      <c r="AL101" s="306">
        <f t="shared" si="40"/>
        <v>32591482.193455022</v>
      </c>
      <c r="AM101" s="306">
        <f t="shared" si="40"/>
        <v>32591482.193455022</v>
      </c>
      <c r="AN101" s="306">
        <f t="shared" si="40"/>
        <v>32591482.193455022</v>
      </c>
      <c r="AO101" s="306">
        <f t="shared" si="40"/>
        <v>32591482.193455022</v>
      </c>
      <c r="AP101" s="306">
        <f t="shared" si="40"/>
        <v>32591482.193455022</v>
      </c>
      <c r="AQ101" s="306">
        <f t="shared" si="40"/>
        <v>32591482.193455022</v>
      </c>
      <c r="AR101" s="306">
        <f t="shared" si="40"/>
        <v>32591482.193455022</v>
      </c>
      <c r="AS101" s="306">
        <f t="shared" si="40"/>
        <v>32591482.193455022</v>
      </c>
      <c r="AT101" s="306">
        <f t="shared" si="40"/>
        <v>32591482.193455022</v>
      </c>
      <c r="AU101" s="306">
        <f t="shared" si="40"/>
        <v>32591482.193455022</v>
      </c>
      <c r="AV101" s="306">
        <f t="shared" si="40"/>
        <v>32591482.193455022</v>
      </c>
      <c r="AW101" s="306">
        <f t="shared" si="40"/>
        <v>32591482.193455022</v>
      </c>
      <c r="AX101" s="306">
        <f t="shared" si="40"/>
        <v>32591482.193455022</v>
      </c>
      <c r="AY101" s="306">
        <f t="shared" si="40"/>
        <v>32591482.193455022</v>
      </c>
      <c r="AZ101" s="306">
        <f t="shared" si="40"/>
        <v>32591482.193455022</v>
      </c>
      <c r="BA101" s="306">
        <f t="shared" si="40"/>
        <v>32591482.193455022</v>
      </c>
      <c r="BB101" s="306">
        <f t="shared" si="40"/>
        <v>32591482.193455022</v>
      </c>
      <c r="BC101" s="306">
        <f t="shared" si="40"/>
        <v>32591482.193455022</v>
      </c>
      <c r="BD101" s="306">
        <f t="shared" si="40"/>
        <v>32591482.193455022</v>
      </c>
      <c r="BE101" s="306">
        <f t="shared" si="40"/>
        <v>32591482.193455022</v>
      </c>
      <c r="BF101" s="306">
        <f t="shared" si="40"/>
        <v>32591482.193455022</v>
      </c>
      <c r="BG101" s="306">
        <f t="shared" si="40"/>
        <v>32591482.193455022</v>
      </c>
      <c r="BH101" s="306">
        <f t="shared" si="40"/>
        <v>32591482.193455022</v>
      </c>
      <c r="BI101" s="306">
        <f t="shared" si="40"/>
        <v>32591482.193455022</v>
      </c>
      <c r="BJ101" s="306">
        <f t="shared" si="40"/>
        <v>32591482.193455022</v>
      </c>
      <c r="BK101" s="306">
        <f t="shared" si="40"/>
        <v>32591482.193455022</v>
      </c>
      <c r="BL101" s="306">
        <f t="shared" si="40"/>
        <v>32591482.193455022</v>
      </c>
      <c r="BM101" s="306">
        <f t="shared" si="40"/>
        <v>32591482.193455022</v>
      </c>
      <c r="BN101" s="306">
        <f t="shared" si="40"/>
        <v>32591482.193455022</v>
      </c>
      <c r="BO101" s="306">
        <f t="shared" si="40"/>
        <v>32591482.193455022</v>
      </c>
      <c r="BP101" s="306">
        <f t="shared" si="40"/>
        <v>32591482.193455022</v>
      </c>
      <c r="BQ101" s="306">
        <f t="shared" si="40"/>
        <v>32591482.193455022</v>
      </c>
      <c r="BR101" s="306">
        <f t="shared" si="40"/>
        <v>32591482.193455022</v>
      </c>
      <c r="BS101" s="306">
        <f t="shared" si="40"/>
        <v>32591482.193455022</v>
      </c>
      <c r="BT101" s="306">
        <f t="shared" si="40"/>
        <v>32591482.193455022</v>
      </c>
      <c r="BU101" s="306">
        <f t="shared" si="40"/>
        <v>32591482.193455022</v>
      </c>
      <c r="BV101" s="306">
        <f t="shared" si="40"/>
        <v>32591482.193455022</v>
      </c>
      <c r="BW101" s="306">
        <f t="shared" si="40"/>
        <v>32591482.193455022</v>
      </c>
      <c r="BX101" s="306">
        <f t="shared" si="40"/>
        <v>32591482.193455022</v>
      </c>
      <c r="BY101" s="222"/>
      <c r="BZ101" s="222"/>
      <c r="CA101" s="222"/>
      <c r="CB101" s="222"/>
      <c r="CC101" s="222"/>
      <c r="CD101" s="222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2"/>
      <c r="CV101" s="222"/>
      <c r="CW101" s="222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2"/>
      <c r="DI101" s="222"/>
      <c r="DJ101" s="222"/>
      <c r="DK101" s="222"/>
      <c r="DL101" s="222"/>
      <c r="DM101" s="222"/>
      <c r="DN101" s="222"/>
      <c r="DO101" s="222"/>
      <c r="DP101" s="222"/>
      <c r="DQ101" s="222"/>
      <c r="DR101" s="222"/>
      <c r="DS101" s="222"/>
      <c r="DT101" s="222"/>
      <c r="DU101" s="222"/>
      <c r="DV101" s="222"/>
      <c r="DW101" s="222"/>
      <c r="DX101" s="222"/>
      <c r="DY101" s="222"/>
      <c r="DZ101" s="222"/>
      <c r="EA101" s="222"/>
      <c r="EB101" s="222"/>
      <c r="EC101" s="222"/>
      <c r="ED101" s="222"/>
      <c r="EE101" s="222"/>
      <c r="EF101" s="222"/>
      <c r="EG101" s="222"/>
      <c r="EH101" s="222"/>
    </row>
    <row r="102" spans="1:138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307"/>
      <c r="BZ102" s="222">
        <f>T101-8333333</f>
        <v>-4033858.5755995847</v>
      </c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</row>
    <row r="103" spans="1:138" hidden="1">
      <c r="A103" s="222"/>
      <c r="B103" s="222"/>
      <c r="C103" s="222"/>
      <c r="D103" s="308" t="s">
        <v>290</v>
      </c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9"/>
      <c r="W103" s="309"/>
      <c r="X103" s="309"/>
      <c r="Y103" s="309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09"/>
      <c r="AR103" s="309"/>
      <c r="AS103" s="309"/>
      <c r="AT103" s="309"/>
      <c r="AU103" s="309"/>
      <c r="AV103" s="309"/>
      <c r="AW103" s="309"/>
      <c r="AX103" s="309"/>
      <c r="AY103" s="309"/>
      <c r="AZ103" s="309"/>
      <c r="BA103" s="309"/>
      <c r="BB103" s="309"/>
      <c r="BC103" s="309"/>
      <c r="BD103" s="309"/>
      <c r="BE103" s="309"/>
      <c r="BF103" s="309"/>
      <c r="BG103" s="309"/>
      <c r="BH103" s="309"/>
      <c r="BI103" s="309"/>
      <c r="BJ103" s="309"/>
      <c r="BK103" s="309"/>
      <c r="BL103" s="309"/>
      <c r="BM103" s="309"/>
      <c r="BN103" s="309"/>
      <c r="BO103" s="309"/>
      <c r="BP103" s="309"/>
      <c r="BQ103" s="309"/>
      <c r="BR103" s="309"/>
      <c r="BS103" s="309"/>
      <c r="BT103" s="309"/>
      <c r="BU103" s="309"/>
      <c r="BV103" s="309"/>
      <c r="BW103" s="309"/>
      <c r="BX103" s="309"/>
      <c r="BY103" s="307"/>
      <c r="BZ103" s="222"/>
      <c r="CA103" s="222"/>
      <c r="CB103" s="222"/>
      <c r="CC103" s="222"/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2"/>
      <c r="CV103" s="222"/>
      <c r="CW103" s="222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2"/>
      <c r="DI103" s="222"/>
      <c r="DJ103" s="222"/>
      <c r="DK103" s="222"/>
      <c r="DL103" s="222"/>
      <c r="DM103" s="222"/>
      <c r="DN103" s="222"/>
      <c r="DO103" s="222"/>
      <c r="DP103" s="222"/>
      <c r="DQ103" s="222"/>
      <c r="DR103" s="222"/>
      <c r="DS103" s="222"/>
      <c r="DT103" s="222"/>
      <c r="DU103" s="222"/>
      <c r="DV103" s="222"/>
      <c r="DW103" s="222"/>
      <c r="DX103" s="222"/>
      <c r="DY103" s="222"/>
      <c r="DZ103" s="222"/>
      <c r="EA103" s="222"/>
      <c r="EB103" s="222"/>
      <c r="EC103" s="222"/>
      <c r="ED103" s="222"/>
      <c r="EE103" s="222"/>
      <c r="EF103" s="222"/>
      <c r="EG103" s="222"/>
      <c r="EH103" s="222"/>
    </row>
    <row r="104" spans="1:138" hidden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307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</row>
    <row r="105" spans="1:138" hidden="1">
      <c r="A105" s="222"/>
      <c r="B105" s="222"/>
      <c r="C105" s="310" t="s">
        <v>291</v>
      </c>
      <c r="D105" s="311"/>
      <c r="E105" s="312">
        <f>E113+E131+E163+E179</f>
        <v>0</v>
      </c>
      <c r="F105" s="312">
        <f t="shared" ref="F105:BW105" si="41">F113+F179</f>
        <v>0</v>
      </c>
      <c r="G105" s="312">
        <f t="shared" si="41"/>
        <v>0</v>
      </c>
      <c r="H105" s="312">
        <f t="shared" si="41"/>
        <v>-5341205.5</v>
      </c>
      <c r="I105" s="312">
        <f t="shared" si="41"/>
        <v>0</v>
      </c>
      <c r="J105" s="312">
        <f t="shared" si="41"/>
        <v>0</v>
      </c>
      <c r="K105" s="312">
        <f t="shared" si="41"/>
        <v>-885000</v>
      </c>
      <c r="L105" s="312">
        <f t="shared" si="41"/>
        <v>-1940000</v>
      </c>
      <c r="M105" s="312">
        <f t="shared" si="41"/>
        <v>-4260000</v>
      </c>
      <c r="N105" s="312">
        <f t="shared" si="41"/>
        <v>0</v>
      </c>
      <c r="O105" s="312">
        <f t="shared" si="41"/>
        <v>-320000</v>
      </c>
      <c r="P105" s="312">
        <f t="shared" si="41"/>
        <v>-1050000</v>
      </c>
      <c r="Q105" s="312">
        <f t="shared" si="41"/>
        <v>-4550000</v>
      </c>
      <c r="R105" s="312">
        <f t="shared" si="41"/>
        <v>0</v>
      </c>
      <c r="S105" s="312">
        <f t="shared" si="41"/>
        <v>-3550000</v>
      </c>
      <c r="T105" s="312">
        <f t="shared" si="41"/>
        <v>441205.5</v>
      </c>
      <c r="U105" s="312">
        <f t="shared" si="41"/>
        <v>-4100000</v>
      </c>
      <c r="V105" s="312">
        <f t="shared" si="41"/>
        <v>0</v>
      </c>
      <c r="W105" s="312">
        <f t="shared" si="41"/>
        <v>0</v>
      </c>
      <c r="X105" s="312">
        <f t="shared" si="41"/>
        <v>0</v>
      </c>
      <c r="Y105" s="312">
        <f t="shared" si="41"/>
        <v>0</v>
      </c>
      <c r="Z105" s="312">
        <f t="shared" si="41"/>
        <v>0</v>
      </c>
      <c r="AA105" s="312">
        <f t="shared" si="41"/>
        <v>41920002</v>
      </c>
      <c r="AB105" s="312">
        <f t="shared" si="41"/>
        <v>0</v>
      </c>
      <c r="AC105" s="312">
        <f t="shared" si="41"/>
        <v>0</v>
      </c>
      <c r="AD105" s="312">
        <f t="shared" si="41"/>
        <v>0</v>
      </c>
      <c r="AE105" s="312">
        <f t="shared" si="41"/>
        <v>0</v>
      </c>
      <c r="AF105" s="312">
        <f t="shared" si="41"/>
        <v>0</v>
      </c>
      <c r="AG105" s="312">
        <f t="shared" si="41"/>
        <v>0</v>
      </c>
      <c r="AH105" s="312">
        <f t="shared" si="41"/>
        <v>0</v>
      </c>
      <c r="AI105" s="312">
        <f t="shared" si="41"/>
        <v>0</v>
      </c>
      <c r="AJ105" s="312">
        <f t="shared" si="41"/>
        <v>0</v>
      </c>
      <c r="AK105" s="312">
        <f t="shared" si="41"/>
        <v>0</v>
      </c>
      <c r="AL105" s="312">
        <f t="shared" si="41"/>
        <v>0</v>
      </c>
      <c r="AM105" s="312">
        <f t="shared" si="41"/>
        <v>0</v>
      </c>
      <c r="AN105" s="312">
        <f t="shared" si="41"/>
        <v>0</v>
      </c>
      <c r="AO105" s="312">
        <f t="shared" si="41"/>
        <v>0</v>
      </c>
      <c r="AP105" s="312">
        <f t="shared" si="41"/>
        <v>0</v>
      </c>
      <c r="AQ105" s="312">
        <f t="shared" si="41"/>
        <v>0</v>
      </c>
      <c r="AR105" s="312">
        <f t="shared" si="41"/>
        <v>0</v>
      </c>
      <c r="AS105" s="312">
        <f t="shared" si="41"/>
        <v>0</v>
      </c>
      <c r="AT105" s="312">
        <f t="shared" si="41"/>
        <v>0</v>
      </c>
      <c r="AU105" s="312">
        <f t="shared" si="41"/>
        <v>0</v>
      </c>
      <c r="AV105" s="312">
        <f t="shared" si="41"/>
        <v>0</v>
      </c>
      <c r="AW105" s="312">
        <f t="shared" si="41"/>
        <v>0</v>
      </c>
      <c r="AX105" s="312">
        <f t="shared" si="41"/>
        <v>0</v>
      </c>
      <c r="AY105" s="312">
        <f t="shared" si="41"/>
        <v>0</v>
      </c>
      <c r="AZ105" s="312">
        <f t="shared" si="41"/>
        <v>0</v>
      </c>
      <c r="BA105" s="312">
        <f t="shared" si="41"/>
        <v>0</v>
      </c>
      <c r="BB105" s="312">
        <f t="shared" si="41"/>
        <v>0</v>
      </c>
      <c r="BC105" s="312">
        <f t="shared" si="41"/>
        <v>0</v>
      </c>
      <c r="BD105" s="312">
        <f t="shared" si="41"/>
        <v>0</v>
      </c>
      <c r="BE105" s="312">
        <f t="shared" si="41"/>
        <v>0</v>
      </c>
      <c r="BF105" s="312">
        <f t="shared" si="41"/>
        <v>0</v>
      </c>
      <c r="BG105" s="312">
        <f t="shared" si="41"/>
        <v>0</v>
      </c>
      <c r="BH105" s="312">
        <f t="shared" si="41"/>
        <v>0</v>
      </c>
      <c r="BI105" s="312">
        <f t="shared" si="41"/>
        <v>0</v>
      </c>
      <c r="BJ105" s="312">
        <f t="shared" si="41"/>
        <v>0</v>
      </c>
      <c r="BK105" s="312">
        <f t="shared" si="41"/>
        <v>0</v>
      </c>
      <c r="BL105" s="312">
        <f t="shared" si="41"/>
        <v>0</v>
      </c>
      <c r="BM105" s="312">
        <f t="shared" si="41"/>
        <v>0</v>
      </c>
      <c r="BN105" s="312">
        <f t="shared" si="41"/>
        <v>0</v>
      </c>
      <c r="BO105" s="312">
        <f t="shared" si="41"/>
        <v>0</v>
      </c>
      <c r="BP105" s="312">
        <f t="shared" si="41"/>
        <v>0</v>
      </c>
      <c r="BQ105" s="312">
        <f t="shared" si="41"/>
        <v>0</v>
      </c>
      <c r="BR105" s="312">
        <f t="shared" si="41"/>
        <v>0</v>
      </c>
      <c r="BS105" s="312">
        <f t="shared" si="41"/>
        <v>0</v>
      </c>
      <c r="BT105" s="312">
        <f t="shared" si="41"/>
        <v>0</v>
      </c>
      <c r="BU105" s="312">
        <f t="shared" si="41"/>
        <v>0</v>
      </c>
      <c r="BV105" s="312">
        <f t="shared" si="41"/>
        <v>0</v>
      </c>
      <c r="BW105" s="312">
        <f t="shared" si="41"/>
        <v>0</v>
      </c>
      <c r="BX105" s="312">
        <f>BX113+BX179+BX101</f>
        <v>32591482.193455022</v>
      </c>
      <c r="BY105" s="307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</row>
    <row r="106" spans="1:138" hidden="1">
      <c r="A106" s="222"/>
      <c r="B106" s="222"/>
      <c r="C106" s="313" t="s">
        <v>292</v>
      </c>
      <c r="D106" s="574">
        <f>IRR(E105:BX105)*12</f>
        <v>0.55338179670393917</v>
      </c>
      <c r="E106" s="599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22"/>
      <c r="BU106" s="222"/>
      <c r="BV106" s="222"/>
      <c r="BW106" s="222"/>
      <c r="BX106" s="222"/>
      <c r="BY106" s="307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  <c r="DF106" s="222"/>
      <c r="DG106" s="222"/>
      <c r="DH106" s="222"/>
      <c r="DI106" s="222"/>
      <c r="DJ106" s="222"/>
      <c r="DK106" s="222"/>
      <c r="DL106" s="222"/>
      <c r="DM106" s="222"/>
      <c r="DN106" s="222"/>
      <c r="DO106" s="222"/>
      <c r="DP106" s="222"/>
      <c r="DQ106" s="222"/>
      <c r="DR106" s="222"/>
      <c r="DS106" s="222"/>
      <c r="DT106" s="222"/>
      <c r="DU106" s="222"/>
      <c r="DV106" s="222"/>
      <c r="DW106" s="222"/>
      <c r="DX106" s="222"/>
      <c r="DY106" s="222"/>
      <c r="DZ106" s="222"/>
      <c r="EA106" s="222"/>
      <c r="EB106" s="222"/>
      <c r="EC106" s="222"/>
      <c r="ED106" s="222"/>
      <c r="EE106" s="222"/>
      <c r="EF106" s="222"/>
      <c r="EG106" s="222"/>
      <c r="EH106" s="222"/>
    </row>
    <row r="107" spans="1:138" hidden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307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2"/>
      <c r="DD107" s="222"/>
      <c r="DE107" s="222"/>
      <c r="DF107" s="222"/>
      <c r="DG107" s="222"/>
      <c r="DH107" s="222"/>
      <c r="DI107" s="222"/>
      <c r="DJ107" s="222"/>
      <c r="DK107" s="222"/>
      <c r="DL107" s="222"/>
      <c r="DM107" s="222"/>
      <c r="DN107" s="222"/>
      <c r="DO107" s="222"/>
      <c r="DP107" s="222"/>
      <c r="DQ107" s="222"/>
      <c r="DR107" s="222"/>
      <c r="DS107" s="222"/>
      <c r="DT107" s="222"/>
      <c r="DU107" s="222"/>
      <c r="DV107" s="222"/>
      <c r="DW107" s="222"/>
      <c r="DX107" s="222"/>
      <c r="DY107" s="222"/>
      <c r="DZ107" s="222"/>
      <c r="EA107" s="222"/>
      <c r="EB107" s="222"/>
      <c r="EC107" s="222"/>
      <c r="ED107" s="222"/>
      <c r="EE107" s="222"/>
      <c r="EF107" s="222"/>
      <c r="EG107" s="222"/>
      <c r="EH107" s="222"/>
    </row>
    <row r="108" spans="1:138" hidden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2"/>
      <c r="BN108" s="222"/>
      <c r="BO108" s="222"/>
      <c r="BP108" s="222"/>
      <c r="BQ108" s="222"/>
      <c r="BR108" s="222"/>
      <c r="BS108" s="222"/>
      <c r="BT108" s="222"/>
      <c r="BU108" s="222"/>
      <c r="BV108" s="222"/>
      <c r="BW108" s="222"/>
      <c r="BX108" s="222"/>
      <c r="BY108" s="307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2"/>
      <c r="DD108" s="222"/>
      <c r="DE108" s="222"/>
      <c r="DF108" s="222"/>
      <c r="DG108" s="222"/>
      <c r="DH108" s="222"/>
      <c r="DI108" s="222"/>
      <c r="DJ108" s="222"/>
      <c r="DK108" s="222"/>
      <c r="DL108" s="222"/>
      <c r="DM108" s="222"/>
      <c r="DN108" s="222"/>
      <c r="DO108" s="222"/>
      <c r="DP108" s="222"/>
      <c r="DQ108" s="222"/>
      <c r="DR108" s="222"/>
      <c r="DS108" s="222"/>
      <c r="DT108" s="222"/>
      <c r="DU108" s="222"/>
      <c r="DV108" s="222"/>
      <c r="DW108" s="222"/>
      <c r="DX108" s="222"/>
      <c r="DY108" s="222"/>
      <c r="DZ108" s="222"/>
      <c r="EA108" s="222"/>
      <c r="EB108" s="222"/>
      <c r="EC108" s="222"/>
      <c r="ED108" s="222"/>
      <c r="EE108" s="222"/>
      <c r="EF108" s="222"/>
      <c r="EG108" s="222"/>
      <c r="EH108" s="222"/>
    </row>
    <row r="109" spans="1:138" ht="17.100000000000001" hidden="1">
      <c r="A109" s="222"/>
      <c r="B109" s="222"/>
      <c r="C109" s="310" t="s">
        <v>293</v>
      </c>
      <c r="D109" s="604"/>
      <c r="E109" s="598"/>
      <c r="F109" s="598"/>
      <c r="G109" s="598"/>
      <c r="H109" s="598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8"/>
      <c r="Z109" s="598"/>
      <c r="AA109" s="598"/>
      <c r="AB109" s="598"/>
      <c r="AC109" s="598"/>
      <c r="AD109" s="598"/>
      <c r="AE109" s="598"/>
      <c r="AF109" s="598"/>
      <c r="AG109" s="598"/>
      <c r="AH109" s="598"/>
      <c r="AI109" s="598"/>
      <c r="AJ109" s="598"/>
      <c r="AK109" s="598"/>
      <c r="AL109" s="598"/>
      <c r="AM109" s="598"/>
      <c r="AN109" s="598"/>
      <c r="AO109" s="598"/>
      <c r="AP109" s="598"/>
      <c r="AQ109" s="598"/>
      <c r="AR109" s="598"/>
      <c r="AS109" s="598"/>
      <c r="AT109" s="598"/>
      <c r="AU109" s="598"/>
      <c r="AV109" s="598"/>
      <c r="AW109" s="598"/>
      <c r="AX109" s="598"/>
      <c r="AY109" s="598"/>
      <c r="AZ109" s="598"/>
      <c r="BA109" s="598"/>
      <c r="BB109" s="598"/>
      <c r="BC109" s="598"/>
      <c r="BD109" s="598"/>
      <c r="BE109" s="598"/>
      <c r="BF109" s="598"/>
      <c r="BG109" s="598"/>
      <c r="BH109" s="598"/>
      <c r="BI109" s="598"/>
      <c r="BJ109" s="598"/>
      <c r="BK109" s="598"/>
      <c r="BL109" s="598"/>
      <c r="BM109" s="598"/>
      <c r="BN109" s="598"/>
      <c r="BO109" s="598"/>
      <c r="BP109" s="598"/>
      <c r="BQ109" s="598"/>
      <c r="BR109" s="598"/>
      <c r="BS109" s="598"/>
      <c r="BT109" s="598"/>
      <c r="BU109" s="598"/>
      <c r="BV109" s="598"/>
      <c r="BW109" s="599"/>
      <c r="BX109" s="315">
        <f>BX101*C110</f>
        <v>6518296.4386910051</v>
      </c>
      <c r="BY109" s="307"/>
      <c r="BZ109" s="222"/>
      <c r="CA109" s="222"/>
      <c r="CB109" s="222"/>
      <c r="CC109" s="222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222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222"/>
      <c r="DA109" s="222"/>
      <c r="DB109" s="222"/>
      <c r="DC109" s="222"/>
      <c r="DD109" s="222"/>
      <c r="DE109" s="222"/>
      <c r="DF109" s="222"/>
      <c r="DG109" s="222"/>
      <c r="DH109" s="222"/>
      <c r="DI109" s="222"/>
      <c r="DJ109" s="222"/>
      <c r="DK109" s="222"/>
      <c r="DL109" s="222"/>
      <c r="DM109" s="222"/>
      <c r="DN109" s="222"/>
      <c r="DO109" s="222"/>
      <c r="DP109" s="222"/>
      <c r="DQ109" s="222"/>
      <c r="DR109" s="222"/>
      <c r="DS109" s="222"/>
      <c r="DT109" s="222"/>
      <c r="DU109" s="222"/>
      <c r="DV109" s="222"/>
      <c r="DW109" s="222"/>
      <c r="DX109" s="222"/>
      <c r="DY109" s="222"/>
      <c r="DZ109" s="222"/>
      <c r="EA109" s="222"/>
      <c r="EB109" s="222"/>
      <c r="EC109" s="222"/>
      <c r="ED109" s="222"/>
      <c r="EE109" s="222"/>
      <c r="EF109" s="222"/>
      <c r="EG109" s="222"/>
      <c r="EH109" s="222"/>
    </row>
    <row r="110" spans="1:138" ht="18.95" hidden="1">
      <c r="A110" s="222"/>
      <c r="B110" s="222"/>
      <c r="C110" s="316">
        <v>0.2</v>
      </c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  <c r="AL110" s="222"/>
      <c r="AM110" s="222"/>
      <c r="AN110" s="222"/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  <c r="BB110" s="222"/>
      <c r="BC110" s="222"/>
      <c r="BD110" s="222"/>
      <c r="BE110" s="222"/>
      <c r="BF110" s="222"/>
      <c r="BG110" s="222"/>
      <c r="BH110" s="222"/>
      <c r="BI110" s="222"/>
      <c r="BJ110" s="222"/>
      <c r="BK110" s="222"/>
      <c r="BL110" s="222"/>
      <c r="BM110" s="222"/>
      <c r="BN110" s="222"/>
      <c r="BO110" s="222"/>
      <c r="BP110" s="222"/>
      <c r="BQ110" s="222"/>
      <c r="BR110" s="222"/>
      <c r="BS110" s="222"/>
      <c r="BT110" s="222"/>
      <c r="BU110" s="222"/>
      <c r="BV110" s="222"/>
      <c r="BW110" s="222"/>
      <c r="BX110" s="222"/>
      <c r="BY110" s="307"/>
      <c r="BZ110" s="222"/>
      <c r="CA110" s="222"/>
      <c r="CB110" s="222"/>
      <c r="CC110" s="222"/>
      <c r="CD110" s="222"/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2"/>
      <c r="CQ110" s="222"/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2"/>
      <c r="DD110" s="222"/>
      <c r="DE110" s="222"/>
      <c r="DF110" s="222"/>
      <c r="DG110" s="222"/>
      <c r="DH110" s="222"/>
      <c r="DI110" s="222"/>
      <c r="DJ110" s="222"/>
      <c r="DK110" s="222"/>
      <c r="DL110" s="222"/>
      <c r="DM110" s="222"/>
      <c r="DN110" s="222"/>
      <c r="DO110" s="222"/>
      <c r="DP110" s="222"/>
      <c r="DQ110" s="222"/>
      <c r="DR110" s="222"/>
      <c r="DS110" s="222"/>
      <c r="DT110" s="222"/>
      <c r="DU110" s="222"/>
      <c r="DV110" s="222"/>
      <c r="DW110" s="222"/>
      <c r="DX110" s="222"/>
      <c r="DY110" s="222"/>
      <c r="DZ110" s="222"/>
      <c r="EA110" s="222"/>
      <c r="EB110" s="222"/>
      <c r="EC110" s="222"/>
      <c r="ED110" s="222"/>
      <c r="EE110" s="222"/>
      <c r="EF110" s="222"/>
      <c r="EG110" s="222"/>
      <c r="EH110" s="222"/>
    </row>
    <row r="111" spans="1:138" hidden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222"/>
      <c r="AF111" s="222"/>
      <c r="AG111" s="222"/>
      <c r="AH111" s="222"/>
      <c r="AI111" s="222"/>
      <c r="AJ111" s="222"/>
      <c r="AK111" s="222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2"/>
      <c r="BH111" s="222"/>
      <c r="BI111" s="222"/>
      <c r="BJ111" s="222"/>
      <c r="BK111" s="222"/>
      <c r="BL111" s="222"/>
      <c r="BM111" s="222"/>
      <c r="BN111" s="222"/>
      <c r="BO111" s="222"/>
      <c r="BP111" s="222"/>
      <c r="BQ111" s="222"/>
      <c r="BR111" s="222"/>
      <c r="BS111" s="222"/>
      <c r="BT111" s="222"/>
      <c r="BU111" s="222"/>
      <c r="BV111" s="222"/>
      <c r="BW111" s="222"/>
      <c r="BX111" s="222"/>
      <c r="BY111" s="307"/>
      <c r="BZ111" s="222"/>
      <c r="CA111" s="222"/>
      <c r="CB111" s="222"/>
      <c r="CC111" s="222"/>
      <c r="CD111" s="222"/>
      <c r="CE111" s="222"/>
      <c r="CF111" s="222"/>
      <c r="CG111" s="222"/>
      <c r="CH111" s="222"/>
      <c r="CI111" s="222"/>
      <c r="CJ111" s="222"/>
      <c r="CK111" s="222"/>
      <c r="CL111" s="222"/>
      <c r="CM111" s="222"/>
      <c r="CN111" s="222"/>
      <c r="CO111" s="222"/>
      <c r="CP111" s="222"/>
      <c r="CQ111" s="222"/>
      <c r="CR111" s="222"/>
      <c r="CS111" s="222"/>
      <c r="CT111" s="222"/>
      <c r="CU111" s="222"/>
      <c r="CV111" s="222"/>
      <c r="CW111" s="222"/>
      <c r="CX111" s="222"/>
      <c r="CY111" s="222"/>
      <c r="CZ111" s="222"/>
      <c r="DA111" s="222"/>
      <c r="DB111" s="222"/>
      <c r="DC111" s="222"/>
      <c r="DD111" s="222"/>
      <c r="DE111" s="222"/>
      <c r="DF111" s="222"/>
      <c r="DG111" s="222"/>
      <c r="DH111" s="222"/>
      <c r="DI111" s="222"/>
      <c r="DJ111" s="222"/>
      <c r="DK111" s="222"/>
      <c r="DL111" s="222"/>
      <c r="DM111" s="222"/>
      <c r="DN111" s="222"/>
      <c r="DO111" s="222"/>
      <c r="DP111" s="222"/>
      <c r="DQ111" s="222"/>
      <c r="DR111" s="222"/>
      <c r="DS111" s="222"/>
      <c r="DT111" s="222"/>
      <c r="DU111" s="222"/>
      <c r="DV111" s="222"/>
      <c r="DW111" s="222"/>
      <c r="DX111" s="222"/>
      <c r="DY111" s="222"/>
      <c r="DZ111" s="222"/>
      <c r="EA111" s="222"/>
      <c r="EB111" s="222"/>
      <c r="EC111" s="222"/>
      <c r="ED111" s="222"/>
      <c r="EE111" s="222"/>
      <c r="EF111" s="222"/>
      <c r="EG111" s="222"/>
      <c r="EH111" s="222"/>
    </row>
    <row r="112" spans="1:138" hidden="1">
      <c r="A112" s="222"/>
      <c r="B112" s="222"/>
      <c r="C112" s="317"/>
      <c r="D112" s="317"/>
      <c r="E112" s="317"/>
      <c r="F112" s="317"/>
      <c r="G112" s="317"/>
      <c r="H112" s="317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7"/>
      <c r="V112" s="317"/>
      <c r="W112" s="317"/>
      <c r="X112" s="317"/>
      <c r="Y112" s="317"/>
      <c r="Z112" s="317"/>
      <c r="AA112" s="317"/>
      <c r="AB112" s="317"/>
      <c r="AC112" s="317"/>
      <c r="AD112" s="317"/>
      <c r="AE112" s="317"/>
      <c r="AF112" s="317"/>
      <c r="AG112" s="317"/>
      <c r="AH112" s="317"/>
      <c r="AI112" s="317"/>
      <c r="AJ112" s="317"/>
      <c r="AK112" s="317"/>
      <c r="AL112" s="317"/>
      <c r="AM112" s="317"/>
      <c r="AN112" s="317"/>
      <c r="AO112" s="317"/>
      <c r="AP112" s="317"/>
      <c r="AQ112" s="317"/>
      <c r="AR112" s="317"/>
      <c r="AS112" s="317"/>
      <c r="AT112" s="317"/>
      <c r="AU112" s="317"/>
      <c r="AV112" s="317"/>
      <c r="AW112" s="317"/>
      <c r="AX112" s="317"/>
      <c r="AY112" s="317"/>
      <c r="AZ112" s="317"/>
      <c r="BA112" s="317"/>
      <c r="BB112" s="317"/>
      <c r="BC112" s="317"/>
      <c r="BD112" s="317"/>
      <c r="BE112" s="317"/>
      <c r="BF112" s="317"/>
      <c r="BG112" s="317"/>
      <c r="BH112" s="317"/>
      <c r="BI112" s="317"/>
      <c r="BJ112" s="317"/>
      <c r="BK112" s="317"/>
      <c r="BL112" s="317"/>
      <c r="BM112" s="222"/>
      <c r="BN112" s="222"/>
      <c r="BO112" s="222"/>
      <c r="BP112" s="222"/>
      <c r="BQ112" s="222"/>
      <c r="BR112" s="222"/>
      <c r="BS112" s="222"/>
      <c r="BT112" s="222"/>
      <c r="BU112" s="222"/>
      <c r="BV112" s="222"/>
      <c r="BW112" s="222"/>
      <c r="BX112" s="222"/>
      <c r="BY112" s="222"/>
      <c r="BZ112" s="222"/>
      <c r="CA112" s="222"/>
      <c r="CB112" s="222"/>
      <c r="CC112" s="222"/>
      <c r="CD112" s="222"/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2"/>
      <c r="CQ112" s="222"/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2"/>
      <c r="DD112" s="222"/>
      <c r="DE112" s="222"/>
      <c r="DF112" s="222"/>
      <c r="DG112" s="222"/>
      <c r="DH112" s="222"/>
      <c r="DI112" s="222"/>
      <c r="DJ112" s="222"/>
      <c r="DK112" s="222"/>
      <c r="DL112" s="222"/>
      <c r="DM112" s="222"/>
      <c r="DN112" s="222"/>
      <c r="DO112" s="222"/>
      <c r="DP112" s="222"/>
      <c r="DQ112" s="222"/>
      <c r="DR112" s="222"/>
      <c r="DS112" s="222"/>
      <c r="DT112" s="222"/>
      <c r="DU112" s="222"/>
      <c r="DV112" s="222"/>
      <c r="DW112" s="222"/>
      <c r="DX112" s="222"/>
      <c r="DY112" s="222"/>
      <c r="DZ112" s="222"/>
      <c r="EA112" s="222"/>
      <c r="EB112" s="222"/>
      <c r="EC112" s="222"/>
      <c r="ED112" s="222"/>
      <c r="EE112" s="222"/>
      <c r="EF112" s="222"/>
      <c r="EG112" s="222"/>
      <c r="EH112" s="222"/>
    </row>
    <row r="113" spans="1:138">
      <c r="A113" s="222"/>
      <c r="B113" s="318"/>
      <c r="C113" s="310" t="s">
        <v>294</v>
      </c>
      <c r="D113" s="311"/>
      <c r="E113" s="312">
        <f t="shared" ref="E113:G113" si="42">-(E5+E6+E91+E92)</f>
        <v>0</v>
      </c>
      <c r="F113" s="312">
        <f t="shared" si="42"/>
        <v>0</v>
      </c>
      <c r="G113" s="312">
        <f t="shared" si="42"/>
        <v>0</v>
      </c>
      <c r="H113" s="312">
        <f>-(+H6+H91+H92)</f>
        <v>0</v>
      </c>
      <c r="I113" s="312">
        <f t="shared" ref="I113:BM113" si="43">-(I5+I6+I91+I92)</f>
        <v>0</v>
      </c>
      <c r="J113" s="312">
        <f t="shared" si="43"/>
        <v>0</v>
      </c>
      <c r="K113" s="312">
        <f t="shared" si="43"/>
        <v>-885000</v>
      </c>
      <c r="L113" s="312">
        <f t="shared" si="43"/>
        <v>-1940000</v>
      </c>
      <c r="M113" s="312">
        <f t="shared" si="43"/>
        <v>-4260000</v>
      </c>
      <c r="N113" s="312">
        <f t="shared" si="43"/>
        <v>0</v>
      </c>
      <c r="O113" s="312">
        <f t="shared" si="43"/>
        <v>-320000</v>
      </c>
      <c r="P113" s="312">
        <f t="shared" si="43"/>
        <v>-1050000</v>
      </c>
      <c r="Q113" s="312">
        <f t="shared" si="43"/>
        <v>-4550000</v>
      </c>
      <c r="R113" s="312">
        <f t="shared" si="43"/>
        <v>0</v>
      </c>
      <c r="S113" s="312">
        <f t="shared" si="43"/>
        <v>-3550000</v>
      </c>
      <c r="T113" s="312">
        <f t="shared" si="43"/>
        <v>-4900000</v>
      </c>
      <c r="U113" s="312">
        <f t="shared" si="43"/>
        <v>-4100000</v>
      </c>
      <c r="V113" s="312">
        <f t="shared" si="43"/>
        <v>0</v>
      </c>
      <c r="W113" s="312">
        <f t="shared" si="43"/>
        <v>0</v>
      </c>
      <c r="X113" s="312">
        <f t="shared" si="43"/>
        <v>0</v>
      </c>
      <c r="Y113" s="312">
        <f t="shared" si="43"/>
        <v>0</v>
      </c>
      <c r="Z113" s="312">
        <f t="shared" si="43"/>
        <v>0</v>
      </c>
      <c r="AA113" s="312">
        <f t="shared" si="43"/>
        <v>41920002</v>
      </c>
      <c r="AB113" s="312">
        <f t="shared" si="43"/>
        <v>0</v>
      </c>
      <c r="AC113" s="312">
        <f t="shared" si="43"/>
        <v>0</v>
      </c>
      <c r="AD113" s="312">
        <f t="shared" si="43"/>
        <v>0</v>
      </c>
      <c r="AE113" s="312">
        <f t="shared" si="43"/>
        <v>0</v>
      </c>
      <c r="AF113" s="312">
        <f t="shared" si="43"/>
        <v>0</v>
      </c>
      <c r="AG113" s="312">
        <f t="shared" si="43"/>
        <v>0</v>
      </c>
      <c r="AH113" s="312">
        <f t="shared" si="43"/>
        <v>0</v>
      </c>
      <c r="AI113" s="312">
        <f t="shared" si="43"/>
        <v>0</v>
      </c>
      <c r="AJ113" s="312">
        <f t="shared" si="43"/>
        <v>0</v>
      </c>
      <c r="AK113" s="312">
        <f t="shared" si="43"/>
        <v>0</v>
      </c>
      <c r="AL113" s="312">
        <f t="shared" si="43"/>
        <v>0</v>
      </c>
      <c r="AM113" s="312">
        <f t="shared" si="43"/>
        <v>0</v>
      </c>
      <c r="AN113" s="312">
        <f t="shared" si="43"/>
        <v>0</v>
      </c>
      <c r="AO113" s="312">
        <f t="shared" si="43"/>
        <v>0</v>
      </c>
      <c r="AP113" s="312">
        <f t="shared" si="43"/>
        <v>0</v>
      </c>
      <c r="AQ113" s="312">
        <f t="shared" si="43"/>
        <v>0</v>
      </c>
      <c r="AR113" s="312">
        <f t="shared" si="43"/>
        <v>0</v>
      </c>
      <c r="AS113" s="312">
        <f t="shared" si="43"/>
        <v>0</v>
      </c>
      <c r="AT113" s="312">
        <f t="shared" si="43"/>
        <v>0</v>
      </c>
      <c r="AU113" s="312">
        <f t="shared" si="43"/>
        <v>0</v>
      </c>
      <c r="AV113" s="312">
        <f t="shared" si="43"/>
        <v>0</v>
      </c>
      <c r="AW113" s="312">
        <f t="shared" si="43"/>
        <v>0</v>
      </c>
      <c r="AX113" s="312">
        <f t="shared" si="43"/>
        <v>0</v>
      </c>
      <c r="AY113" s="312">
        <f t="shared" si="43"/>
        <v>0</v>
      </c>
      <c r="AZ113" s="312">
        <f t="shared" si="43"/>
        <v>0</v>
      </c>
      <c r="BA113" s="312">
        <f t="shared" si="43"/>
        <v>0</v>
      </c>
      <c r="BB113" s="312">
        <f t="shared" si="43"/>
        <v>0</v>
      </c>
      <c r="BC113" s="312">
        <f t="shared" si="43"/>
        <v>0</v>
      </c>
      <c r="BD113" s="312">
        <f t="shared" si="43"/>
        <v>0</v>
      </c>
      <c r="BE113" s="312">
        <f t="shared" si="43"/>
        <v>0</v>
      </c>
      <c r="BF113" s="312">
        <f t="shared" si="43"/>
        <v>0</v>
      </c>
      <c r="BG113" s="312">
        <f t="shared" si="43"/>
        <v>0</v>
      </c>
      <c r="BH113" s="312">
        <f t="shared" si="43"/>
        <v>0</v>
      </c>
      <c r="BI113" s="312">
        <f t="shared" si="43"/>
        <v>0</v>
      </c>
      <c r="BJ113" s="312">
        <f t="shared" si="43"/>
        <v>0</v>
      </c>
      <c r="BK113" s="312">
        <f t="shared" si="43"/>
        <v>0</v>
      </c>
      <c r="BL113" s="312">
        <f t="shared" si="43"/>
        <v>0</v>
      </c>
      <c r="BM113" s="312">
        <f t="shared" si="43"/>
        <v>0</v>
      </c>
      <c r="BN113" s="312">
        <f t="shared" ref="BN113:BX113" si="44">-(BN5+BN91)</f>
        <v>0</v>
      </c>
      <c r="BO113" s="312">
        <f t="shared" si="44"/>
        <v>0</v>
      </c>
      <c r="BP113" s="312">
        <f t="shared" si="44"/>
        <v>0</v>
      </c>
      <c r="BQ113" s="312">
        <f t="shared" si="44"/>
        <v>0</v>
      </c>
      <c r="BR113" s="312">
        <f t="shared" si="44"/>
        <v>0</v>
      </c>
      <c r="BS113" s="312">
        <f t="shared" si="44"/>
        <v>0</v>
      </c>
      <c r="BT113" s="312">
        <f t="shared" si="44"/>
        <v>0</v>
      </c>
      <c r="BU113" s="312">
        <f t="shared" si="44"/>
        <v>0</v>
      </c>
      <c r="BV113" s="312">
        <f t="shared" si="44"/>
        <v>0</v>
      </c>
      <c r="BW113" s="312">
        <f t="shared" si="44"/>
        <v>0</v>
      </c>
      <c r="BX113" s="312">
        <f t="shared" si="44"/>
        <v>0</v>
      </c>
      <c r="BY113" s="222"/>
      <c r="BZ113" s="222"/>
      <c r="CA113" s="222"/>
      <c r="CB113" s="222"/>
      <c r="CC113" s="222"/>
      <c r="CD113" s="222"/>
      <c r="CE113" s="222"/>
      <c r="CF113" s="222"/>
      <c r="CG113" s="222"/>
      <c r="CH113" s="222"/>
      <c r="CI113" s="222"/>
      <c r="CJ113" s="222"/>
      <c r="CK113" s="222"/>
      <c r="CL113" s="222"/>
      <c r="CM113" s="222"/>
      <c r="CN113" s="222"/>
      <c r="CO113" s="222"/>
      <c r="CP113" s="222"/>
      <c r="CQ113" s="222"/>
      <c r="CR113" s="222"/>
      <c r="CS113" s="222"/>
      <c r="CT113" s="222"/>
      <c r="CU113" s="222"/>
      <c r="CV113" s="222"/>
      <c r="CW113" s="222"/>
      <c r="CX113" s="222"/>
      <c r="CY113" s="222"/>
      <c r="CZ113" s="222"/>
      <c r="DA113" s="222"/>
      <c r="DB113" s="222"/>
      <c r="DC113" s="222"/>
      <c r="DD113" s="222"/>
      <c r="DE113" s="222"/>
      <c r="DF113" s="222"/>
      <c r="DG113" s="222"/>
      <c r="DH113" s="222"/>
      <c r="DI113" s="222"/>
      <c r="DJ113" s="222"/>
      <c r="DK113" s="222"/>
      <c r="DL113" s="222"/>
      <c r="DM113" s="222"/>
      <c r="DN113" s="222"/>
      <c r="DO113" s="222"/>
      <c r="DP113" s="222"/>
      <c r="DQ113" s="222"/>
      <c r="DR113" s="222"/>
      <c r="DS113" s="222"/>
      <c r="DT113" s="222"/>
      <c r="DU113" s="222"/>
      <c r="DV113" s="222"/>
      <c r="DW113" s="222"/>
      <c r="DX113" s="222"/>
      <c r="DY113" s="222"/>
      <c r="DZ113" s="222"/>
      <c r="EA113" s="222"/>
      <c r="EB113" s="222"/>
      <c r="EC113" s="222"/>
      <c r="ED113" s="222"/>
      <c r="EE113" s="222"/>
      <c r="EF113" s="222"/>
      <c r="EG113" s="222"/>
      <c r="EH113" s="222"/>
    </row>
    <row r="114" spans="1:138">
      <c r="A114" s="222"/>
      <c r="B114" s="318"/>
      <c r="C114" s="310" t="s">
        <v>295</v>
      </c>
      <c r="D114" s="319"/>
      <c r="E114" s="311"/>
      <c r="F114" s="311"/>
      <c r="G114" s="311"/>
      <c r="H114" s="311">
        <f>-8333333</f>
        <v>-8333333</v>
      </c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222"/>
      <c r="BZ114" s="222"/>
      <c r="CA114" s="222"/>
      <c r="CB114" s="222"/>
      <c r="CC114" s="222"/>
      <c r="CD114" s="222"/>
      <c r="CE114" s="222"/>
      <c r="CF114" s="222"/>
      <c r="CG114" s="222"/>
      <c r="CH114" s="222"/>
      <c r="CI114" s="222"/>
      <c r="CJ114" s="222"/>
      <c r="CK114" s="222"/>
      <c r="CL114" s="222"/>
      <c r="CM114" s="222"/>
      <c r="CN114" s="222"/>
      <c r="CO114" s="222"/>
      <c r="CP114" s="222"/>
      <c r="CQ114" s="222"/>
      <c r="CR114" s="222"/>
      <c r="CS114" s="222"/>
      <c r="CT114" s="222"/>
      <c r="CU114" s="222"/>
      <c r="CV114" s="222"/>
      <c r="CW114" s="222"/>
      <c r="CX114" s="222"/>
      <c r="CY114" s="222"/>
      <c r="CZ114" s="222"/>
      <c r="DA114" s="222"/>
      <c r="DB114" s="222"/>
      <c r="DC114" s="222"/>
      <c r="DD114" s="222"/>
      <c r="DE114" s="222"/>
      <c r="DF114" s="222"/>
      <c r="DG114" s="222"/>
      <c r="DH114" s="222"/>
      <c r="DI114" s="222"/>
      <c r="DJ114" s="222"/>
      <c r="DK114" s="222"/>
      <c r="DL114" s="222"/>
      <c r="DM114" s="222"/>
      <c r="DN114" s="222"/>
      <c r="DO114" s="222"/>
      <c r="DP114" s="222"/>
      <c r="DQ114" s="222"/>
      <c r="DR114" s="222"/>
      <c r="DS114" s="222"/>
      <c r="DT114" s="222"/>
      <c r="DU114" s="222"/>
      <c r="DV114" s="222"/>
      <c r="DW114" s="222"/>
      <c r="DX114" s="222"/>
      <c r="DY114" s="222"/>
      <c r="DZ114" s="222"/>
      <c r="EA114" s="222"/>
      <c r="EB114" s="222"/>
      <c r="EC114" s="222"/>
      <c r="ED114" s="222"/>
      <c r="EE114" s="222"/>
      <c r="EF114" s="222"/>
      <c r="EG114" s="222"/>
      <c r="EH114" s="222"/>
    </row>
    <row r="115" spans="1:138">
      <c r="A115" s="222"/>
      <c r="B115" s="318"/>
      <c r="C115" s="310" t="s">
        <v>296</v>
      </c>
      <c r="D115" s="319"/>
      <c r="E115" s="311">
        <f t="shared" ref="E115:S115" si="45">-E56</f>
        <v>0</v>
      </c>
      <c r="F115" s="311">
        <f t="shared" si="45"/>
        <v>0</v>
      </c>
      <c r="G115" s="311">
        <f t="shared" si="45"/>
        <v>0</v>
      </c>
      <c r="H115" s="311">
        <f t="shared" si="45"/>
        <v>0</v>
      </c>
      <c r="I115" s="311">
        <f t="shared" si="45"/>
        <v>0</v>
      </c>
      <c r="J115" s="311">
        <f t="shared" si="45"/>
        <v>0</v>
      </c>
      <c r="K115" s="311">
        <f t="shared" si="45"/>
        <v>0</v>
      </c>
      <c r="L115" s="311">
        <f t="shared" si="45"/>
        <v>0</v>
      </c>
      <c r="M115" s="311">
        <f t="shared" si="45"/>
        <v>0</v>
      </c>
      <c r="N115" s="311">
        <f t="shared" si="45"/>
        <v>0</v>
      </c>
      <c r="O115" s="311">
        <f t="shared" si="45"/>
        <v>0</v>
      </c>
      <c r="P115" s="311">
        <f t="shared" si="45"/>
        <v>0</v>
      </c>
      <c r="Q115" s="311">
        <f t="shared" si="45"/>
        <v>0</v>
      </c>
      <c r="R115" s="311">
        <f t="shared" si="45"/>
        <v>0</v>
      </c>
      <c r="S115" s="311">
        <f t="shared" si="45"/>
        <v>0</v>
      </c>
      <c r="T115" s="311">
        <f>-T56-T57</f>
        <v>0</v>
      </c>
      <c r="U115" s="311">
        <f t="shared" ref="U115:Z115" si="46">-U56</f>
        <v>0</v>
      </c>
      <c r="V115" s="311">
        <f t="shared" si="46"/>
        <v>0</v>
      </c>
      <c r="W115" s="311">
        <f t="shared" si="46"/>
        <v>0</v>
      </c>
      <c r="X115" s="311">
        <f t="shared" si="46"/>
        <v>0</v>
      </c>
      <c r="Y115" s="311">
        <f t="shared" si="46"/>
        <v>0</v>
      </c>
      <c r="Z115" s="311">
        <f t="shared" si="46"/>
        <v>0</v>
      </c>
      <c r="AA115" s="311">
        <f>-AA56-AA57</f>
        <v>4513611.7827945203</v>
      </c>
      <c r="AB115" s="311">
        <f t="shared" ref="AB115:BX115" si="47">-AB56</f>
        <v>0</v>
      </c>
      <c r="AC115" s="311">
        <f t="shared" si="47"/>
        <v>0</v>
      </c>
      <c r="AD115" s="311">
        <f t="shared" si="47"/>
        <v>0</v>
      </c>
      <c r="AE115" s="311">
        <f t="shared" si="47"/>
        <v>0</v>
      </c>
      <c r="AF115" s="311">
        <f t="shared" si="47"/>
        <v>0</v>
      </c>
      <c r="AG115" s="311">
        <f t="shared" si="47"/>
        <v>0</v>
      </c>
      <c r="AH115" s="311">
        <f t="shared" si="47"/>
        <v>0</v>
      </c>
      <c r="AI115" s="311">
        <f t="shared" si="47"/>
        <v>0</v>
      </c>
      <c r="AJ115" s="311">
        <f t="shared" si="47"/>
        <v>0</v>
      </c>
      <c r="AK115" s="311">
        <f t="shared" si="47"/>
        <v>0</v>
      </c>
      <c r="AL115" s="311">
        <f t="shared" si="47"/>
        <v>0</v>
      </c>
      <c r="AM115" s="311">
        <f t="shared" si="47"/>
        <v>0</v>
      </c>
      <c r="AN115" s="311">
        <f t="shared" si="47"/>
        <v>0</v>
      </c>
      <c r="AO115" s="311">
        <f t="shared" si="47"/>
        <v>0</v>
      </c>
      <c r="AP115" s="311">
        <f t="shared" si="47"/>
        <v>0</v>
      </c>
      <c r="AQ115" s="311">
        <f t="shared" si="47"/>
        <v>0</v>
      </c>
      <c r="AR115" s="311">
        <f t="shared" si="47"/>
        <v>0</v>
      </c>
      <c r="AS115" s="311">
        <f t="shared" si="47"/>
        <v>0</v>
      </c>
      <c r="AT115" s="311">
        <f t="shared" si="47"/>
        <v>0</v>
      </c>
      <c r="AU115" s="311">
        <f t="shared" si="47"/>
        <v>0</v>
      </c>
      <c r="AV115" s="311">
        <f t="shared" si="47"/>
        <v>0</v>
      </c>
      <c r="AW115" s="311">
        <f t="shared" si="47"/>
        <v>0</v>
      </c>
      <c r="AX115" s="311">
        <f t="shared" si="47"/>
        <v>0</v>
      </c>
      <c r="AY115" s="311">
        <f t="shared" si="47"/>
        <v>0</v>
      </c>
      <c r="AZ115" s="311">
        <f t="shared" si="47"/>
        <v>0</v>
      </c>
      <c r="BA115" s="311">
        <f t="shared" si="47"/>
        <v>0</v>
      </c>
      <c r="BB115" s="311">
        <f t="shared" si="47"/>
        <v>0</v>
      </c>
      <c r="BC115" s="311">
        <f t="shared" si="47"/>
        <v>0</v>
      </c>
      <c r="BD115" s="311">
        <f t="shared" si="47"/>
        <v>0</v>
      </c>
      <c r="BE115" s="311">
        <f t="shared" si="47"/>
        <v>0</v>
      </c>
      <c r="BF115" s="311">
        <f t="shared" si="47"/>
        <v>0</v>
      </c>
      <c r="BG115" s="311">
        <f t="shared" si="47"/>
        <v>0</v>
      </c>
      <c r="BH115" s="311">
        <f t="shared" si="47"/>
        <v>0</v>
      </c>
      <c r="BI115" s="311">
        <f t="shared" si="47"/>
        <v>0</v>
      </c>
      <c r="BJ115" s="311">
        <f t="shared" si="47"/>
        <v>0</v>
      </c>
      <c r="BK115" s="311">
        <f t="shared" si="47"/>
        <v>0</v>
      </c>
      <c r="BL115" s="311">
        <f t="shared" si="47"/>
        <v>0</v>
      </c>
      <c r="BM115" s="311">
        <f t="shared" si="47"/>
        <v>0</v>
      </c>
      <c r="BN115" s="311">
        <f t="shared" si="47"/>
        <v>0</v>
      </c>
      <c r="BO115" s="311">
        <f t="shared" si="47"/>
        <v>0</v>
      </c>
      <c r="BP115" s="311">
        <f t="shared" si="47"/>
        <v>0</v>
      </c>
      <c r="BQ115" s="311">
        <f t="shared" si="47"/>
        <v>0</v>
      </c>
      <c r="BR115" s="311">
        <f t="shared" si="47"/>
        <v>0</v>
      </c>
      <c r="BS115" s="311">
        <f t="shared" si="47"/>
        <v>0</v>
      </c>
      <c r="BT115" s="311">
        <f t="shared" si="47"/>
        <v>0</v>
      </c>
      <c r="BU115" s="311">
        <f t="shared" si="47"/>
        <v>0</v>
      </c>
      <c r="BV115" s="311">
        <f t="shared" si="47"/>
        <v>0</v>
      </c>
      <c r="BW115" s="311">
        <f t="shared" si="47"/>
        <v>0</v>
      </c>
      <c r="BX115" s="311">
        <f t="shared" si="47"/>
        <v>0</v>
      </c>
      <c r="BY115" s="222"/>
      <c r="BZ115" s="238"/>
      <c r="CA115" s="222"/>
      <c r="CB115" s="222"/>
      <c r="CC115" s="222"/>
      <c r="CD115" s="222"/>
      <c r="CE115" s="222"/>
      <c r="CF115" s="222"/>
      <c r="CG115" s="222"/>
      <c r="CH115" s="222"/>
      <c r="CI115" s="222"/>
      <c r="CJ115" s="222"/>
      <c r="CK115" s="222"/>
      <c r="CL115" s="222"/>
      <c r="CM115" s="222"/>
      <c r="CN115" s="222"/>
      <c r="CO115" s="222"/>
      <c r="CP115" s="222"/>
      <c r="CQ115" s="222"/>
      <c r="CR115" s="222"/>
      <c r="CS115" s="222"/>
      <c r="CT115" s="222"/>
      <c r="CU115" s="222"/>
      <c r="CV115" s="222"/>
      <c r="CW115" s="222"/>
      <c r="CX115" s="222"/>
      <c r="CY115" s="222"/>
      <c r="CZ115" s="222"/>
      <c r="DA115" s="222"/>
      <c r="DB115" s="222"/>
      <c r="DC115" s="222"/>
      <c r="DD115" s="222"/>
      <c r="DE115" s="222"/>
      <c r="DF115" s="222"/>
      <c r="DG115" s="222"/>
      <c r="DH115" s="222"/>
      <c r="DI115" s="222"/>
      <c r="DJ115" s="222"/>
      <c r="DK115" s="222"/>
      <c r="DL115" s="222"/>
      <c r="DM115" s="222"/>
      <c r="DN115" s="222"/>
      <c r="DO115" s="222"/>
      <c r="DP115" s="222"/>
      <c r="DQ115" s="222"/>
      <c r="DR115" s="222"/>
      <c r="DS115" s="222"/>
      <c r="DT115" s="222"/>
      <c r="DU115" s="222"/>
      <c r="DV115" s="222"/>
      <c r="DW115" s="222"/>
      <c r="DX115" s="222"/>
      <c r="DY115" s="222"/>
      <c r="DZ115" s="222"/>
      <c r="EA115" s="222"/>
      <c r="EB115" s="222"/>
      <c r="EC115" s="222"/>
      <c r="ED115" s="222"/>
      <c r="EE115" s="222"/>
      <c r="EF115" s="222"/>
      <c r="EG115" s="222"/>
      <c r="EH115" s="222"/>
    </row>
    <row r="116" spans="1:138">
      <c r="A116" s="222"/>
      <c r="B116" s="318"/>
      <c r="C116" s="310" t="s">
        <v>297</v>
      </c>
      <c r="D116" s="319"/>
      <c r="E116" s="311"/>
      <c r="F116" s="311"/>
      <c r="G116" s="311"/>
      <c r="H116" s="311">
        <f>-H5</f>
        <v>-16365002</v>
      </c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>
        <f>AA101</f>
        <v>32591482.193455022</v>
      </c>
      <c r="AB116" s="311"/>
      <c r="AC116" s="311"/>
      <c r="AD116" s="311"/>
      <c r="AE116" s="311"/>
      <c r="AF116" s="311"/>
      <c r="AG116" s="311"/>
      <c r="AH116" s="311"/>
      <c r="AI116" s="311"/>
      <c r="AJ116" s="311"/>
      <c r="AK116" s="311"/>
      <c r="AL116" s="311"/>
      <c r="AM116" s="311"/>
      <c r="AN116" s="311"/>
      <c r="AO116" s="311"/>
      <c r="AP116" s="311"/>
      <c r="AQ116" s="311"/>
      <c r="AR116" s="311"/>
      <c r="AS116" s="311"/>
      <c r="AT116" s="311"/>
      <c r="AU116" s="311"/>
      <c r="AV116" s="311"/>
      <c r="AW116" s="311"/>
      <c r="AX116" s="311"/>
      <c r="AY116" s="311"/>
      <c r="AZ116" s="311"/>
      <c r="BA116" s="311"/>
      <c r="BB116" s="311"/>
      <c r="BC116" s="311"/>
      <c r="BD116" s="311"/>
      <c r="BE116" s="311"/>
      <c r="BF116" s="311"/>
      <c r="BG116" s="311"/>
      <c r="BH116" s="311"/>
      <c r="BI116" s="311"/>
      <c r="BJ116" s="311"/>
      <c r="BK116" s="311"/>
      <c r="BL116" s="311"/>
      <c r="BM116" s="311"/>
      <c r="BN116" s="311"/>
      <c r="BO116" s="311"/>
      <c r="BP116" s="311"/>
      <c r="BQ116" s="311"/>
      <c r="BR116" s="311"/>
      <c r="BS116" s="311"/>
      <c r="BT116" s="311"/>
      <c r="BU116" s="311"/>
      <c r="BV116" s="311"/>
      <c r="BW116" s="311"/>
      <c r="BX116" s="311">
        <f>IF(D106&gt;0.25,(BX101-BX109)*D118,BX101*D118)</f>
        <v>26073185.754764017</v>
      </c>
      <c r="BY116" s="222"/>
      <c r="BZ116" s="222"/>
      <c r="CA116" s="222"/>
      <c r="CB116" s="222"/>
      <c r="CC116" s="222"/>
      <c r="CD116" s="222"/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2"/>
      <c r="CQ116" s="222"/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2"/>
      <c r="DD116" s="222"/>
      <c r="DE116" s="222"/>
      <c r="DF116" s="222"/>
      <c r="DG116" s="222"/>
      <c r="DH116" s="222"/>
      <c r="DI116" s="222"/>
      <c r="DJ116" s="222"/>
      <c r="DK116" s="222"/>
      <c r="DL116" s="222"/>
      <c r="DM116" s="222"/>
      <c r="DN116" s="222"/>
      <c r="DO116" s="222"/>
      <c r="DP116" s="222"/>
      <c r="DQ116" s="222"/>
      <c r="DR116" s="222"/>
      <c r="DS116" s="222"/>
      <c r="DT116" s="222"/>
      <c r="DU116" s="222"/>
      <c r="DV116" s="222"/>
      <c r="DW116" s="222"/>
      <c r="DX116" s="222"/>
      <c r="DY116" s="222"/>
      <c r="DZ116" s="222"/>
      <c r="EA116" s="222"/>
      <c r="EB116" s="222"/>
      <c r="EC116" s="222"/>
      <c r="ED116" s="222"/>
      <c r="EE116" s="222"/>
      <c r="EF116" s="222"/>
      <c r="EG116" s="222"/>
      <c r="EH116" s="222"/>
    </row>
    <row r="117" spans="1:138">
      <c r="A117" s="222"/>
      <c r="B117" s="318"/>
      <c r="C117" s="310" t="s">
        <v>293</v>
      </c>
      <c r="D117" s="319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11"/>
      <c r="V117" s="311"/>
      <c r="W117" s="311"/>
      <c r="X117" s="311"/>
      <c r="Y117" s="311"/>
      <c r="Z117" s="311"/>
      <c r="AA117" s="311"/>
      <c r="AB117" s="311"/>
      <c r="AC117" s="311"/>
      <c r="AD117" s="311"/>
      <c r="AE117" s="311"/>
      <c r="AF117" s="311"/>
      <c r="AG117" s="311"/>
      <c r="AH117" s="311"/>
      <c r="AI117" s="311"/>
      <c r="AJ117" s="311"/>
      <c r="AK117" s="311"/>
      <c r="AL117" s="311"/>
      <c r="AM117" s="311"/>
      <c r="AN117" s="311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1"/>
      <c r="AZ117" s="311"/>
      <c r="BA117" s="311"/>
      <c r="BB117" s="311"/>
      <c r="BC117" s="311"/>
      <c r="BD117" s="311"/>
      <c r="BE117" s="311"/>
      <c r="BF117" s="311"/>
      <c r="BG117" s="311"/>
      <c r="BH117" s="311"/>
      <c r="BI117" s="311"/>
      <c r="BJ117" s="311"/>
      <c r="BK117" s="311"/>
      <c r="BL117" s="311"/>
      <c r="BM117" s="311"/>
      <c r="BN117" s="311"/>
      <c r="BO117" s="311"/>
      <c r="BP117" s="311"/>
      <c r="BQ117" s="311"/>
      <c r="BR117" s="311"/>
      <c r="BS117" s="311"/>
      <c r="BT117" s="311"/>
      <c r="BU117" s="311"/>
      <c r="BV117" s="311"/>
      <c r="BW117" s="311"/>
      <c r="BX117" s="311">
        <f>IF(D106&gt;0.25,BX109,0)</f>
        <v>6518296.4386910051</v>
      </c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</row>
    <row r="118" spans="1:138">
      <c r="A118" s="222"/>
      <c r="B118" s="318"/>
      <c r="C118" s="313" t="s">
        <v>298</v>
      </c>
      <c r="D118" s="319">
        <v>1</v>
      </c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320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2"/>
      <c r="CQ118" s="222"/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2"/>
      <c r="DD118" s="222"/>
      <c r="DE118" s="222"/>
      <c r="DF118" s="222"/>
      <c r="DG118" s="222"/>
      <c r="DH118" s="222"/>
      <c r="DI118" s="222"/>
      <c r="DJ118" s="222"/>
      <c r="DK118" s="222"/>
      <c r="DL118" s="222"/>
      <c r="DM118" s="222"/>
      <c r="DN118" s="222"/>
      <c r="DO118" s="222"/>
      <c r="DP118" s="222"/>
      <c r="DQ118" s="222"/>
      <c r="DR118" s="222"/>
      <c r="DS118" s="222"/>
      <c r="DT118" s="222"/>
      <c r="DU118" s="222"/>
      <c r="DV118" s="222"/>
      <c r="DW118" s="222"/>
      <c r="DX118" s="222"/>
      <c r="DY118" s="222"/>
      <c r="DZ118" s="222"/>
      <c r="EA118" s="222"/>
      <c r="EB118" s="222"/>
      <c r="EC118" s="222"/>
      <c r="ED118" s="222"/>
      <c r="EE118" s="222"/>
      <c r="EF118" s="222"/>
      <c r="EG118" s="222"/>
      <c r="EH118" s="222"/>
    </row>
    <row r="119" spans="1:138">
      <c r="A119" s="222"/>
      <c r="B119" s="318"/>
      <c r="C119" s="310" t="s">
        <v>299</v>
      </c>
      <c r="D119" s="314"/>
      <c r="E119" s="321">
        <f t="shared" ref="E119:BW119" si="48">E113+E114+E115+E116+E118</f>
        <v>0</v>
      </c>
      <c r="F119" s="321">
        <f t="shared" si="48"/>
        <v>0</v>
      </c>
      <c r="G119" s="321">
        <f t="shared" si="48"/>
        <v>0</v>
      </c>
      <c r="H119" s="321">
        <f t="shared" si="48"/>
        <v>-24698335</v>
      </c>
      <c r="I119" s="321">
        <f t="shared" si="48"/>
        <v>0</v>
      </c>
      <c r="J119" s="321">
        <f t="shared" si="48"/>
        <v>0</v>
      </c>
      <c r="K119" s="321">
        <f t="shared" si="48"/>
        <v>-885000</v>
      </c>
      <c r="L119" s="321">
        <f t="shared" si="48"/>
        <v>-1940000</v>
      </c>
      <c r="M119" s="321">
        <f t="shared" si="48"/>
        <v>-4260000</v>
      </c>
      <c r="N119" s="321">
        <f t="shared" si="48"/>
        <v>0</v>
      </c>
      <c r="O119" s="321">
        <f t="shared" si="48"/>
        <v>-320000</v>
      </c>
      <c r="P119" s="321">
        <f t="shared" si="48"/>
        <v>-1050000</v>
      </c>
      <c r="Q119" s="321">
        <f t="shared" si="48"/>
        <v>-4550000</v>
      </c>
      <c r="R119" s="321">
        <f t="shared" si="48"/>
        <v>0</v>
      </c>
      <c r="S119" s="321">
        <f t="shared" si="48"/>
        <v>-3550000</v>
      </c>
      <c r="T119" s="321">
        <f t="shared" si="48"/>
        <v>-4900000</v>
      </c>
      <c r="U119" s="321">
        <f t="shared" si="48"/>
        <v>-4100000</v>
      </c>
      <c r="V119" s="321">
        <f t="shared" si="48"/>
        <v>0</v>
      </c>
      <c r="W119" s="321">
        <f t="shared" si="48"/>
        <v>0</v>
      </c>
      <c r="X119" s="321">
        <f t="shared" si="48"/>
        <v>0</v>
      </c>
      <c r="Y119" s="321">
        <f t="shared" si="48"/>
        <v>0</v>
      </c>
      <c r="Z119" s="321">
        <f t="shared" si="48"/>
        <v>0</v>
      </c>
      <c r="AA119" s="321">
        <f t="shared" si="48"/>
        <v>79025095.976249546</v>
      </c>
      <c r="AB119" s="321">
        <f t="shared" si="48"/>
        <v>0</v>
      </c>
      <c r="AC119" s="321">
        <f t="shared" si="48"/>
        <v>0</v>
      </c>
      <c r="AD119" s="321">
        <f t="shared" si="48"/>
        <v>0</v>
      </c>
      <c r="AE119" s="321">
        <f t="shared" si="48"/>
        <v>0</v>
      </c>
      <c r="AF119" s="321">
        <f t="shared" si="48"/>
        <v>0</v>
      </c>
      <c r="AG119" s="321">
        <f t="shared" si="48"/>
        <v>0</v>
      </c>
      <c r="AH119" s="321">
        <f t="shared" si="48"/>
        <v>0</v>
      </c>
      <c r="AI119" s="321">
        <f t="shared" si="48"/>
        <v>0</v>
      </c>
      <c r="AJ119" s="321">
        <f t="shared" si="48"/>
        <v>0</v>
      </c>
      <c r="AK119" s="321">
        <f t="shared" si="48"/>
        <v>0</v>
      </c>
      <c r="AL119" s="321">
        <f t="shared" si="48"/>
        <v>0</v>
      </c>
      <c r="AM119" s="321">
        <f t="shared" si="48"/>
        <v>0</v>
      </c>
      <c r="AN119" s="321">
        <f t="shared" si="48"/>
        <v>0</v>
      </c>
      <c r="AO119" s="321">
        <f t="shared" si="48"/>
        <v>0</v>
      </c>
      <c r="AP119" s="321">
        <f t="shared" si="48"/>
        <v>0</v>
      </c>
      <c r="AQ119" s="321">
        <f t="shared" si="48"/>
        <v>0</v>
      </c>
      <c r="AR119" s="321">
        <f t="shared" si="48"/>
        <v>0</v>
      </c>
      <c r="AS119" s="321">
        <f t="shared" si="48"/>
        <v>0</v>
      </c>
      <c r="AT119" s="321">
        <f t="shared" si="48"/>
        <v>0</v>
      </c>
      <c r="AU119" s="321">
        <f t="shared" si="48"/>
        <v>0</v>
      </c>
      <c r="AV119" s="321">
        <f t="shared" si="48"/>
        <v>0</v>
      </c>
      <c r="AW119" s="321">
        <f t="shared" si="48"/>
        <v>0</v>
      </c>
      <c r="AX119" s="321">
        <f t="shared" si="48"/>
        <v>0</v>
      </c>
      <c r="AY119" s="321">
        <f t="shared" si="48"/>
        <v>0</v>
      </c>
      <c r="AZ119" s="321">
        <f t="shared" si="48"/>
        <v>0</v>
      </c>
      <c r="BA119" s="321">
        <f t="shared" si="48"/>
        <v>0</v>
      </c>
      <c r="BB119" s="321">
        <f t="shared" si="48"/>
        <v>0</v>
      </c>
      <c r="BC119" s="321">
        <f t="shared" si="48"/>
        <v>0</v>
      </c>
      <c r="BD119" s="321">
        <f t="shared" si="48"/>
        <v>0</v>
      </c>
      <c r="BE119" s="321">
        <f t="shared" si="48"/>
        <v>0</v>
      </c>
      <c r="BF119" s="321">
        <f t="shared" si="48"/>
        <v>0</v>
      </c>
      <c r="BG119" s="321">
        <f t="shared" si="48"/>
        <v>0</v>
      </c>
      <c r="BH119" s="321">
        <f t="shared" si="48"/>
        <v>0</v>
      </c>
      <c r="BI119" s="321">
        <f t="shared" si="48"/>
        <v>0</v>
      </c>
      <c r="BJ119" s="321">
        <f t="shared" si="48"/>
        <v>0</v>
      </c>
      <c r="BK119" s="321">
        <f t="shared" si="48"/>
        <v>0</v>
      </c>
      <c r="BL119" s="321">
        <f t="shared" si="48"/>
        <v>0</v>
      </c>
      <c r="BM119" s="321">
        <f t="shared" si="48"/>
        <v>0</v>
      </c>
      <c r="BN119" s="321">
        <f t="shared" si="48"/>
        <v>0</v>
      </c>
      <c r="BO119" s="321">
        <f t="shared" si="48"/>
        <v>0</v>
      </c>
      <c r="BP119" s="321">
        <f t="shared" si="48"/>
        <v>0</v>
      </c>
      <c r="BQ119" s="321">
        <f t="shared" si="48"/>
        <v>0</v>
      </c>
      <c r="BR119" s="321">
        <f t="shared" si="48"/>
        <v>0</v>
      </c>
      <c r="BS119" s="321">
        <f t="shared" si="48"/>
        <v>0</v>
      </c>
      <c r="BT119" s="321">
        <f t="shared" si="48"/>
        <v>0</v>
      </c>
      <c r="BU119" s="321">
        <f t="shared" si="48"/>
        <v>0</v>
      </c>
      <c r="BV119" s="321">
        <f t="shared" si="48"/>
        <v>0</v>
      </c>
      <c r="BW119" s="321">
        <f t="shared" si="48"/>
        <v>0</v>
      </c>
      <c r="BX119" s="321">
        <f>BX113+BX114+BX115+BX116+BX117+BX118</f>
        <v>32591482.193455022</v>
      </c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  <c r="CY119" s="222"/>
      <c r="CZ119" s="222"/>
      <c r="DA119" s="222"/>
      <c r="DB119" s="222"/>
      <c r="DC119" s="222"/>
      <c r="DD119" s="222"/>
      <c r="DE119" s="222"/>
      <c r="DF119" s="222"/>
      <c r="DG119" s="222"/>
      <c r="DH119" s="222"/>
      <c r="DI119" s="222"/>
      <c r="DJ119" s="222"/>
      <c r="DK119" s="222"/>
      <c r="DL119" s="222"/>
      <c r="DM119" s="222"/>
      <c r="DN119" s="222"/>
      <c r="DO119" s="222"/>
      <c r="DP119" s="222"/>
      <c r="DQ119" s="222"/>
      <c r="DR119" s="222"/>
      <c r="DS119" s="222"/>
      <c r="DT119" s="222"/>
      <c r="DU119" s="222"/>
      <c r="DV119" s="222"/>
      <c r="DW119" s="222"/>
      <c r="DX119" s="222"/>
      <c r="DY119" s="222"/>
      <c r="DZ119" s="222"/>
      <c r="EA119" s="222"/>
      <c r="EB119" s="222"/>
      <c r="EC119" s="222"/>
      <c r="ED119" s="222"/>
      <c r="EE119" s="222"/>
      <c r="EF119" s="222"/>
      <c r="EG119" s="222"/>
      <c r="EH119" s="222"/>
    </row>
    <row r="120" spans="1:138">
      <c r="A120" s="222"/>
      <c r="B120" s="318"/>
      <c r="C120" s="313" t="s">
        <v>292</v>
      </c>
      <c r="D120" s="322">
        <f>IRR(H119:AA119)*12</f>
        <v>0.37449813867880621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2"/>
      <c r="BN120" s="222"/>
      <c r="BO120" s="222"/>
      <c r="BP120" s="222"/>
      <c r="BQ120" s="222"/>
      <c r="BR120" s="222"/>
      <c r="BS120" s="222"/>
      <c r="BT120" s="222"/>
      <c r="BU120" s="222"/>
      <c r="BV120" s="222"/>
      <c r="BW120" s="222"/>
      <c r="BX120" s="222"/>
      <c r="BY120" s="222"/>
      <c r="BZ120" s="222"/>
      <c r="CA120" s="222"/>
      <c r="CB120" s="222"/>
      <c r="CC120" s="222"/>
      <c r="CD120" s="222"/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2"/>
      <c r="CQ120" s="222"/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2"/>
      <c r="DD120" s="222"/>
      <c r="DE120" s="222"/>
      <c r="DF120" s="222"/>
      <c r="DG120" s="222"/>
      <c r="DH120" s="222"/>
      <c r="DI120" s="222"/>
      <c r="DJ120" s="222"/>
      <c r="DK120" s="222"/>
      <c r="DL120" s="222"/>
      <c r="DM120" s="222"/>
      <c r="DN120" s="222"/>
      <c r="DO120" s="222"/>
      <c r="DP120" s="222"/>
      <c r="DQ120" s="222"/>
      <c r="DR120" s="222"/>
      <c r="DS120" s="222"/>
      <c r="DT120" s="222"/>
      <c r="DU120" s="222"/>
      <c r="DV120" s="222"/>
      <c r="DW120" s="222"/>
      <c r="DX120" s="222"/>
      <c r="DY120" s="222"/>
      <c r="DZ120" s="222"/>
      <c r="EA120" s="222"/>
      <c r="EB120" s="222"/>
      <c r="EC120" s="222"/>
      <c r="ED120" s="222"/>
      <c r="EE120" s="222"/>
      <c r="EF120" s="222"/>
      <c r="EG120" s="222"/>
      <c r="EH120" s="222"/>
    </row>
    <row r="121" spans="1:138">
      <c r="A121" s="222"/>
      <c r="B121" s="318"/>
      <c r="C121" s="323" t="s">
        <v>300</v>
      </c>
      <c r="D121" s="324">
        <f>SUM(BY5:BY6)</f>
        <v>41920002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>
        <f>-Q62-Q97</f>
        <v>300416.66666666674</v>
      </c>
      <c r="R121" s="222">
        <f>Q121*11</f>
        <v>3304583.333333334</v>
      </c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2"/>
      <c r="BN121" s="222"/>
      <c r="BO121" s="222"/>
      <c r="BP121" s="222"/>
      <c r="BQ121" s="222"/>
      <c r="BR121" s="222"/>
      <c r="BS121" s="222"/>
      <c r="BT121" s="222"/>
      <c r="BU121" s="222"/>
      <c r="BV121" s="222"/>
      <c r="BW121" s="222"/>
      <c r="BX121" s="222"/>
      <c r="BY121" s="222"/>
      <c r="BZ121" s="222"/>
      <c r="CA121" s="222"/>
      <c r="CB121" s="222"/>
      <c r="CC121" s="222"/>
      <c r="CD121" s="222"/>
      <c r="CE121" s="222"/>
      <c r="CF121" s="222"/>
      <c r="CG121" s="222"/>
      <c r="CH121" s="222"/>
      <c r="CI121" s="222"/>
      <c r="CJ121" s="222"/>
      <c r="CK121" s="222"/>
      <c r="CL121" s="222"/>
      <c r="CM121" s="222"/>
      <c r="CN121" s="222"/>
      <c r="CO121" s="222"/>
      <c r="CP121" s="222"/>
      <c r="CQ121" s="222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222"/>
      <c r="DC121" s="222"/>
      <c r="DD121" s="222"/>
      <c r="DE121" s="222"/>
      <c r="DF121" s="222"/>
      <c r="DG121" s="222"/>
      <c r="DH121" s="222"/>
      <c r="DI121" s="222"/>
      <c r="DJ121" s="222"/>
      <c r="DK121" s="222"/>
      <c r="DL121" s="222"/>
      <c r="DM121" s="222"/>
      <c r="DN121" s="222"/>
      <c r="DO121" s="222"/>
      <c r="DP121" s="222"/>
      <c r="DQ121" s="222"/>
      <c r="DR121" s="222"/>
      <c r="DS121" s="222"/>
      <c r="DT121" s="222"/>
      <c r="DU121" s="222"/>
      <c r="DV121" s="222"/>
      <c r="DW121" s="222"/>
      <c r="DX121" s="222"/>
      <c r="DY121" s="222"/>
      <c r="DZ121" s="222"/>
      <c r="EA121" s="222"/>
      <c r="EB121" s="222"/>
      <c r="EC121" s="222"/>
      <c r="ED121" s="222"/>
      <c r="EE121" s="222"/>
      <c r="EF121" s="222"/>
      <c r="EG121" s="222"/>
      <c r="EH121" s="222"/>
    </row>
    <row r="122" spans="1:138">
      <c r="A122" s="222"/>
      <c r="B122" s="318"/>
      <c r="C122" s="323" t="s">
        <v>301</v>
      </c>
      <c r="D122" s="324">
        <f>-SUM(E114:BM114)</f>
        <v>8333333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30">
        <f>SUM(Rentroll!$M$2:$M$4)</f>
        <v>613130.50199999986</v>
      </c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2"/>
      <c r="BO122" s="222"/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2"/>
      <c r="CB122" s="222"/>
      <c r="CC122" s="222"/>
      <c r="CD122" s="222"/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2"/>
      <c r="CQ122" s="222"/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22"/>
      <c r="DO122" s="222"/>
      <c r="DP122" s="222"/>
      <c r="DQ122" s="222"/>
      <c r="DR122" s="222"/>
      <c r="DS122" s="222"/>
      <c r="DT122" s="222"/>
      <c r="DU122" s="222"/>
      <c r="DV122" s="222"/>
      <c r="DW122" s="325"/>
      <c r="DX122" s="325"/>
      <c r="DY122" s="325"/>
      <c r="DZ122" s="325"/>
      <c r="EA122" s="325"/>
      <c r="EB122" s="325"/>
      <c r="EC122" s="325"/>
      <c r="ED122" s="325"/>
      <c r="EE122" s="325"/>
      <c r="EF122" s="325"/>
      <c r="EG122" s="325"/>
      <c r="EH122" s="325"/>
    </row>
    <row r="123" spans="1:138">
      <c r="A123" s="222"/>
      <c r="B123" s="318"/>
      <c r="C123" s="313" t="s">
        <v>302</v>
      </c>
      <c r="D123" s="326">
        <f>D121+D122</f>
        <v>50253335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605" t="s">
        <v>331</v>
      </c>
      <c r="T123" s="588"/>
      <c r="U123" s="222"/>
      <c r="V123" s="222">
        <f>T113+5000000+3333333</f>
        <v>3433333</v>
      </c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2"/>
      <c r="BN123" s="222"/>
      <c r="BO123" s="222"/>
      <c r="BP123" s="222"/>
      <c r="BQ123" s="222"/>
      <c r="BR123" s="222"/>
      <c r="BS123" s="222"/>
      <c r="BT123" s="222"/>
      <c r="BU123" s="222"/>
      <c r="BV123" s="222"/>
      <c r="BW123" s="222"/>
      <c r="BX123" s="222"/>
      <c r="BY123" s="222"/>
      <c r="BZ123" s="222"/>
      <c r="CA123" s="222"/>
      <c r="CB123" s="222"/>
      <c r="CC123" s="222"/>
      <c r="CD123" s="222"/>
      <c r="CE123" s="222"/>
      <c r="CF123" s="222"/>
      <c r="CG123" s="222"/>
      <c r="CH123" s="222"/>
      <c r="CI123" s="222"/>
      <c r="CJ123" s="222"/>
      <c r="CK123" s="222"/>
      <c r="CL123" s="222"/>
      <c r="CM123" s="222"/>
      <c r="CN123" s="222"/>
      <c r="CO123" s="222"/>
      <c r="CP123" s="222"/>
      <c r="CQ123" s="222"/>
      <c r="CR123" s="222"/>
      <c r="CS123" s="222"/>
      <c r="CT123" s="222"/>
      <c r="CU123" s="222"/>
      <c r="CV123" s="222"/>
      <c r="CW123" s="222"/>
      <c r="CX123" s="222"/>
      <c r="CY123" s="222"/>
      <c r="CZ123" s="222"/>
      <c r="DA123" s="222"/>
      <c r="DB123" s="222"/>
      <c r="DC123" s="222"/>
      <c r="DD123" s="222"/>
      <c r="DE123" s="222"/>
      <c r="DF123" s="222"/>
      <c r="DG123" s="222"/>
      <c r="DH123" s="222"/>
      <c r="DI123" s="222"/>
      <c r="DJ123" s="222"/>
      <c r="DK123" s="222"/>
      <c r="DL123" s="222"/>
      <c r="DM123" s="222"/>
      <c r="DN123" s="222"/>
      <c r="DO123" s="222"/>
      <c r="DP123" s="222"/>
      <c r="DQ123" s="222"/>
      <c r="DR123" s="222"/>
      <c r="DS123" s="222"/>
      <c r="DT123" s="222"/>
      <c r="DU123" s="222"/>
      <c r="DV123" s="222"/>
      <c r="DW123" s="325"/>
      <c r="DX123" s="325"/>
      <c r="DY123" s="325"/>
      <c r="DZ123" s="325"/>
      <c r="EA123" s="325"/>
      <c r="EB123" s="325"/>
      <c r="EC123" s="325"/>
      <c r="ED123" s="325"/>
      <c r="EE123" s="325"/>
      <c r="EF123" s="325"/>
      <c r="EG123" s="325"/>
      <c r="EH123" s="325"/>
    </row>
    <row r="124" spans="1:138">
      <c r="A124" s="222"/>
      <c r="B124" s="318"/>
      <c r="C124" s="313" t="s">
        <v>303</v>
      </c>
      <c r="D124" s="326">
        <f>AA115+AA116</f>
        <v>37105093.976249546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605" t="s">
        <v>332</v>
      </c>
      <c r="T124" s="588"/>
      <c r="U124" s="222"/>
      <c r="V124" s="222">
        <f>V123+11000000</f>
        <v>14433333</v>
      </c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2"/>
      <c r="BV124" s="222"/>
      <c r="BW124" s="222"/>
      <c r="BX124" s="222"/>
      <c r="BY124" s="222"/>
      <c r="BZ124" s="238"/>
      <c r="CA124" s="222"/>
      <c r="CB124" s="222"/>
      <c r="CC124" s="222"/>
      <c r="CD124" s="222"/>
      <c r="CE124" s="222"/>
      <c r="CF124" s="222"/>
      <c r="CG124" s="222"/>
      <c r="CH124" s="222"/>
      <c r="CI124" s="222"/>
      <c r="CJ124" s="222"/>
      <c r="CK124" s="222"/>
      <c r="CL124" s="222"/>
      <c r="CM124" s="222"/>
      <c r="CN124" s="222"/>
      <c r="CO124" s="222"/>
      <c r="CP124" s="222"/>
      <c r="CQ124" s="222"/>
      <c r="CR124" s="222"/>
      <c r="CS124" s="222"/>
      <c r="CT124" s="222"/>
      <c r="CU124" s="222"/>
      <c r="CV124" s="222"/>
      <c r="CW124" s="222"/>
      <c r="CX124" s="222"/>
      <c r="CY124" s="222"/>
      <c r="CZ124" s="222"/>
      <c r="DA124" s="222"/>
      <c r="DB124" s="222"/>
      <c r="DC124" s="222"/>
      <c r="DD124" s="222"/>
      <c r="DE124" s="222"/>
      <c r="DF124" s="222"/>
      <c r="DG124" s="222"/>
      <c r="DH124" s="222"/>
      <c r="DI124" s="222"/>
      <c r="DJ124" s="222"/>
      <c r="DK124" s="222"/>
      <c r="DL124" s="222"/>
      <c r="DM124" s="222"/>
      <c r="DN124" s="222"/>
      <c r="DO124" s="222"/>
      <c r="DP124" s="222"/>
      <c r="DQ124" s="222"/>
      <c r="DR124" s="222"/>
      <c r="DS124" s="222"/>
      <c r="DT124" s="222"/>
      <c r="DU124" s="222"/>
      <c r="DV124" s="222"/>
      <c r="DW124" s="325"/>
      <c r="DX124" s="325"/>
      <c r="DY124" s="325"/>
      <c r="DZ124" s="325"/>
      <c r="EA124" s="325"/>
      <c r="EB124" s="325"/>
      <c r="EC124" s="325"/>
      <c r="ED124" s="325"/>
      <c r="EE124" s="325"/>
      <c r="EF124" s="325"/>
      <c r="EG124" s="325"/>
      <c r="EH124" s="325"/>
    </row>
    <row r="125" spans="1:138">
      <c r="A125" s="222"/>
      <c r="B125" s="318"/>
      <c r="C125" s="313" t="s">
        <v>147</v>
      </c>
      <c r="D125" s="322">
        <f>(D124-D122)/D123</f>
        <v>0.57253435968477606</v>
      </c>
      <c r="E125" s="222"/>
      <c r="F125" s="238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 t="s">
        <v>333</v>
      </c>
      <c r="T125" s="222"/>
      <c r="U125" s="222"/>
      <c r="V125" s="222">
        <f>T119-V124</f>
        <v>-19333333</v>
      </c>
      <c r="W125" s="222"/>
      <c r="X125" s="222">
        <f>V124-T113-T101</f>
        <v>15033858.575599585</v>
      </c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325"/>
      <c r="DX125" s="325"/>
      <c r="DY125" s="325"/>
      <c r="DZ125" s="325"/>
      <c r="EA125" s="325"/>
      <c r="EB125" s="325"/>
      <c r="EC125" s="325"/>
      <c r="ED125" s="325"/>
      <c r="EE125" s="325"/>
      <c r="EF125" s="325"/>
      <c r="EG125" s="325"/>
      <c r="EH125" s="325"/>
    </row>
    <row r="126" spans="1:138">
      <c r="A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38" t="e">
        <f>V125/-J113</f>
        <v>#DIV/0!</v>
      </c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  <c r="BB126" s="222"/>
      <c r="BC126" s="222"/>
      <c r="BD126" s="222"/>
      <c r="BE126" s="222"/>
      <c r="BF126" s="222"/>
      <c r="BG126" s="222"/>
      <c r="BH126" s="222"/>
      <c r="BI126" s="222"/>
      <c r="BJ126" s="222"/>
      <c r="BK126" s="222"/>
      <c r="BL126" s="222"/>
      <c r="BM126" s="222"/>
      <c r="BN126" s="222"/>
      <c r="BO126" s="222"/>
      <c r="BP126" s="222"/>
      <c r="BQ126" s="222"/>
      <c r="BR126" s="222"/>
      <c r="BS126" s="222"/>
      <c r="BT126" s="222"/>
      <c r="BU126" s="222"/>
      <c r="BV126" s="222"/>
      <c r="BW126" s="222"/>
      <c r="BX126" s="222"/>
      <c r="BY126" s="222"/>
      <c r="BZ126" s="222"/>
      <c r="CA126" s="222"/>
      <c r="CB126" s="222"/>
      <c r="CC126" s="222"/>
      <c r="CD126" s="222"/>
      <c r="CE126" s="222"/>
      <c r="CF126" s="222"/>
      <c r="CG126" s="222"/>
      <c r="CH126" s="222"/>
      <c r="CI126" s="222"/>
      <c r="CJ126" s="222"/>
      <c r="CK126" s="222"/>
      <c r="CL126" s="222"/>
      <c r="CM126" s="222"/>
      <c r="CN126" s="222"/>
      <c r="CO126" s="222"/>
      <c r="CP126" s="222"/>
      <c r="CQ126" s="222"/>
      <c r="CR126" s="222"/>
      <c r="CS126" s="222"/>
      <c r="CT126" s="222"/>
      <c r="CU126" s="222"/>
      <c r="CV126" s="222"/>
      <c r="CW126" s="222"/>
      <c r="CX126" s="222"/>
      <c r="CY126" s="222"/>
      <c r="CZ126" s="222"/>
      <c r="DA126" s="222"/>
      <c r="DB126" s="222"/>
      <c r="DC126" s="222"/>
      <c r="DD126" s="222"/>
      <c r="DE126" s="222"/>
      <c r="DF126" s="222"/>
      <c r="DG126" s="222"/>
      <c r="DH126" s="222"/>
      <c r="DI126" s="222"/>
      <c r="DJ126" s="222"/>
      <c r="DK126" s="222"/>
      <c r="DL126" s="222"/>
      <c r="DM126" s="222"/>
      <c r="DN126" s="222"/>
      <c r="DO126" s="222"/>
      <c r="DP126" s="222"/>
      <c r="DQ126" s="222"/>
      <c r="DR126" s="222"/>
      <c r="DS126" s="222"/>
      <c r="DT126" s="222"/>
      <c r="DU126" s="222"/>
      <c r="DV126" s="222"/>
      <c r="DW126" s="325"/>
      <c r="DX126" s="325"/>
      <c r="DY126" s="325"/>
      <c r="DZ126" s="325"/>
      <c r="EA126" s="325"/>
      <c r="EB126" s="325"/>
      <c r="EC126" s="325"/>
      <c r="ED126" s="325"/>
      <c r="EE126" s="325"/>
      <c r="EF126" s="325"/>
      <c r="EG126" s="325"/>
      <c r="EH126" s="325"/>
    </row>
    <row r="127" spans="1:138">
      <c r="A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  <c r="BB127" s="222"/>
      <c r="BC127" s="222"/>
      <c r="BD127" s="222"/>
      <c r="BE127" s="222"/>
      <c r="BF127" s="222"/>
      <c r="BG127" s="222"/>
      <c r="BH127" s="222"/>
      <c r="BI127" s="222"/>
      <c r="BJ127" s="222"/>
      <c r="BK127" s="222"/>
      <c r="BL127" s="222"/>
      <c r="BM127" s="222"/>
      <c r="BN127" s="222"/>
      <c r="BO127" s="222"/>
      <c r="BP127" s="222"/>
      <c r="BQ127" s="222"/>
      <c r="BR127" s="222"/>
      <c r="BS127" s="222"/>
      <c r="BT127" s="222"/>
      <c r="BU127" s="222"/>
      <c r="BV127" s="222"/>
      <c r="BW127" s="222"/>
      <c r="BX127" s="222"/>
      <c r="BY127" s="222"/>
      <c r="BZ127" s="222"/>
      <c r="CA127" s="222"/>
      <c r="CB127" s="222"/>
      <c r="CC127" s="222"/>
      <c r="CD127" s="222"/>
      <c r="CE127" s="222"/>
      <c r="CF127" s="222"/>
      <c r="CG127" s="222"/>
      <c r="CH127" s="222"/>
      <c r="CI127" s="222"/>
      <c r="CJ127" s="222"/>
      <c r="CK127" s="222"/>
      <c r="CL127" s="222"/>
      <c r="CM127" s="222"/>
      <c r="CN127" s="222"/>
      <c r="CO127" s="222"/>
      <c r="CP127" s="222"/>
      <c r="CQ127" s="222"/>
      <c r="CR127" s="222"/>
      <c r="CS127" s="222"/>
      <c r="CT127" s="222"/>
      <c r="CU127" s="222"/>
      <c r="CV127" s="222"/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2"/>
      <c r="DI127" s="222"/>
      <c r="DJ127" s="222"/>
      <c r="DK127" s="222"/>
      <c r="DL127" s="222"/>
      <c r="DM127" s="222"/>
      <c r="DN127" s="222"/>
      <c r="DO127" s="222"/>
      <c r="DP127" s="222"/>
      <c r="DQ127" s="222"/>
      <c r="DR127" s="222"/>
      <c r="DS127" s="222"/>
      <c r="DT127" s="222"/>
      <c r="DU127" s="222"/>
      <c r="DV127" s="222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</row>
    <row r="128" spans="1:138">
      <c r="A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222"/>
      <c r="AF128" s="222"/>
      <c r="AG128" s="222"/>
      <c r="AH128" s="222"/>
      <c r="AI128" s="222"/>
      <c r="AJ128" s="222"/>
      <c r="AK128" s="222"/>
      <c r="AL128" s="222"/>
      <c r="AM128" s="222"/>
      <c r="AN128" s="222"/>
      <c r="AO128" s="222"/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22"/>
      <c r="BC128" s="222"/>
      <c r="BD128" s="222"/>
      <c r="BE128" s="222"/>
      <c r="BF128" s="222"/>
      <c r="BG128" s="222"/>
      <c r="BH128" s="222"/>
      <c r="BI128" s="222"/>
      <c r="BJ128" s="222"/>
      <c r="BK128" s="222"/>
      <c r="BL128" s="222"/>
      <c r="BM128" s="222"/>
      <c r="BN128" s="222"/>
      <c r="BO128" s="222"/>
      <c r="BP128" s="222"/>
      <c r="BQ128" s="222"/>
      <c r="BR128" s="222"/>
      <c r="BS128" s="222"/>
      <c r="BT128" s="222"/>
      <c r="BU128" s="222"/>
      <c r="BV128" s="222"/>
      <c r="BW128" s="222"/>
      <c r="BX128" s="222"/>
      <c r="BY128" s="222"/>
      <c r="BZ128" s="222"/>
      <c r="CA128" s="222"/>
      <c r="CB128" s="222"/>
      <c r="CC128" s="222"/>
      <c r="CD128" s="222"/>
      <c r="CE128" s="222"/>
      <c r="CF128" s="222"/>
      <c r="CG128" s="222"/>
      <c r="CH128" s="222"/>
      <c r="CI128" s="222"/>
      <c r="CJ128" s="222"/>
      <c r="CK128" s="222"/>
      <c r="CL128" s="222"/>
      <c r="CM128" s="222"/>
      <c r="CN128" s="222"/>
      <c r="CO128" s="222"/>
      <c r="CP128" s="222"/>
      <c r="CQ128" s="222"/>
      <c r="CR128" s="222"/>
      <c r="CS128" s="222"/>
      <c r="CT128" s="222"/>
      <c r="CU128" s="222"/>
      <c r="CV128" s="222"/>
      <c r="CW128" s="222"/>
      <c r="CX128" s="222"/>
      <c r="CY128" s="222"/>
      <c r="CZ128" s="222"/>
      <c r="DA128" s="222"/>
      <c r="DB128" s="222"/>
      <c r="DC128" s="222"/>
      <c r="DD128" s="222"/>
      <c r="DE128" s="222"/>
      <c r="DF128" s="222"/>
      <c r="DG128" s="222"/>
      <c r="DH128" s="222"/>
      <c r="DI128" s="222"/>
      <c r="DJ128" s="222"/>
      <c r="DK128" s="222"/>
      <c r="DL128" s="222"/>
      <c r="DM128" s="222"/>
      <c r="DN128" s="222"/>
      <c r="DO128" s="222"/>
      <c r="DP128" s="222"/>
      <c r="DQ128" s="222"/>
      <c r="DR128" s="222"/>
      <c r="DS128" s="222"/>
      <c r="DT128" s="222"/>
      <c r="DU128" s="222"/>
      <c r="DV128" s="222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</row>
    <row r="129" spans="1:138">
      <c r="A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2"/>
      <c r="AQ129" s="222"/>
      <c r="AR129" s="222"/>
      <c r="AS129" s="222"/>
      <c r="AT129" s="222"/>
      <c r="AU129" s="222"/>
      <c r="AV129" s="222"/>
      <c r="AW129" s="222"/>
      <c r="AX129" s="222"/>
      <c r="AY129" s="222"/>
      <c r="AZ129" s="222"/>
      <c r="BA129" s="222"/>
      <c r="BB129" s="222"/>
      <c r="BC129" s="222"/>
      <c r="BD129" s="222"/>
      <c r="BE129" s="222"/>
      <c r="BF129" s="222"/>
      <c r="BG129" s="222"/>
      <c r="BH129" s="222"/>
      <c r="BI129" s="222"/>
      <c r="BJ129" s="222"/>
      <c r="BK129" s="222"/>
      <c r="BL129" s="222"/>
      <c r="BM129" s="222"/>
      <c r="BN129" s="222"/>
      <c r="BO129" s="222"/>
      <c r="BP129" s="222"/>
      <c r="BQ129" s="222"/>
      <c r="BR129" s="222"/>
      <c r="BS129" s="222"/>
      <c r="BT129" s="222"/>
      <c r="BU129" s="222"/>
      <c r="BV129" s="222"/>
      <c r="BW129" s="222"/>
      <c r="BX129" s="222"/>
      <c r="BY129" s="222"/>
      <c r="BZ129" s="222"/>
      <c r="CA129" s="222"/>
      <c r="CB129" s="222"/>
      <c r="CC129" s="222"/>
      <c r="CD129" s="222"/>
      <c r="CE129" s="222"/>
      <c r="CF129" s="222"/>
      <c r="CG129" s="222"/>
      <c r="CH129" s="222"/>
      <c r="CI129" s="222"/>
      <c r="CJ129" s="222"/>
      <c r="CK129" s="222"/>
      <c r="CL129" s="222"/>
      <c r="CM129" s="222"/>
      <c r="CN129" s="222"/>
      <c r="CO129" s="222"/>
      <c r="CP129" s="222"/>
      <c r="CQ129" s="222"/>
      <c r="CR129" s="222"/>
      <c r="CS129" s="222"/>
      <c r="CT129" s="222"/>
      <c r="CU129" s="222"/>
      <c r="CV129" s="222"/>
      <c r="CW129" s="222"/>
      <c r="CX129" s="222"/>
      <c r="CY129" s="222"/>
      <c r="CZ129" s="222"/>
      <c r="DA129" s="222"/>
      <c r="DB129" s="222"/>
      <c r="DC129" s="222"/>
      <c r="DD129" s="222"/>
      <c r="DE129" s="222"/>
      <c r="DF129" s="222"/>
      <c r="DG129" s="222"/>
      <c r="DH129" s="222"/>
      <c r="DI129" s="222"/>
      <c r="DJ129" s="222"/>
      <c r="DK129" s="222"/>
      <c r="DL129" s="222"/>
      <c r="DM129" s="222"/>
      <c r="DN129" s="222"/>
      <c r="DO129" s="222"/>
      <c r="DP129" s="222"/>
      <c r="DQ129" s="222"/>
      <c r="DR129" s="222"/>
      <c r="DS129" s="222"/>
      <c r="DT129" s="222"/>
      <c r="DU129" s="222"/>
      <c r="DV129" s="222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</row>
    <row r="130" spans="1:138">
      <c r="A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222"/>
      <c r="AF130" s="222"/>
      <c r="AG130" s="222"/>
      <c r="AH130" s="222"/>
      <c r="AI130" s="222"/>
      <c r="AJ130" s="222"/>
      <c r="AK130" s="222"/>
      <c r="AL130" s="222"/>
      <c r="AM130" s="222"/>
      <c r="AN130" s="222"/>
      <c r="AO130" s="222"/>
      <c r="AP130" s="222"/>
      <c r="AQ130" s="222"/>
      <c r="AR130" s="222"/>
      <c r="AS130" s="222"/>
      <c r="AT130" s="222"/>
      <c r="AU130" s="222"/>
      <c r="AV130" s="222"/>
      <c r="AW130" s="222"/>
      <c r="AX130" s="222"/>
      <c r="AY130" s="222"/>
      <c r="AZ130" s="222"/>
      <c r="BA130" s="222"/>
      <c r="BB130" s="222"/>
      <c r="BC130" s="222"/>
      <c r="BD130" s="222"/>
      <c r="BE130" s="222"/>
      <c r="BF130" s="222"/>
      <c r="BG130" s="222"/>
      <c r="BH130" s="222"/>
      <c r="BI130" s="222"/>
      <c r="BJ130" s="222"/>
      <c r="BK130" s="222"/>
      <c r="BL130" s="222"/>
      <c r="BM130" s="222"/>
      <c r="BN130" s="222"/>
      <c r="BO130" s="222"/>
      <c r="BP130" s="222"/>
      <c r="BQ130" s="222"/>
      <c r="BR130" s="222"/>
      <c r="BS130" s="222"/>
      <c r="BT130" s="222"/>
      <c r="BU130" s="222"/>
      <c r="BV130" s="222"/>
      <c r="BW130" s="222"/>
      <c r="BX130" s="222"/>
      <c r="BY130" s="222"/>
      <c r="BZ130" s="222"/>
      <c r="CA130" s="222"/>
      <c r="CB130" s="222"/>
      <c r="CC130" s="222"/>
      <c r="CD130" s="222"/>
      <c r="CE130" s="222"/>
      <c r="CF130" s="222"/>
      <c r="CG130" s="222"/>
      <c r="CH130" s="222"/>
      <c r="CI130" s="222"/>
      <c r="CJ130" s="222"/>
      <c r="CK130" s="222"/>
      <c r="CL130" s="222"/>
      <c r="CM130" s="222"/>
      <c r="CN130" s="222"/>
      <c r="CO130" s="222"/>
      <c r="CP130" s="222"/>
      <c r="CQ130" s="222"/>
      <c r="CR130" s="222"/>
      <c r="CS130" s="222"/>
      <c r="CT130" s="222"/>
      <c r="CU130" s="222"/>
      <c r="CV130" s="222"/>
      <c r="CW130" s="222"/>
      <c r="CX130" s="222"/>
      <c r="CY130" s="222"/>
      <c r="CZ130" s="222"/>
      <c r="DA130" s="222"/>
      <c r="DB130" s="222"/>
      <c r="DC130" s="222"/>
      <c r="DD130" s="222"/>
      <c r="DE130" s="222"/>
      <c r="DF130" s="222"/>
      <c r="DG130" s="222"/>
      <c r="DH130" s="222"/>
      <c r="DI130" s="222"/>
      <c r="DJ130" s="222"/>
      <c r="DK130" s="222"/>
      <c r="DL130" s="222"/>
      <c r="DM130" s="222"/>
      <c r="DN130" s="222"/>
      <c r="DO130" s="222"/>
      <c r="DP130" s="222"/>
      <c r="DQ130" s="222"/>
      <c r="DR130" s="222"/>
      <c r="DS130" s="222"/>
      <c r="DT130" s="222"/>
      <c r="DU130" s="222"/>
      <c r="DV130" s="222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</row>
    <row r="131" spans="1:138">
      <c r="A131" s="222"/>
      <c r="B131" s="318"/>
      <c r="C131" s="310" t="s">
        <v>304</v>
      </c>
      <c r="D131" s="311"/>
      <c r="E131" s="311">
        <f t="shared" ref="E131:BX131" si="49">-(E6+E92)</f>
        <v>0</v>
      </c>
      <c r="F131" s="311">
        <f t="shared" si="49"/>
        <v>0</v>
      </c>
      <c r="G131" s="311">
        <f t="shared" si="49"/>
        <v>0</v>
      </c>
      <c r="H131" s="311">
        <f t="shared" si="49"/>
        <v>0</v>
      </c>
      <c r="I131" s="311">
        <f t="shared" si="49"/>
        <v>0</v>
      </c>
      <c r="J131" s="311">
        <f t="shared" si="49"/>
        <v>0</v>
      </c>
      <c r="K131" s="311">
        <f t="shared" si="49"/>
        <v>-885000</v>
      </c>
      <c r="L131" s="311">
        <f t="shared" si="49"/>
        <v>-1940000</v>
      </c>
      <c r="M131" s="311">
        <f t="shared" si="49"/>
        <v>-4260000</v>
      </c>
      <c r="N131" s="311">
        <f t="shared" si="49"/>
        <v>0</v>
      </c>
      <c r="O131" s="311">
        <f t="shared" si="49"/>
        <v>-320000</v>
      </c>
      <c r="P131" s="311">
        <f t="shared" si="49"/>
        <v>-1050000</v>
      </c>
      <c r="Q131" s="311">
        <f t="shared" si="49"/>
        <v>-4550000</v>
      </c>
      <c r="R131" s="311">
        <f t="shared" si="49"/>
        <v>0</v>
      </c>
      <c r="S131" s="311">
        <f t="shared" si="49"/>
        <v>-3550000</v>
      </c>
      <c r="T131" s="311">
        <f t="shared" si="49"/>
        <v>-4900000</v>
      </c>
      <c r="U131" s="311">
        <f t="shared" si="49"/>
        <v>-4100000</v>
      </c>
      <c r="V131" s="311">
        <f t="shared" si="49"/>
        <v>0</v>
      </c>
      <c r="W131" s="311">
        <f t="shared" si="49"/>
        <v>0</v>
      </c>
      <c r="X131" s="311">
        <f t="shared" si="49"/>
        <v>0</v>
      </c>
      <c r="Y131" s="311">
        <f t="shared" si="49"/>
        <v>0</v>
      </c>
      <c r="Z131" s="311">
        <f t="shared" si="49"/>
        <v>0</v>
      </c>
      <c r="AA131" s="311">
        <f t="shared" si="49"/>
        <v>25555000</v>
      </c>
      <c r="AB131" s="311">
        <f t="shared" si="49"/>
        <v>0</v>
      </c>
      <c r="AC131" s="311">
        <f t="shared" si="49"/>
        <v>0</v>
      </c>
      <c r="AD131" s="311">
        <f t="shared" si="49"/>
        <v>0</v>
      </c>
      <c r="AE131" s="311">
        <f t="shared" si="49"/>
        <v>0</v>
      </c>
      <c r="AF131" s="311">
        <f t="shared" si="49"/>
        <v>0</v>
      </c>
      <c r="AG131" s="311">
        <f t="shared" si="49"/>
        <v>0</v>
      </c>
      <c r="AH131" s="311">
        <f t="shared" si="49"/>
        <v>0</v>
      </c>
      <c r="AI131" s="311">
        <f t="shared" si="49"/>
        <v>0</v>
      </c>
      <c r="AJ131" s="311">
        <f t="shared" si="49"/>
        <v>0</v>
      </c>
      <c r="AK131" s="311">
        <f t="shared" si="49"/>
        <v>0</v>
      </c>
      <c r="AL131" s="311">
        <f t="shared" si="49"/>
        <v>0</v>
      </c>
      <c r="AM131" s="311">
        <f t="shared" si="49"/>
        <v>0</v>
      </c>
      <c r="AN131" s="311">
        <f t="shared" si="49"/>
        <v>0</v>
      </c>
      <c r="AO131" s="311">
        <f t="shared" si="49"/>
        <v>0</v>
      </c>
      <c r="AP131" s="311">
        <f t="shared" si="49"/>
        <v>0</v>
      </c>
      <c r="AQ131" s="311">
        <f t="shared" si="49"/>
        <v>0</v>
      </c>
      <c r="AR131" s="311">
        <f t="shared" si="49"/>
        <v>0</v>
      </c>
      <c r="AS131" s="311">
        <f t="shared" si="49"/>
        <v>0</v>
      </c>
      <c r="AT131" s="311">
        <f t="shared" si="49"/>
        <v>0</v>
      </c>
      <c r="AU131" s="311">
        <f t="shared" si="49"/>
        <v>0</v>
      </c>
      <c r="AV131" s="311">
        <f t="shared" si="49"/>
        <v>0</v>
      </c>
      <c r="AW131" s="311">
        <f t="shared" si="49"/>
        <v>0</v>
      </c>
      <c r="AX131" s="311">
        <f t="shared" si="49"/>
        <v>0</v>
      </c>
      <c r="AY131" s="311">
        <f t="shared" si="49"/>
        <v>0</v>
      </c>
      <c r="AZ131" s="311">
        <f t="shared" si="49"/>
        <v>0</v>
      </c>
      <c r="BA131" s="311">
        <f t="shared" si="49"/>
        <v>0</v>
      </c>
      <c r="BB131" s="311">
        <f t="shared" si="49"/>
        <v>0</v>
      </c>
      <c r="BC131" s="311">
        <f t="shared" si="49"/>
        <v>0</v>
      </c>
      <c r="BD131" s="311">
        <f t="shared" si="49"/>
        <v>0</v>
      </c>
      <c r="BE131" s="311">
        <f t="shared" si="49"/>
        <v>0</v>
      </c>
      <c r="BF131" s="311">
        <f t="shared" si="49"/>
        <v>0</v>
      </c>
      <c r="BG131" s="311">
        <f t="shared" si="49"/>
        <v>0</v>
      </c>
      <c r="BH131" s="311">
        <f t="shared" si="49"/>
        <v>0</v>
      </c>
      <c r="BI131" s="311">
        <f t="shared" si="49"/>
        <v>0</v>
      </c>
      <c r="BJ131" s="311">
        <f t="shared" si="49"/>
        <v>0</v>
      </c>
      <c r="BK131" s="311">
        <f t="shared" si="49"/>
        <v>0</v>
      </c>
      <c r="BL131" s="311">
        <f t="shared" si="49"/>
        <v>0</v>
      </c>
      <c r="BM131" s="311">
        <f t="shared" si="49"/>
        <v>0</v>
      </c>
      <c r="BN131" s="311">
        <f t="shared" si="49"/>
        <v>0</v>
      </c>
      <c r="BO131" s="311">
        <f t="shared" si="49"/>
        <v>0</v>
      </c>
      <c r="BP131" s="311">
        <f t="shared" si="49"/>
        <v>0</v>
      </c>
      <c r="BQ131" s="311">
        <f t="shared" si="49"/>
        <v>0</v>
      </c>
      <c r="BR131" s="311">
        <f t="shared" si="49"/>
        <v>0</v>
      </c>
      <c r="BS131" s="311">
        <f t="shared" si="49"/>
        <v>0</v>
      </c>
      <c r="BT131" s="311">
        <f t="shared" si="49"/>
        <v>0</v>
      </c>
      <c r="BU131" s="311">
        <f t="shared" si="49"/>
        <v>0</v>
      </c>
      <c r="BV131" s="311">
        <f t="shared" si="49"/>
        <v>0</v>
      </c>
      <c r="BW131" s="311">
        <f t="shared" si="49"/>
        <v>0</v>
      </c>
      <c r="BX131" s="311">
        <f t="shared" si="49"/>
        <v>0</v>
      </c>
      <c r="BY131" s="222"/>
      <c r="BZ131" s="222"/>
      <c r="CA131" s="222"/>
      <c r="CB131" s="222"/>
      <c r="CC131" s="222"/>
      <c r="CD131" s="222"/>
      <c r="CE131" s="222"/>
      <c r="CF131" s="222"/>
      <c r="CG131" s="222"/>
      <c r="CH131" s="222"/>
      <c r="CI131" s="222"/>
      <c r="CJ131" s="222"/>
      <c r="CK131" s="222"/>
      <c r="CL131" s="222"/>
      <c r="CM131" s="222"/>
      <c r="CN131" s="222"/>
      <c r="CO131" s="222"/>
      <c r="CP131" s="222"/>
      <c r="CQ131" s="222"/>
      <c r="CR131" s="222"/>
      <c r="CS131" s="222"/>
      <c r="CT131" s="222"/>
      <c r="CU131" s="222"/>
      <c r="CV131" s="222"/>
      <c r="CW131" s="222"/>
      <c r="CX131" s="222"/>
      <c r="CY131" s="222"/>
      <c r="CZ131" s="222"/>
      <c r="DA131" s="222"/>
      <c r="DB131" s="222"/>
      <c r="DC131" s="222"/>
      <c r="DD131" s="222"/>
      <c r="DE131" s="222"/>
      <c r="DF131" s="222"/>
      <c r="DG131" s="222"/>
      <c r="DH131" s="222"/>
      <c r="DI131" s="222"/>
      <c r="DJ131" s="222"/>
      <c r="DK131" s="222"/>
      <c r="DL131" s="222"/>
      <c r="DM131" s="222"/>
      <c r="DN131" s="222"/>
      <c r="DO131" s="222"/>
      <c r="DP131" s="222"/>
      <c r="DQ131" s="222"/>
      <c r="DR131" s="222"/>
      <c r="DS131" s="222"/>
      <c r="DT131" s="222"/>
      <c r="DU131" s="222"/>
      <c r="DV131" s="222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</row>
    <row r="132" spans="1:138">
      <c r="A132" s="222"/>
      <c r="B132" s="318"/>
      <c r="C132" s="310" t="s">
        <v>305</v>
      </c>
      <c r="D132" s="319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  <c r="T132" s="311"/>
      <c r="U132" s="311"/>
      <c r="V132" s="311"/>
      <c r="W132" s="311"/>
      <c r="X132" s="311"/>
      <c r="Y132" s="311"/>
      <c r="Z132" s="311"/>
      <c r="AA132" s="311"/>
      <c r="AB132" s="311"/>
      <c r="AC132" s="311"/>
      <c r="AD132" s="311"/>
      <c r="AE132" s="311"/>
      <c r="AF132" s="311"/>
      <c r="AG132" s="311"/>
      <c r="AH132" s="311"/>
      <c r="AI132" s="311"/>
      <c r="AJ132" s="311"/>
      <c r="AK132" s="311"/>
      <c r="AL132" s="311"/>
      <c r="AM132" s="311"/>
      <c r="AN132" s="311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1"/>
      <c r="AZ132" s="311"/>
      <c r="BA132" s="311"/>
      <c r="BB132" s="311"/>
      <c r="BC132" s="311"/>
      <c r="BD132" s="311"/>
      <c r="BE132" s="311"/>
      <c r="BF132" s="311"/>
      <c r="BG132" s="311"/>
      <c r="BH132" s="311"/>
      <c r="BI132" s="311"/>
      <c r="BJ132" s="311"/>
      <c r="BK132" s="311"/>
      <c r="BL132" s="311"/>
      <c r="BM132" s="311"/>
      <c r="BN132" s="311"/>
      <c r="BO132" s="311"/>
      <c r="BP132" s="311"/>
      <c r="BQ132" s="311"/>
      <c r="BR132" s="311"/>
      <c r="BS132" s="311"/>
      <c r="BT132" s="311"/>
      <c r="BU132" s="311"/>
      <c r="BV132" s="311"/>
      <c r="BW132" s="311"/>
      <c r="BX132" s="311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2"/>
      <c r="DL132" s="222"/>
      <c r="DM132" s="222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</row>
    <row r="133" spans="1:138">
      <c r="A133" s="222"/>
      <c r="B133" s="318"/>
      <c r="C133" s="310" t="s">
        <v>296</v>
      </c>
      <c r="D133" s="319"/>
      <c r="E133" s="311">
        <f t="shared" ref="E133:BX133" si="50">-E57</f>
        <v>0</v>
      </c>
      <c r="F133" s="311">
        <f t="shared" si="50"/>
        <v>0</v>
      </c>
      <c r="G133" s="311">
        <f t="shared" si="50"/>
        <v>0</v>
      </c>
      <c r="H133" s="311">
        <f t="shared" si="50"/>
        <v>0</v>
      </c>
      <c r="I133" s="311">
        <f t="shared" si="50"/>
        <v>0</v>
      </c>
      <c r="J133" s="311">
        <f t="shared" si="50"/>
        <v>0</v>
      </c>
      <c r="K133" s="311">
        <f t="shared" si="50"/>
        <v>0</v>
      </c>
      <c r="L133" s="311">
        <f t="shared" si="50"/>
        <v>0</v>
      </c>
      <c r="M133" s="311">
        <f t="shared" si="50"/>
        <v>0</v>
      </c>
      <c r="N133" s="311">
        <f t="shared" si="50"/>
        <v>0</v>
      </c>
      <c r="O133" s="311">
        <f t="shared" si="50"/>
        <v>0</v>
      </c>
      <c r="P133" s="311">
        <f t="shared" si="50"/>
        <v>0</v>
      </c>
      <c r="Q133" s="311">
        <f t="shared" si="50"/>
        <v>0</v>
      </c>
      <c r="R133" s="311">
        <f t="shared" si="50"/>
        <v>0</v>
      </c>
      <c r="S133" s="311">
        <f t="shared" si="50"/>
        <v>0</v>
      </c>
      <c r="T133" s="311">
        <f t="shared" si="50"/>
        <v>0</v>
      </c>
      <c r="U133" s="311">
        <f t="shared" si="50"/>
        <v>0</v>
      </c>
      <c r="V133" s="311">
        <f t="shared" si="50"/>
        <v>0</v>
      </c>
      <c r="W133" s="311">
        <f t="shared" si="50"/>
        <v>0</v>
      </c>
      <c r="X133" s="311">
        <f t="shared" si="50"/>
        <v>0</v>
      </c>
      <c r="Y133" s="311">
        <f t="shared" si="50"/>
        <v>0</v>
      </c>
      <c r="Z133" s="311">
        <f t="shared" si="50"/>
        <v>0</v>
      </c>
      <c r="AA133" s="311">
        <f t="shared" si="50"/>
        <v>2535912.5</v>
      </c>
      <c r="AB133" s="311">
        <f t="shared" si="50"/>
        <v>0</v>
      </c>
      <c r="AC133" s="311">
        <f t="shared" si="50"/>
        <v>0</v>
      </c>
      <c r="AD133" s="311">
        <f t="shared" si="50"/>
        <v>0</v>
      </c>
      <c r="AE133" s="311">
        <f t="shared" si="50"/>
        <v>0</v>
      </c>
      <c r="AF133" s="311">
        <f t="shared" si="50"/>
        <v>0</v>
      </c>
      <c r="AG133" s="311">
        <f t="shared" si="50"/>
        <v>0</v>
      </c>
      <c r="AH133" s="311">
        <f t="shared" si="50"/>
        <v>0</v>
      </c>
      <c r="AI133" s="311">
        <f t="shared" si="50"/>
        <v>0</v>
      </c>
      <c r="AJ133" s="311">
        <f t="shared" si="50"/>
        <v>0</v>
      </c>
      <c r="AK133" s="311">
        <f t="shared" si="50"/>
        <v>0</v>
      </c>
      <c r="AL133" s="311">
        <f t="shared" si="50"/>
        <v>0</v>
      </c>
      <c r="AM133" s="311">
        <f t="shared" si="50"/>
        <v>0</v>
      </c>
      <c r="AN133" s="311">
        <f t="shared" si="50"/>
        <v>0</v>
      </c>
      <c r="AO133" s="311">
        <f t="shared" si="50"/>
        <v>0</v>
      </c>
      <c r="AP133" s="311">
        <f t="shared" si="50"/>
        <v>0</v>
      </c>
      <c r="AQ133" s="311">
        <f t="shared" si="50"/>
        <v>0</v>
      </c>
      <c r="AR133" s="311">
        <f t="shared" si="50"/>
        <v>0</v>
      </c>
      <c r="AS133" s="311">
        <f t="shared" si="50"/>
        <v>0</v>
      </c>
      <c r="AT133" s="311">
        <f t="shared" si="50"/>
        <v>0</v>
      </c>
      <c r="AU133" s="311">
        <f t="shared" si="50"/>
        <v>0</v>
      </c>
      <c r="AV133" s="311">
        <f t="shared" si="50"/>
        <v>0</v>
      </c>
      <c r="AW133" s="311">
        <f t="shared" si="50"/>
        <v>0</v>
      </c>
      <c r="AX133" s="311">
        <f t="shared" si="50"/>
        <v>0</v>
      </c>
      <c r="AY133" s="311">
        <f t="shared" si="50"/>
        <v>0</v>
      </c>
      <c r="AZ133" s="311">
        <f t="shared" si="50"/>
        <v>0</v>
      </c>
      <c r="BA133" s="311">
        <f t="shared" si="50"/>
        <v>0</v>
      </c>
      <c r="BB133" s="311">
        <f t="shared" si="50"/>
        <v>0</v>
      </c>
      <c r="BC133" s="311">
        <f t="shared" si="50"/>
        <v>0</v>
      </c>
      <c r="BD133" s="311">
        <f t="shared" si="50"/>
        <v>0</v>
      </c>
      <c r="BE133" s="311">
        <f t="shared" si="50"/>
        <v>0</v>
      </c>
      <c r="BF133" s="311">
        <f t="shared" si="50"/>
        <v>0</v>
      </c>
      <c r="BG133" s="311">
        <f t="shared" si="50"/>
        <v>0</v>
      </c>
      <c r="BH133" s="311">
        <f t="shared" si="50"/>
        <v>0</v>
      </c>
      <c r="BI133" s="311">
        <f t="shared" si="50"/>
        <v>0</v>
      </c>
      <c r="BJ133" s="311">
        <f t="shared" si="50"/>
        <v>0</v>
      </c>
      <c r="BK133" s="311">
        <f t="shared" si="50"/>
        <v>0</v>
      </c>
      <c r="BL133" s="311">
        <f t="shared" si="50"/>
        <v>0</v>
      </c>
      <c r="BM133" s="311">
        <f t="shared" si="50"/>
        <v>0</v>
      </c>
      <c r="BN133" s="311">
        <f t="shared" si="50"/>
        <v>0</v>
      </c>
      <c r="BO133" s="311">
        <f t="shared" si="50"/>
        <v>0</v>
      </c>
      <c r="BP133" s="311">
        <f t="shared" si="50"/>
        <v>0</v>
      </c>
      <c r="BQ133" s="311">
        <f t="shared" si="50"/>
        <v>0</v>
      </c>
      <c r="BR133" s="311">
        <f t="shared" si="50"/>
        <v>0</v>
      </c>
      <c r="BS133" s="311">
        <f t="shared" si="50"/>
        <v>0</v>
      </c>
      <c r="BT133" s="311">
        <f t="shared" si="50"/>
        <v>0</v>
      </c>
      <c r="BU133" s="311">
        <f t="shared" si="50"/>
        <v>0</v>
      </c>
      <c r="BV133" s="311">
        <f t="shared" si="50"/>
        <v>0</v>
      </c>
      <c r="BW133" s="311">
        <f t="shared" si="50"/>
        <v>0</v>
      </c>
      <c r="BX133" s="311">
        <f t="shared" si="50"/>
        <v>0</v>
      </c>
      <c r="BY133" s="222"/>
      <c r="BZ133" s="222"/>
      <c r="CA133" s="222"/>
      <c r="CB133" s="222"/>
      <c r="CC133" s="222"/>
      <c r="CD133" s="222"/>
      <c r="CE133" s="222"/>
      <c r="CF133" s="222"/>
      <c r="CG133" s="222"/>
      <c r="CH133" s="222"/>
      <c r="CI133" s="222"/>
      <c r="CJ133" s="222"/>
      <c r="CK133" s="222"/>
      <c r="CL133" s="222"/>
      <c r="CM133" s="222"/>
      <c r="CN133" s="222"/>
      <c r="CO133" s="222"/>
      <c r="CP133" s="222"/>
      <c r="CQ133" s="222"/>
      <c r="CR133" s="222"/>
      <c r="CS133" s="222"/>
      <c r="CT133" s="222"/>
      <c r="CU133" s="222"/>
      <c r="CV133" s="222"/>
      <c r="CW133" s="222"/>
      <c r="CX133" s="222"/>
      <c r="CY133" s="222"/>
      <c r="CZ133" s="222"/>
      <c r="DA133" s="222"/>
      <c r="DB133" s="222"/>
      <c r="DC133" s="222"/>
      <c r="DD133" s="222"/>
      <c r="DE133" s="222"/>
      <c r="DF133" s="222"/>
      <c r="DG133" s="222"/>
      <c r="DH133" s="222"/>
      <c r="DI133" s="222"/>
      <c r="DJ133" s="222"/>
      <c r="DK133" s="222"/>
      <c r="DL133" s="222"/>
      <c r="DM133" s="222"/>
      <c r="DN133" s="222"/>
      <c r="DO133" s="222"/>
      <c r="DP133" s="222"/>
      <c r="DQ133" s="222"/>
      <c r="DR133" s="222"/>
      <c r="DS133" s="222"/>
      <c r="DT133" s="222"/>
      <c r="DU133" s="222"/>
      <c r="DV133" s="222"/>
      <c r="DW133" s="325"/>
      <c r="DX133" s="325"/>
      <c r="DY133" s="325"/>
      <c r="DZ133" s="325"/>
      <c r="EA133" s="325"/>
      <c r="EB133" s="325"/>
      <c r="EC133" s="325"/>
      <c r="ED133" s="325"/>
      <c r="EE133" s="325"/>
      <c r="EF133" s="325"/>
      <c r="EG133" s="325"/>
      <c r="EH133" s="325"/>
    </row>
    <row r="134" spans="1:138">
      <c r="A134" s="222"/>
      <c r="B134" s="318"/>
      <c r="C134" s="310" t="s">
        <v>297</v>
      </c>
      <c r="D134" s="319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  <c r="O134" s="311"/>
      <c r="P134" s="311"/>
      <c r="Q134" s="311"/>
      <c r="R134" s="311"/>
      <c r="S134" s="311"/>
      <c r="T134" s="311">
        <f>T101-T150-T166-T182</f>
        <v>-6700525.5755995847</v>
      </c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1"/>
      <c r="AJ134" s="311"/>
      <c r="AK134" s="311"/>
      <c r="AL134" s="311"/>
      <c r="AM134" s="311"/>
      <c r="AN134" s="311"/>
      <c r="AO134" s="311"/>
      <c r="AP134" s="311"/>
      <c r="AQ134" s="311"/>
      <c r="AR134" s="311"/>
      <c r="AS134" s="311"/>
      <c r="AT134" s="311"/>
      <c r="AU134" s="311"/>
      <c r="AV134" s="311"/>
      <c r="AW134" s="311"/>
      <c r="AX134" s="311"/>
      <c r="AY134" s="311"/>
      <c r="AZ134" s="311"/>
      <c r="BA134" s="311"/>
      <c r="BB134" s="311"/>
      <c r="BC134" s="311"/>
      <c r="BD134" s="311"/>
      <c r="BE134" s="311"/>
      <c r="BF134" s="311"/>
      <c r="BG134" s="311"/>
      <c r="BH134" s="311"/>
      <c r="BI134" s="311"/>
      <c r="BJ134" s="311"/>
      <c r="BK134" s="311"/>
      <c r="BL134" s="311"/>
      <c r="BM134" s="311"/>
      <c r="BN134" s="311"/>
      <c r="BO134" s="311"/>
      <c r="BP134" s="311"/>
      <c r="BQ134" s="311"/>
      <c r="BR134" s="311"/>
      <c r="BS134" s="311"/>
      <c r="BT134" s="311"/>
      <c r="BU134" s="311"/>
      <c r="BV134" s="311"/>
      <c r="BW134" s="311"/>
      <c r="BX134" s="311">
        <f>IF(D106&gt;0.25,(BX101-BX109)*D135,BX101*D135)</f>
        <v>0</v>
      </c>
      <c r="BY134" s="222"/>
      <c r="BZ134" s="222"/>
      <c r="CA134" s="222"/>
      <c r="CB134" s="222"/>
      <c r="CC134" s="222"/>
      <c r="CD134" s="222"/>
      <c r="CE134" s="222"/>
      <c r="CF134" s="222"/>
      <c r="CG134" s="222"/>
      <c r="CH134" s="222"/>
      <c r="CI134" s="222"/>
      <c r="CJ134" s="222"/>
      <c r="CK134" s="222"/>
      <c r="CL134" s="222"/>
      <c r="CM134" s="222"/>
      <c r="CN134" s="222"/>
      <c r="CO134" s="222"/>
      <c r="CP134" s="222"/>
      <c r="CQ134" s="222"/>
      <c r="CR134" s="222"/>
      <c r="CS134" s="222"/>
      <c r="CT134" s="222"/>
      <c r="CU134" s="222"/>
      <c r="CV134" s="222"/>
      <c r="CW134" s="222"/>
      <c r="CX134" s="222"/>
      <c r="CY134" s="222"/>
      <c r="CZ134" s="222"/>
      <c r="DA134" s="222"/>
      <c r="DB134" s="222"/>
      <c r="DC134" s="222"/>
      <c r="DD134" s="222"/>
      <c r="DE134" s="222"/>
      <c r="DF134" s="222"/>
      <c r="DG134" s="222"/>
      <c r="DH134" s="222"/>
      <c r="DI134" s="222"/>
      <c r="DJ134" s="222"/>
      <c r="DK134" s="222"/>
      <c r="DL134" s="222"/>
      <c r="DM134" s="222"/>
      <c r="DN134" s="222"/>
      <c r="DO134" s="222"/>
      <c r="DP134" s="222"/>
      <c r="DQ134" s="222"/>
      <c r="DR134" s="222"/>
      <c r="DS134" s="222"/>
      <c r="DT134" s="222"/>
      <c r="DU134" s="222"/>
      <c r="DV134" s="222"/>
      <c r="DW134" s="325"/>
      <c r="DX134" s="325"/>
      <c r="DY134" s="325"/>
      <c r="DZ134" s="325"/>
      <c r="EA134" s="325"/>
      <c r="EB134" s="325"/>
      <c r="EC134" s="325"/>
      <c r="ED134" s="325"/>
      <c r="EE134" s="325"/>
      <c r="EF134" s="325"/>
      <c r="EG134" s="325"/>
      <c r="EH134" s="325"/>
    </row>
    <row r="135" spans="1:138">
      <c r="A135" s="222"/>
      <c r="B135" s="318"/>
      <c r="C135" s="313" t="s">
        <v>298</v>
      </c>
      <c r="D135" s="319">
        <v>0</v>
      </c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22"/>
      <c r="BZ135" s="222"/>
      <c r="CA135" s="222"/>
      <c r="CB135" s="222"/>
      <c r="CC135" s="222"/>
      <c r="CD135" s="222"/>
      <c r="CE135" s="222"/>
      <c r="CF135" s="222"/>
      <c r="CG135" s="222"/>
      <c r="CH135" s="222"/>
      <c r="CI135" s="222"/>
      <c r="CJ135" s="222"/>
      <c r="CK135" s="222"/>
      <c r="CL135" s="222"/>
      <c r="CM135" s="222"/>
      <c r="CN135" s="222"/>
      <c r="CO135" s="222"/>
      <c r="CP135" s="222"/>
      <c r="CQ135" s="222"/>
      <c r="CR135" s="222"/>
      <c r="CS135" s="222"/>
      <c r="CT135" s="222"/>
      <c r="CU135" s="222"/>
      <c r="CV135" s="222"/>
      <c r="CW135" s="222"/>
      <c r="CX135" s="222"/>
      <c r="CY135" s="222"/>
      <c r="CZ135" s="222"/>
      <c r="DA135" s="222"/>
      <c r="DB135" s="222"/>
      <c r="DC135" s="222"/>
      <c r="DD135" s="222"/>
      <c r="DE135" s="222"/>
      <c r="DF135" s="222"/>
      <c r="DG135" s="222"/>
      <c r="DH135" s="222"/>
      <c r="DI135" s="222"/>
      <c r="DJ135" s="222"/>
      <c r="DK135" s="222"/>
      <c r="DL135" s="222"/>
      <c r="DM135" s="222"/>
      <c r="DN135" s="222"/>
      <c r="DO135" s="222"/>
      <c r="DP135" s="222"/>
      <c r="DQ135" s="222"/>
      <c r="DR135" s="222"/>
      <c r="DS135" s="222"/>
      <c r="DT135" s="222"/>
      <c r="DU135" s="222"/>
      <c r="DV135" s="222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</row>
    <row r="136" spans="1:138">
      <c r="A136" s="222"/>
      <c r="B136" s="318"/>
      <c r="C136" s="310" t="s">
        <v>299</v>
      </c>
      <c r="D136" s="311"/>
      <c r="E136" s="321">
        <f t="shared" ref="E136:BX136" si="51">E131+E132+E133+E134+E135</f>
        <v>0</v>
      </c>
      <c r="F136" s="321">
        <f t="shared" si="51"/>
        <v>0</v>
      </c>
      <c r="G136" s="321">
        <f t="shared" si="51"/>
        <v>0</v>
      </c>
      <c r="H136" s="321">
        <f t="shared" si="51"/>
        <v>0</v>
      </c>
      <c r="I136" s="321">
        <f t="shared" si="51"/>
        <v>0</v>
      </c>
      <c r="J136" s="321">
        <f t="shared" si="51"/>
        <v>0</v>
      </c>
      <c r="K136" s="321">
        <f t="shared" si="51"/>
        <v>-885000</v>
      </c>
      <c r="L136" s="321">
        <f t="shared" si="51"/>
        <v>-1940000</v>
      </c>
      <c r="M136" s="321">
        <f t="shared" si="51"/>
        <v>-4260000</v>
      </c>
      <c r="N136" s="321">
        <f t="shared" si="51"/>
        <v>0</v>
      </c>
      <c r="O136" s="321">
        <f t="shared" si="51"/>
        <v>-320000</v>
      </c>
      <c r="P136" s="321">
        <f t="shared" si="51"/>
        <v>-1050000</v>
      </c>
      <c r="Q136" s="321">
        <f t="shared" si="51"/>
        <v>-4550000</v>
      </c>
      <c r="R136" s="321">
        <f t="shared" si="51"/>
        <v>0</v>
      </c>
      <c r="S136" s="321">
        <f t="shared" si="51"/>
        <v>-3550000</v>
      </c>
      <c r="T136" s="321">
        <f t="shared" si="51"/>
        <v>-11600525.575599585</v>
      </c>
      <c r="U136" s="321">
        <f t="shared" si="51"/>
        <v>-4100000</v>
      </c>
      <c r="V136" s="321">
        <f t="shared" si="51"/>
        <v>0</v>
      </c>
      <c r="W136" s="321">
        <f t="shared" si="51"/>
        <v>0</v>
      </c>
      <c r="X136" s="321">
        <f t="shared" si="51"/>
        <v>0</v>
      </c>
      <c r="Y136" s="321">
        <f t="shared" si="51"/>
        <v>0</v>
      </c>
      <c r="Z136" s="321">
        <f t="shared" si="51"/>
        <v>0</v>
      </c>
      <c r="AA136" s="321">
        <f t="shared" si="51"/>
        <v>28090912.5</v>
      </c>
      <c r="AB136" s="321">
        <f t="shared" si="51"/>
        <v>0</v>
      </c>
      <c r="AC136" s="321">
        <f t="shared" si="51"/>
        <v>0</v>
      </c>
      <c r="AD136" s="321">
        <f t="shared" si="51"/>
        <v>0</v>
      </c>
      <c r="AE136" s="321">
        <f t="shared" si="51"/>
        <v>0</v>
      </c>
      <c r="AF136" s="321">
        <f t="shared" si="51"/>
        <v>0</v>
      </c>
      <c r="AG136" s="321">
        <f t="shared" si="51"/>
        <v>0</v>
      </c>
      <c r="AH136" s="321">
        <f t="shared" si="51"/>
        <v>0</v>
      </c>
      <c r="AI136" s="321">
        <f t="shared" si="51"/>
        <v>0</v>
      </c>
      <c r="AJ136" s="321">
        <f t="shared" si="51"/>
        <v>0</v>
      </c>
      <c r="AK136" s="321">
        <f t="shared" si="51"/>
        <v>0</v>
      </c>
      <c r="AL136" s="321">
        <f t="shared" si="51"/>
        <v>0</v>
      </c>
      <c r="AM136" s="321">
        <f t="shared" si="51"/>
        <v>0</v>
      </c>
      <c r="AN136" s="321">
        <f t="shared" si="51"/>
        <v>0</v>
      </c>
      <c r="AO136" s="321">
        <f t="shared" si="51"/>
        <v>0</v>
      </c>
      <c r="AP136" s="321">
        <f t="shared" si="51"/>
        <v>0</v>
      </c>
      <c r="AQ136" s="321">
        <f t="shared" si="51"/>
        <v>0</v>
      </c>
      <c r="AR136" s="321">
        <f t="shared" si="51"/>
        <v>0</v>
      </c>
      <c r="AS136" s="321">
        <f t="shared" si="51"/>
        <v>0</v>
      </c>
      <c r="AT136" s="321">
        <f t="shared" si="51"/>
        <v>0</v>
      </c>
      <c r="AU136" s="321">
        <f t="shared" si="51"/>
        <v>0</v>
      </c>
      <c r="AV136" s="321">
        <f t="shared" si="51"/>
        <v>0</v>
      </c>
      <c r="AW136" s="321">
        <f t="shared" si="51"/>
        <v>0</v>
      </c>
      <c r="AX136" s="321">
        <f t="shared" si="51"/>
        <v>0</v>
      </c>
      <c r="AY136" s="321">
        <f t="shared" si="51"/>
        <v>0</v>
      </c>
      <c r="AZ136" s="321">
        <f t="shared" si="51"/>
        <v>0</v>
      </c>
      <c r="BA136" s="321">
        <f t="shared" si="51"/>
        <v>0</v>
      </c>
      <c r="BB136" s="321">
        <f t="shared" si="51"/>
        <v>0</v>
      </c>
      <c r="BC136" s="321">
        <f t="shared" si="51"/>
        <v>0</v>
      </c>
      <c r="BD136" s="321">
        <f t="shared" si="51"/>
        <v>0</v>
      </c>
      <c r="BE136" s="321">
        <f t="shared" si="51"/>
        <v>0</v>
      </c>
      <c r="BF136" s="321">
        <f t="shared" si="51"/>
        <v>0</v>
      </c>
      <c r="BG136" s="321">
        <f t="shared" si="51"/>
        <v>0</v>
      </c>
      <c r="BH136" s="321">
        <f t="shared" si="51"/>
        <v>0</v>
      </c>
      <c r="BI136" s="321">
        <f t="shared" si="51"/>
        <v>0</v>
      </c>
      <c r="BJ136" s="321">
        <f t="shared" si="51"/>
        <v>0</v>
      </c>
      <c r="BK136" s="321">
        <f t="shared" si="51"/>
        <v>0</v>
      </c>
      <c r="BL136" s="321">
        <f t="shared" si="51"/>
        <v>0</v>
      </c>
      <c r="BM136" s="321">
        <f t="shared" si="51"/>
        <v>0</v>
      </c>
      <c r="BN136" s="321">
        <f t="shared" si="51"/>
        <v>0</v>
      </c>
      <c r="BO136" s="321">
        <f t="shared" si="51"/>
        <v>0</v>
      </c>
      <c r="BP136" s="321">
        <f t="shared" si="51"/>
        <v>0</v>
      </c>
      <c r="BQ136" s="321">
        <f t="shared" si="51"/>
        <v>0</v>
      </c>
      <c r="BR136" s="321">
        <f t="shared" si="51"/>
        <v>0</v>
      </c>
      <c r="BS136" s="321">
        <f t="shared" si="51"/>
        <v>0</v>
      </c>
      <c r="BT136" s="321">
        <f t="shared" si="51"/>
        <v>0</v>
      </c>
      <c r="BU136" s="321">
        <f t="shared" si="51"/>
        <v>0</v>
      </c>
      <c r="BV136" s="321">
        <f t="shared" si="51"/>
        <v>0</v>
      </c>
      <c r="BW136" s="321">
        <f t="shared" si="51"/>
        <v>0</v>
      </c>
      <c r="BX136" s="321">
        <f t="shared" si="51"/>
        <v>0</v>
      </c>
      <c r="BY136" s="222"/>
      <c r="BZ136" s="222"/>
      <c r="CA136" s="222"/>
      <c r="CB136" s="222"/>
      <c r="CC136" s="222"/>
      <c r="CD136" s="222"/>
      <c r="CE136" s="222"/>
      <c r="CF136" s="222"/>
      <c r="CG136" s="222"/>
      <c r="CH136" s="222"/>
      <c r="CI136" s="222"/>
      <c r="CJ136" s="222"/>
      <c r="CK136" s="222"/>
      <c r="CL136" s="222"/>
      <c r="CM136" s="222"/>
      <c r="CN136" s="222"/>
      <c r="CO136" s="222"/>
      <c r="CP136" s="222"/>
      <c r="CQ136" s="222"/>
      <c r="CR136" s="222"/>
      <c r="CS136" s="222"/>
      <c r="CT136" s="222"/>
      <c r="CU136" s="222"/>
      <c r="CV136" s="222"/>
      <c r="CW136" s="222"/>
      <c r="CX136" s="222"/>
      <c r="CY136" s="222"/>
      <c r="CZ136" s="222"/>
      <c r="DA136" s="222"/>
      <c r="DB136" s="222"/>
      <c r="DC136" s="222"/>
      <c r="DD136" s="222"/>
      <c r="DE136" s="222"/>
      <c r="DF136" s="222"/>
      <c r="DG136" s="222"/>
      <c r="DH136" s="222"/>
      <c r="DI136" s="222"/>
      <c r="DJ136" s="222"/>
      <c r="DK136" s="222"/>
      <c r="DL136" s="222"/>
      <c r="DM136" s="222"/>
      <c r="DN136" s="222"/>
      <c r="DO136" s="222"/>
      <c r="DP136" s="222"/>
      <c r="DQ136" s="222"/>
      <c r="DR136" s="222"/>
      <c r="DS136" s="222"/>
      <c r="DT136" s="222"/>
      <c r="DU136" s="222"/>
      <c r="DV136" s="222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</row>
    <row r="137" spans="1:138">
      <c r="A137" s="222"/>
      <c r="B137" s="318"/>
      <c r="C137" s="314"/>
      <c r="D137" s="322" t="s">
        <v>306</v>
      </c>
      <c r="E137" s="327">
        <f>E136</f>
        <v>0</v>
      </c>
      <c r="F137" s="327">
        <f t="shared" ref="F137:BX137" si="52">E137+F136</f>
        <v>0</v>
      </c>
      <c r="G137" s="327">
        <f t="shared" si="52"/>
        <v>0</v>
      </c>
      <c r="H137" s="327">
        <f t="shared" si="52"/>
        <v>0</v>
      </c>
      <c r="I137" s="327">
        <f t="shared" si="52"/>
        <v>0</v>
      </c>
      <c r="J137" s="327">
        <f t="shared" si="52"/>
        <v>0</v>
      </c>
      <c r="K137" s="327">
        <f t="shared" si="52"/>
        <v>-885000</v>
      </c>
      <c r="L137" s="327">
        <f t="shared" si="52"/>
        <v>-2825000</v>
      </c>
      <c r="M137" s="327">
        <f t="shared" si="52"/>
        <v>-7085000</v>
      </c>
      <c r="N137" s="327">
        <f t="shared" si="52"/>
        <v>-7085000</v>
      </c>
      <c r="O137" s="327">
        <f t="shared" si="52"/>
        <v>-7405000</v>
      </c>
      <c r="P137" s="327">
        <f t="shared" si="52"/>
        <v>-8455000</v>
      </c>
      <c r="Q137" s="327">
        <f t="shared" si="52"/>
        <v>-13005000</v>
      </c>
      <c r="R137" s="327">
        <f t="shared" si="52"/>
        <v>-13005000</v>
      </c>
      <c r="S137" s="327">
        <f t="shared" si="52"/>
        <v>-16555000</v>
      </c>
      <c r="T137" s="327">
        <f t="shared" si="52"/>
        <v>-28155525.575599585</v>
      </c>
      <c r="U137" s="327">
        <f t="shared" si="52"/>
        <v>-32255525.575599585</v>
      </c>
      <c r="V137" s="327">
        <f t="shared" si="52"/>
        <v>-32255525.575599585</v>
      </c>
      <c r="W137" s="327">
        <f t="shared" si="52"/>
        <v>-32255525.575599585</v>
      </c>
      <c r="X137" s="327">
        <f t="shared" si="52"/>
        <v>-32255525.575599585</v>
      </c>
      <c r="Y137" s="327">
        <f t="shared" si="52"/>
        <v>-32255525.575599585</v>
      </c>
      <c r="Z137" s="327">
        <f t="shared" si="52"/>
        <v>-32255525.575599585</v>
      </c>
      <c r="AA137" s="327">
        <f t="shared" si="52"/>
        <v>-4164613.0755995847</v>
      </c>
      <c r="AB137" s="327">
        <f t="shared" si="52"/>
        <v>-4164613.0755995847</v>
      </c>
      <c r="AC137" s="327">
        <f t="shared" si="52"/>
        <v>-4164613.0755995847</v>
      </c>
      <c r="AD137" s="327">
        <f t="shared" si="52"/>
        <v>-4164613.0755995847</v>
      </c>
      <c r="AE137" s="327">
        <f t="shared" si="52"/>
        <v>-4164613.0755995847</v>
      </c>
      <c r="AF137" s="327">
        <f t="shared" si="52"/>
        <v>-4164613.0755995847</v>
      </c>
      <c r="AG137" s="327">
        <f t="shared" si="52"/>
        <v>-4164613.0755995847</v>
      </c>
      <c r="AH137" s="327">
        <f t="shared" si="52"/>
        <v>-4164613.0755995847</v>
      </c>
      <c r="AI137" s="327">
        <f t="shared" si="52"/>
        <v>-4164613.0755995847</v>
      </c>
      <c r="AJ137" s="327">
        <f t="shared" si="52"/>
        <v>-4164613.0755995847</v>
      </c>
      <c r="AK137" s="327">
        <f t="shared" si="52"/>
        <v>-4164613.0755995847</v>
      </c>
      <c r="AL137" s="327">
        <f t="shared" si="52"/>
        <v>-4164613.0755995847</v>
      </c>
      <c r="AM137" s="327">
        <f t="shared" si="52"/>
        <v>-4164613.0755995847</v>
      </c>
      <c r="AN137" s="327">
        <f t="shared" si="52"/>
        <v>-4164613.0755995847</v>
      </c>
      <c r="AO137" s="327">
        <f t="shared" si="52"/>
        <v>-4164613.0755995847</v>
      </c>
      <c r="AP137" s="327">
        <f t="shared" si="52"/>
        <v>-4164613.0755995847</v>
      </c>
      <c r="AQ137" s="327">
        <f t="shared" si="52"/>
        <v>-4164613.0755995847</v>
      </c>
      <c r="AR137" s="327">
        <f t="shared" si="52"/>
        <v>-4164613.0755995847</v>
      </c>
      <c r="AS137" s="327">
        <f t="shared" si="52"/>
        <v>-4164613.0755995847</v>
      </c>
      <c r="AT137" s="327">
        <f t="shared" si="52"/>
        <v>-4164613.0755995847</v>
      </c>
      <c r="AU137" s="327">
        <f t="shared" si="52"/>
        <v>-4164613.0755995847</v>
      </c>
      <c r="AV137" s="327">
        <f t="shared" si="52"/>
        <v>-4164613.0755995847</v>
      </c>
      <c r="AW137" s="327">
        <f t="shared" si="52"/>
        <v>-4164613.0755995847</v>
      </c>
      <c r="AX137" s="327">
        <f t="shared" si="52"/>
        <v>-4164613.0755995847</v>
      </c>
      <c r="AY137" s="327">
        <f t="shared" si="52"/>
        <v>-4164613.0755995847</v>
      </c>
      <c r="AZ137" s="327">
        <f t="shared" si="52"/>
        <v>-4164613.0755995847</v>
      </c>
      <c r="BA137" s="327">
        <f t="shared" si="52"/>
        <v>-4164613.0755995847</v>
      </c>
      <c r="BB137" s="327">
        <f t="shared" si="52"/>
        <v>-4164613.0755995847</v>
      </c>
      <c r="BC137" s="327">
        <f t="shared" si="52"/>
        <v>-4164613.0755995847</v>
      </c>
      <c r="BD137" s="327">
        <f t="shared" si="52"/>
        <v>-4164613.0755995847</v>
      </c>
      <c r="BE137" s="327">
        <f t="shared" si="52"/>
        <v>-4164613.0755995847</v>
      </c>
      <c r="BF137" s="327">
        <f t="shared" si="52"/>
        <v>-4164613.0755995847</v>
      </c>
      <c r="BG137" s="327">
        <f t="shared" si="52"/>
        <v>-4164613.0755995847</v>
      </c>
      <c r="BH137" s="327">
        <f t="shared" si="52"/>
        <v>-4164613.0755995847</v>
      </c>
      <c r="BI137" s="327">
        <f t="shared" si="52"/>
        <v>-4164613.0755995847</v>
      </c>
      <c r="BJ137" s="327">
        <f t="shared" si="52"/>
        <v>-4164613.0755995847</v>
      </c>
      <c r="BK137" s="327">
        <f t="shared" si="52"/>
        <v>-4164613.0755995847</v>
      </c>
      <c r="BL137" s="327">
        <f t="shared" si="52"/>
        <v>-4164613.0755995847</v>
      </c>
      <c r="BM137" s="327">
        <f t="shared" si="52"/>
        <v>-4164613.0755995847</v>
      </c>
      <c r="BN137" s="327">
        <f t="shared" si="52"/>
        <v>-4164613.0755995847</v>
      </c>
      <c r="BO137" s="327">
        <f t="shared" si="52"/>
        <v>-4164613.0755995847</v>
      </c>
      <c r="BP137" s="327">
        <f t="shared" si="52"/>
        <v>-4164613.0755995847</v>
      </c>
      <c r="BQ137" s="327">
        <f t="shared" si="52"/>
        <v>-4164613.0755995847</v>
      </c>
      <c r="BR137" s="327">
        <f t="shared" si="52"/>
        <v>-4164613.0755995847</v>
      </c>
      <c r="BS137" s="327">
        <f t="shared" si="52"/>
        <v>-4164613.0755995847</v>
      </c>
      <c r="BT137" s="327">
        <f t="shared" si="52"/>
        <v>-4164613.0755995847</v>
      </c>
      <c r="BU137" s="327">
        <f t="shared" si="52"/>
        <v>-4164613.0755995847</v>
      </c>
      <c r="BV137" s="327">
        <f t="shared" si="52"/>
        <v>-4164613.0755995847</v>
      </c>
      <c r="BW137" s="327">
        <f t="shared" si="52"/>
        <v>-4164613.0755995847</v>
      </c>
      <c r="BX137" s="327">
        <f t="shared" si="52"/>
        <v>-4164613.0755995847</v>
      </c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2"/>
      <c r="CV137" s="222"/>
      <c r="CW137" s="222"/>
      <c r="CX137" s="222"/>
      <c r="CY137" s="222"/>
      <c r="CZ137" s="222"/>
      <c r="DA137" s="222"/>
      <c r="DB137" s="222"/>
      <c r="DC137" s="222"/>
      <c r="DD137" s="222"/>
      <c r="DE137" s="222"/>
      <c r="DF137" s="222"/>
      <c r="DG137" s="222"/>
      <c r="DH137" s="222"/>
      <c r="DI137" s="222"/>
      <c r="DJ137" s="222"/>
      <c r="DK137" s="222"/>
      <c r="DL137" s="222"/>
      <c r="DM137" s="222"/>
      <c r="DN137" s="222"/>
      <c r="DO137" s="222"/>
      <c r="DP137" s="222"/>
      <c r="DQ137" s="222"/>
      <c r="DR137" s="222"/>
      <c r="DS137" s="222"/>
      <c r="DT137" s="222"/>
      <c r="DU137" s="222"/>
      <c r="DV137" s="222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</row>
    <row r="138" spans="1:138">
      <c r="A138" s="222"/>
      <c r="B138" s="318"/>
      <c r="C138" s="313" t="s">
        <v>292</v>
      </c>
      <c r="D138" s="322">
        <f>IRR(E136:BX136)*12</f>
        <v>-0.17963654384003824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  <c r="BQ138" s="22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22"/>
      <c r="CO138" s="222"/>
      <c r="CP138" s="222"/>
      <c r="CQ138" s="222"/>
      <c r="CR138" s="222"/>
      <c r="CS138" s="222"/>
      <c r="CT138" s="222"/>
      <c r="CU138" s="222"/>
      <c r="CV138" s="222"/>
      <c r="CW138" s="222"/>
      <c r="CX138" s="222"/>
      <c r="CY138" s="222"/>
      <c r="CZ138" s="222"/>
      <c r="DA138" s="222"/>
      <c r="DB138" s="222"/>
      <c r="DC138" s="222"/>
      <c r="DD138" s="222"/>
      <c r="DE138" s="222"/>
      <c r="DF138" s="222"/>
      <c r="DG138" s="222"/>
      <c r="DH138" s="222"/>
      <c r="DI138" s="222"/>
      <c r="DJ138" s="222"/>
      <c r="DK138" s="222"/>
      <c r="DL138" s="222"/>
      <c r="DM138" s="222"/>
      <c r="DN138" s="222"/>
      <c r="DO138" s="222"/>
      <c r="DP138" s="222"/>
      <c r="DQ138" s="222"/>
      <c r="DR138" s="222"/>
      <c r="DS138" s="222"/>
      <c r="DT138" s="222"/>
      <c r="DU138" s="222"/>
      <c r="DV138" s="222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</row>
    <row r="139" spans="1:138">
      <c r="A139" s="222"/>
      <c r="B139" s="318"/>
      <c r="C139" s="323" t="s">
        <v>300</v>
      </c>
      <c r="D139" s="324">
        <f>-MIN(E131:BL131)</f>
        <v>4900000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  <c r="BQ139" s="22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22"/>
      <c r="CO139" s="222"/>
      <c r="CP139" s="222"/>
      <c r="CQ139" s="222"/>
      <c r="CR139" s="222"/>
      <c r="CS139" s="222"/>
      <c r="CT139" s="222"/>
      <c r="CU139" s="222"/>
      <c r="CV139" s="222"/>
      <c r="CW139" s="222"/>
      <c r="CX139" s="222"/>
      <c r="CY139" s="222"/>
      <c r="CZ139" s="222"/>
      <c r="DA139" s="222"/>
      <c r="DB139" s="222"/>
      <c r="DC139" s="222"/>
      <c r="DD139" s="222"/>
      <c r="DE139" s="222"/>
      <c r="DF139" s="222"/>
      <c r="DG139" s="222"/>
      <c r="DH139" s="222"/>
      <c r="DI139" s="222"/>
      <c r="DJ139" s="222"/>
      <c r="DK139" s="222"/>
      <c r="DL139" s="222"/>
      <c r="DM139" s="222"/>
      <c r="DN139" s="222"/>
      <c r="DO139" s="222"/>
      <c r="DP139" s="222"/>
      <c r="DQ139" s="222"/>
      <c r="DR139" s="222"/>
      <c r="DS139" s="222"/>
      <c r="DT139" s="222"/>
      <c r="DU139" s="222"/>
      <c r="DV139" s="222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</row>
    <row r="140" spans="1:138">
      <c r="A140" s="222"/>
      <c r="B140" s="318"/>
      <c r="C140" s="323" t="s">
        <v>301</v>
      </c>
      <c r="D140" s="324">
        <f>-SUM(M135:BB135)</f>
        <v>0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  <c r="BQ140" s="22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22"/>
      <c r="CO140" s="222"/>
      <c r="CP140" s="222"/>
      <c r="CQ140" s="222"/>
      <c r="CR140" s="222"/>
      <c r="CS140" s="222"/>
      <c r="CT140" s="222"/>
      <c r="CU140" s="222"/>
      <c r="CV140" s="222"/>
      <c r="CW140" s="222"/>
      <c r="CX140" s="222"/>
      <c r="CY140" s="222"/>
      <c r="CZ140" s="222"/>
      <c r="DA140" s="222"/>
      <c r="DB140" s="222"/>
      <c r="DC140" s="222"/>
      <c r="DD140" s="222"/>
      <c r="DE140" s="222"/>
      <c r="DF140" s="222"/>
      <c r="DG140" s="222"/>
      <c r="DH140" s="222"/>
      <c r="DI140" s="222"/>
      <c r="DJ140" s="222"/>
      <c r="DK140" s="222"/>
      <c r="DL140" s="222"/>
      <c r="DM140" s="222"/>
      <c r="DN140" s="222"/>
      <c r="DO140" s="222"/>
      <c r="DP140" s="222"/>
      <c r="DQ140" s="222"/>
      <c r="DR140" s="222"/>
      <c r="DS140" s="222"/>
      <c r="DT140" s="222"/>
      <c r="DU140" s="222"/>
      <c r="DV140" s="222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</row>
    <row r="141" spans="1:138">
      <c r="A141" s="222"/>
      <c r="B141" s="318"/>
      <c r="C141" s="313" t="s">
        <v>302</v>
      </c>
      <c r="D141" s="326">
        <f>D140+D139</f>
        <v>4900000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  <c r="BQ141" s="22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22"/>
      <c r="CO141" s="222"/>
      <c r="CP141" s="222"/>
      <c r="CQ141" s="222"/>
      <c r="CR141" s="222"/>
      <c r="CS141" s="222"/>
      <c r="CT141" s="222"/>
      <c r="CU141" s="222"/>
      <c r="CV141" s="222"/>
      <c r="CW141" s="222"/>
      <c r="CX141" s="222"/>
      <c r="CY141" s="222"/>
      <c r="CZ141" s="222"/>
      <c r="DA141" s="222"/>
      <c r="DB141" s="222"/>
      <c r="DC141" s="222"/>
      <c r="DD141" s="222"/>
      <c r="DE141" s="222"/>
      <c r="DF141" s="222"/>
      <c r="DG141" s="222"/>
      <c r="DH141" s="222"/>
      <c r="DI141" s="222"/>
      <c r="DJ141" s="222"/>
      <c r="DK141" s="222"/>
      <c r="DL141" s="222"/>
      <c r="DM141" s="222"/>
      <c r="DN141" s="222"/>
      <c r="DO141" s="222"/>
      <c r="DP141" s="222"/>
      <c r="DQ141" s="222"/>
      <c r="DR141" s="222"/>
      <c r="DS141" s="222"/>
      <c r="DT141" s="222"/>
      <c r="DU141" s="222"/>
      <c r="DV141" s="222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</row>
    <row r="142" spans="1:138">
      <c r="A142" s="222"/>
      <c r="B142" s="318"/>
      <c r="C142" s="313" t="s">
        <v>303</v>
      </c>
      <c r="D142" s="326">
        <f>BX133+BX134</f>
        <v>0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222"/>
      <c r="AF142" s="222"/>
      <c r="AG142" s="222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222"/>
      <c r="BN142" s="222"/>
      <c r="BO142" s="222"/>
      <c r="BP142" s="222"/>
      <c r="BQ142" s="22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2"/>
      <c r="CV142" s="222"/>
      <c r="CW142" s="222"/>
      <c r="CX142" s="222"/>
      <c r="CY142" s="222"/>
      <c r="CZ142" s="222"/>
      <c r="DA142" s="222"/>
      <c r="DB142" s="222"/>
      <c r="DC142" s="222"/>
      <c r="DD142" s="222"/>
      <c r="DE142" s="222"/>
      <c r="DF142" s="222"/>
      <c r="DG142" s="222"/>
      <c r="DH142" s="222"/>
      <c r="DI142" s="222"/>
      <c r="DJ142" s="222"/>
      <c r="DK142" s="222"/>
      <c r="DL142" s="222"/>
      <c r="DM142" s="222"/>
      <c r="DN142" s="222"/>
      <c r="DO142" s="222"/>
      <c r="DP142" s="222"/>
      <c r="DQ142" s="222"/>
      <c r="DR142" s="222"/>
      <c r="DS142" s="222"/>
      <c r="DT142" s="222"/>
      <c r="DU142" s="222"/>
      <c r="DV142" s="222"/>
      <c r="DW142" s="325"/>
      <c r="DX142" s="325"/>
      <c r="DY142" s="325"/>
      <c r="DZ142" s="325"/>
      <c r="EA142" s="325"/>
      <c r="EB142" s="325"/>
      <c r="EC142" s="325"/>
      <c r="ED142" s="325"/>
      <c r="EE142" s="325"/>
      <c r="EF142" s="325"/>
      <c r="EG142" s="325"/>
      <c r="EH142" s="325"/>
    </row>
    <row r="143" spans="1:138">
      <c r="A143" s="222"/>
      <c r="B143" s="318"/>
      <c r="C143" s="313" t="s">
        <v>147</v>
      </c>
      <c r="D143" s="322">
        <f>(D142-D140)/D141</f>
        <v>0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  <c r="BL143" s="222"/>
      <c r="BM143" s="222"/>
      <c r="BN143" s="222"/>
      <c r="BO143" s="222"/>
      <c r="BP143" s="222"/>
      <c r="BQ143" s="22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22"/>
      <c r="CL143" s="222"/>
      <c r="CM143" s="222"/>
      <c r="CN143" s="222"/>
      <c r="CO143" s="222"/>
      <c r="CP143" s="222"/>
      <c r="CQ143" s="222"/>
      <c r="CR143" s="222"/>
      <c r="CS143" s="222"/>
      <c r="CT143" s="222"/>
      <c r="CU143" s="222"/>
      <c r="CV143" s="222"/>
      <c r="CW143" s="222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2"/>
      <c r="DI143" s="222"/>
      <c r="DJ143" s="222"/>
      <c r="DK143" s="222"/>
      <c r="DL143" s="222"/>
      <c r="DM143" s="222"/>
      <c r="DN143" s="222"/>
      <c r="DO143" s="222"/>
      <c r="DP143" s="222"/>
      <c r="DQ143" s="222"/>
      <c r="DR143" s="222"/>
      <c r="DS143" s="222"/>
      <c r="DT143" s="222"/>
      <c r="DU143" s="222"/>
      <c r="DV143" s="222"/>
      <c r="DW143" s="325"/>
      <c r="DX143" s="325"/>
      <c r="DY143" s="325"/>
      <c r="DZ143" s="325"/>
      <c r="EA143" s="325"/>
      <c r="EB143" s="325"/>
      <c r="EC143" s="325"/>
      <c r="ED143" s="325"/>
      <c r="EE143" s="325"/>
      <c r="EF143" s="325"/>
      <c r="EG143" s="325"/>
      <c r="EH143" s="325"/>
    </row>
    <row r="144" spans="1:138">
      <c r="A144" s="222"/>
      <c r="B144" s="318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AT144" s="222"/>
      <c r="AU144" s="222"/>
      <c r="AV144" s="222"/>
      <c r="AW144" s="222"/>
      <c r="AX144" s="222"/>
      <c r="AY144" s="222"/>
      <c r="AZ144" s="222"/>
      <c r="BA144" s="222"/>
      <c r="BB144" s="222"/>
      <c r="BC144" s="222"/>
      <c r="BD144" s="222"/>
      <c r="BE144" s="222"/>
      <c r="BF144" s="222"/>
      <c r="BG144" s="222"/>
      <c r="BH144" s="222"/>
      <c r="BI144" s="222"/>
      <c r="BJ144" s="222"/>
      <c r="BK144" s="222"/>
      <c r="BL144" s="222"/>
      <c r="BM144" s="222"/>
      <c r="BN144" s="222"/>
      <c r="BO144" s="222"/>
      <c r="BP144" s="222"/>
      <c r="BQ144" s="22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22"/>
      <c r="CL144" s="222"/>
      <c r="CM144" s="222"/>
      <c r="CN144" s="222"/>
      <c r="CO144" s="222"/>
      <c r="CP144" s="222"/>
      <c r="CQ144" s="222"/>
      <c r="CR144" s="222"/>
      <c r="CS144" s="222"/>
      <c r="CT144" s="222"/>
      <c r="CU144" s="222"/>
      <c r="CV144" s="222"/>
      <c r="CW144" s="222"/>
      <c r="CX144" s="222"/>
      <c r="CY144" s="222"/>
      <c r="CZ144" s="222"/>
      <c r="DA144" s="222"/>
      <c r="DB144" s="222"/>
      <c r="DC144" s="222"/>
      <c r="DD144" s="222"/>
      <c r="DE144" s="222"/>
      <c r="DF144" s="222"/>
      <c r="DG144" s="222"/>
      <c r="DH144" s="222"/>
      <c r="DI144" s="222"/>
      <c r="DJ144" s="222"/>
      <c r="DK144" s="222"/>
      <c r="DL144" s="222"/>
      <c r="DM144" s="222"/>
      <c r="DN144" s="222"/>
      <c r="DO144" s="222"/>
      <c r="DP144" s="222"/>
      <c r="DQ144" s="222"/>
      <c r="DR144" s="222"/>
      <c r="DS144" s="222"/>
      <c r="DT144" s="222"/>
      <c r="DU144" s="222"/>
      <c r="DV144" s="222"/>
      <c r="DW144" s="325"/>
      <c r="DX144" s="325"/>
      <c r="DY144" s="325"/>
      <c r="DZ144" s="325"/>
      <c r="EA144" s="325"/>
      <c r="EB144" s="325"/>
      <c r="EC144" s="325"/>
      <c r="ED144" s="325"/>
      <c r="EE144" s="325"/>
      <c r="EF144" s="325"/>
      <c r="EG144" s="325"/>
      <c r="EH144" s="325"/>
    </row>
    <row r="145" spans="1:138">
      <c r="A145" s="222"/>
      <c r="B145" s="318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222"/>
      <c r="AF145" s="222"/>
      <c r="AG145" s="222"/>
      <c r="AH145" s="222"/>
      <c r="AI145" s="222"/>
      <c r="AJ145" s="222"/>
      <c r="AK145" s="222"/>
      <c r="AL145" s="222"/>
      <c r="AM145" s="222"/>
      <c r="AN145" s="222"/>
      <c r="AO145" s="222"/>
      <c r="AP145" s="222"/>
      <c r="AQ145" s="222"/>
      <c r="AR145" s="222"/>
      <c r="AS145" s="222"/>
      <c r="AT145" s="222"/>
      <c r="AU145" s="222"/>
      <c r="AV145" s="222"/>
      <c r="AW145" s="222"/>
      <c r="AX145" s="222"/>
      <c r="AY145" s="222"/>
      <c r="AZ145" s="222"/>
      <c r="BA145" s="222"/>
      <c r="BB145" s="222"/>
      <c r="BC145" s="222"/>
      <c r="BD145" s="222"/>
      <c r="BE145" s="222"/>
      <c r="BF145" s="222"/>
      <c r="BG145" s="222"/>
      <c r="BH145" s="222"/>
      <c r="BI145" s="222"/>
      <c r="BJ145" s="222"/>
      <c r="BK145" s="222"/>
      <c r="BL145" s="222"/>
      <c r="BM145" s="222"/>
      <c r="BN145" s="222"/>
      <c r="BO145" s="222"/>
      <c r="BP145" s="222"/>
      <c r="BQ145" s="222"/>
      <c r="BR145" s="222"/>
      <c r="BS145" s="222"/>
      <c r="BT145" s="22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22"/>
      <c r="CL145" s="222"/>
      <c r="CM145" s="222"/>
      <c r="CN145" s="222"/>
      <c r="CO145" s="222"/>
      <c r="CP145" s="222"/>
      <c r="CQ145" s="222"/>
      <c r="CR145" s="222"/>
      <c r="CS145" s="222"/>
      <c r="CT145" s="222"/>
      <c r="CU145" s="222"/>
      <c r="CV145" s="222"/>
      <c r="CW145" s="222"/>
      <c r="CX145" s="222"/>
      <c r="CY145" s="222"/>
      <c r="CZ145" s="222"/>
      <c r="DA145" s="222"/>
      <c r="DB145" s="222"/>
      <c r="DC145" s="222"/>
      <c r="DD145" s="222"/>
      <c r="DE145" s="222"/>
      <c r="DF145" s="222"/>
      <c r="DG145" s="222"/>
      <c r="DH145" s="222"/>
      <c r="DI145" s="222"/>
      <c r="DJ145" s="222"/>
      <c r="DK145" s="222"/>
      <c r="DL145" s="222"/>
      <c r="DM145" s="222"/>
      <c r="DN145" s="222"/>
      <c r="DO145" s="222"/>
      <c r="DP145" s="222"/>
      <c r="DQ145" s="222"/>
      <c r="DR145" s="222"/>
      <c r="DS145" s="222"/>
      <c r="DT145" s="222"/>
      <c r="DU145" s="222"/>
      <c r="DV145" s="222"/>
      <c r="DW145" s="325"/>
      <c r="DX145" s="325"/>
      <c r="DY145" s="325"/>
      <c r="DZ145" s="325"/>
      <c r="EA145" s="325"/>
      <c r="EB145" s="325"/>
      <c r="EC145" s="325"/>
      <c r="ED145" s="325"/>
      <c r="EE145" s="325"/>
      <c r="EF145" s="325"/>
      <c r="EG145" s="325"/>
      <c r="EH145" s="325"/>
    </row>
    <row r="146" spans="1:138">
      <c r="A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2"/>
      <c r="BN146" s="222"/>
      <c r="BO146" s="222"/>
      <c r="BP146" s="222"/>
      <c r="BQ146" s="222"/>
      <c r="BR146" s="222"/>
      <c r="BS146" s="222"/>
      <c r="BT146" s="22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22"/>
      <c r="CO146" s="222"/>
      <c r="CP146" s="222"/>
      <c r="CQ146" s="222"/>
      <c r="CR146" s="222"/>
      <c r="CS146" s="222"/>
      <c r="CT146" s="222"/>
      <c r="CU146" s="222"/>
      <c r="CV146" s="222"/>
      <c r="CW146" s="222"/>
      <c r="CX146" s="222"/>
      <c r="CY146" s="222"/>
      <c r="CZ146" s="222"/>
      <c r="DA146" s="222"/>
      <c r="DB146" s="222"/>
      <c r="DC146" s="222"/>
      <c r="DD146" s="222"/>
      <c r="DE146" s="222"/>
      <c r="DF146" s="222"/>
      <c r="DG146" s="222"/>
      <c r="DH146" s="222"/>
      <c r="DI146" s="222"/>
      <c r="DJ146" s="222"/>
      <c r="DK146" s="222"/>
      <c r="DL146" s="222"/>
      <c r="DM146" s="222"/>
      <c r="DN146" s="222"/>
      <c r="DO146" s="222"/>
      <c r="DP146" s="222"/>
      <c r="DQ146" s="222"/>
      <c r="DR146" s="222"/>
      <c r="DS146" s="222"/>
      <c r="DT146" s="222"/>
      <c r="DU146" s="222"/>
      <c r="DV146" s="222"/>
      <c r="DW146" s="325"/>
      <c r="DX146" s="325"/>
      <c r="DY146" s="325"/>
      <c r="DZ146" s="325"/>
      <c r="EA146" s="325"/>
      <c r="EB146" s="325"/>
      <c r="EC146" s="325"/>
      <c r="ED146" s="325"/>
      <c r="EE146" s="325"/>
      <c r="EF146" s="325"/>
      <c r="EG146" s="325"/>
      <c r="EH146" s="325"/>
    </row>
    <row r="147" spans="1:138">
      <c r="A147" s="222"/>
      <c r="B147" s="318"/>
      <c r="C147" s="310" t="s">
        <v>307</v>
      </c>
      <c r="D147" s="311"/>
      <c r="E147" s="312">
        <f t="shared" ref="E147:G147" si="53">-(E24+E111)</f>
        <v>0</v>
      </c>
      <c r="F147" s="312">
        <f t="shared" si="53"/>
        <v>0</v>
      </c>
      <c r="G147" s="312">
        <f t="shared" si="53"/>
        <v>0</v>
      </c>
      <c r="H147" s="312">
        <f>-10682501</f>
        <v>-10682501</v>
      </c>
      <c r="I147" s="312">
        <v>0</v>
      </c>
      <c r="J147" s="312">
        <f>-(J24+J111)</f>
        <v>0</v>
      </c>
      <c r="K147" s="312">
        <v>0</v>
      </c>
      <c r="L147" s="312">
        <f t="shared" ref="L147:S147" si="54">-(L24+L111)</f>
        <v>15913.92</v>
      </c>
      <c r="M147" s="312">
        <f t="shared" si="54"/>
        <v>0</v>
      </c>
      <c r="N147" s="312">
        <f t="shared" si="54"/>
        <v>0</v>
      </c>
      <c r="O147" s="312">
        <f t="shared" si="54"/>
        <v>0</v>
      </c>
      <c r="P147" s="312">
        <f t="shared" si="54"/>
        <v>619336.08000000007</v>
      </c>
      <c r="Q147" s="312">
        <f t="shared" si="54"/>
        <v>393250</v>
      </c>
      <c r="R147" s="312">
        <f t="shared" si="54"/>
        <v>393250</v>
      </c>
      <c r="S147" s="312">
        <f t="shared" si="54"/>
        <v>0</v>
      </c>
      <c r="T147" s="312">
        <f>-H147</f>
        <v>10682501</v>
      </c>
      <c r="U147" s="312">
        <f t="shared" ref="U147:BX147" si="55">-(U24+U111)</f>
        <v>0</v>
      </c>
      <c r="V147" s="312">
        <f t="shared" si="55"/>
        <v>0</v>
      </c>
      <c r="W147" s="312">
        <f t="shared" si="55"/>
        <v>0</v>
      </c>
      <c r="X147" s="312">
        <f t="shared" si="55"/>
        <v>0</v>
      </c>
      <c r="Y147" s="312">
        <f t="shared" si="55"/>
        <v>0</v>
      </c>
      <c r="Z147" s="312">
        <f t="shared" si="55"/>
        <v>0</v>
      </c>
      <c r="AA147" s="312">
        <f t="shared" si="55"/>
        <v>0</v>
      </c>
      <c r="AB147" s="312">
        <f t="shared" si="55"/>
        <v>0</v>
      </c>
      <c r="AC147" s="312">
        <f t="shared" si="55"/>
        <v>0</v>
      </c>
      <c r="AD147" s="312">
        <f t="shared" si="55"/>
        <v>0</v>
      </c>
      <c r="AE147" s="312">
        <f t="shared" si="55"/>
        <v>0</v>
      </c>
      <c r="AF147" s="312">
        <f t="shared" si="55"/>
        <v>0</v>
      </c>
      <c r="AG147" s="312">
        <f t="shared" si="55"/>
        <v>0</v>
      </c>
      <c r="AH147" s="312">
        <f t="shared" si="55"/>
        <v>0</v>
      </c>
      <c r="AI147" s="312">
        <f t="shared" si="55"/>
        <v>0</v>
      </c>
      <c r="AJ147" s="312">
        <f t="shared" si="55"/>
        <v>0</v>
      </c>
      <c r="AK147" s="312">
        <f t="shared" si="55"/>
        <v>0</v>
      </c>
      <c r="AL147" s="312">
        <f t="shared" si="55"/>
        <v>0</v>
      </c>
      <c r="AM147" s="312">
        <f t="shared" si="55"/>
        <v>0</v>
      </c>
      <c r="AN147" s="312">
        <f t="shared" si="55"/>
        <v>0</v>
      </c>
      <c r="AO147" s="312">
        <f t="shared" si="55"/>
        <v>0</v>
      </c>
      <c r="AP147" s="312">
        <f t="shared" si="55"/>
        <v>0</v>
      </c>
      <c r="AQ147" s="312">
        <f t="shared" si="55"/>
        <v>0</v>
      </c>
      <c r="AR147" s="312">
        <f t="shared" si="55"/>
        <v>0</v>
      </c>
      <c r="AS147" s="312">
        <f t="shared" si="55"/>
        <v>0</v>
      </c>
      <c r="AT147" s="312">
        <f t="shared" si="55"/>
        <v>0</v>
      </c>
      <c r="AU147" s="312">
        <f t="shared" si="55"/>
        <v>0</v>
      </c>
      <c r="AV147" s="312">
        <f t="shared" si="55"/>
        <v>0</v>
      </c>
      <c r="AW147" s="312">
        <f t="shared" si="55"/>
        <v>0</v>
      </c>
      <c r="AX147" s="312">
        <f t="shared" si="55"/>
        <v>0</v>
      </c>
      <c r="AY147" s="312">
        <f t="shared" si="55"/>
        <v>0</v>
      </c>
      <c r="AZ147" s="312">
        <f t="shared" si="55"/>
        <v>0</v>
      </c>
      <c r="BA147" s="312">
        <f t="shared" si="55"/>
        <v>0</v>
      </c>
      <c r="BB147" s="312">
        <f t="shared" si="55"/>
        <v>0</v>
      </c>
      <c r="BC147" s="312">
        <f t="shared" si="55"/>
        <v>0</v>
      </c>
      <c r="BD147" s="312">
        <f t="shared" si="55"/>
        <v>0</v>
      </c>
      <c r="BE147" s="312">
        <f t="shared" si="55"/>
        <v>0</v>
      </c>
      <c r="BF147" s="312">
        <f t="shared" si="55"/>
        <v>0</v>
      </c>
      <c r="BG147" s="312">
        <f t="shared" si="55"/>
        <v>0</v>
      </c>
      <c r="BH147" s="312">
        <f t="shared" si="55"/>
        <v>0</v>
      </c>
      <c r="BI147" s="312">
        <f t="shared" si="55"/>
        <v>0</v>
      </c>
      <c r="BJ147" s="312">
        <f t="shared" si="55"/>
        <v>0</v>
      </c>
      <c r="BK147" s="312">
        <f t="shared" si="55"/>
        <v>0</v>
      </c>
      <c r="BL147" s="312">
        <f t="shared" si="55"/>
        <v>0</v>
      </c>
      <c r="BM147" s="312">
        <f t="shared" si="55"/>
        <v>0</v>
      </c>
      <c r="BN147" s="312">
        <f t="shared" si="55"/>
        <v>0</v>
      </c>
      <c r="BO147" s="312">
        <f t="shared" si="55"/>
        <v>0</v>
      </c>
      <c r="BP147" s="312">
        <f t="shared" si="55"/>
        <v>0</v>
      </c>
      <c r="BQ147" s="312">
        <f t="shared" si="55"/>
        <v>0</v>
      </c>
      <c r="BR147" s="312">
        <f t="shared" si="55"/>
        <v>0</v>
      </c>
      <c r="BS147" s="312">
        <f t="shared" si="55"/>
        <v>0</v>
      </c>
      <c r="BT147" s="312">
        <f t="shared" si="55"/>
        <v>0</v>
      </c>
      <c r="BU147" s="312">
        <f t="shared" si="55"/>
        <v>0</v>
      </c>
      <c r="BV147" s="312">
        <f t="shared" si="55"/>
        <v>0</v>
      </c>
      <c r="BW147" s="312">
        <f t="shared" si="55"/>
        <v>0</v>
      </c>
      <c r="BX147" s="312">
        <f t="shared" si="55"/>
        <v>0</v>
      </c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22"/>
      <c r="CO147" s="222"/>
      <c r="CP147" s="222"/>
      <c r="CQ147" s="222"/>
      <c r="CR147" s="222"/>
      <c r="CS147" s="222"/>
      <c r="CT147" s="222"/>
      <c r="CU147" s="222"/>
      <c r="CV147" s="222"/>
      <c r="CW147" s="222"/>
      <c r="CX147" s="222"/>
      <c r="CY147" s="222"/>
      <c r="CZ147" s="222"/>
      <c r="DA147" s="222"/>
      <c r="DB147" s="222"/>
      <c r="DC147" s="222"/>
      <c r="DD147" s="222"/>
      <c r="DE147" s="222"/>
      <c r="DF147" s="222"/>
      <c r="DG147" s="222"/>
      <c r="DH147" s="222"/>
      <c r="DI147" s="222"/>
      <c r="DJ147" s="222"/>
      <c r="DK147" s="222"/>
      <c r="DL147" s="222"/>
      <c r="DM147" s="222"/>
      <c r="DN147" s="222"/>
      <c r="DO147" s="222"/>
      <c r="DP147" s="222"/>
      <c r="DQ147" s="222"/>
      <c r="DR147" s="222"/>
      <c r="DS147" s="222"/>
      <c r="DT147" s="222"/>
      <c r="DU147" s="222"/>
      <c r="DV147" s="222"/>
      <c r="DW147" s="222"/>
      <c r="DX147" s="222"/>
      <c r="DY147" s="222"/>
      <c r="DZ147" s="222"/>
      <c r="EA147" s="222"/>
      <c r="EB147" s="222"/>
      <c r="EC147" s="222"/>
      <c r="ED147" s="222"/>
      <c r="EE147" s="222"/>
      <c r="EF147" s="222"/>
      <c r="EG147" s="222"/>
      <c r="EH147" s="222"/>
    </row>
    <row r="148" spans="1:138">
      <c r="A148" s="222"/>
      <c r="B148" s="318"/>
      <c r="C148" s="310" t="s">
        <v>305</v>
      </c>
      <c r="D148" s="319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/>
      <c r="R148" s="311"/>
      <c r="S148" s="311"/>
      <c r="T148" s="311"/>
      <c r="U148" s="311"/>
      <c r="V148" s="311"/>
      <c r="W148" s="311"/>
      <c r="X148" s="311"/>
      <c r="Y148" s="311"/>
      <c r="Z148" s="311"/>
      <c r="AA148" s="311"/>
      <c r="AB148" s="311"/>
      <c r="AC148" s="311"/>
      <c r="AD148" s="311"/>
      <c r="AE148" s="311"/>
      <c r="AF148" s="311"/>
      <c r="AG148" s="311"/>
      <c r="AH148" s="311"/>
      <c r="AI148" s="311"/>
      <c r="AJ148" s="311"/>
      <c r="AK148" s="311"/>
      <c r="AL148" s="311"/>
      <c r="AM148" s="311"/>
      <c r="AN148" s="311"/>
      <c r="AO148" s="311"/>
      <c r="AP148" s="311"/>
      <c r="AQ148" s="311"/>
      <c r="AR148" s="311"/>
      <c r="AS148" s="311"/>
      <c r="AT148" s="311"/>
      <c r="AU148" s="311"/>
      <c r="AV148" s="311"/>
      <c r="AW148" s="311"/>
      <c r="AX148" s="311"/>
      <c r="AY148" s="311"/>
      <c r="AZ148" s="311"/>
      <c r="BA148" s="311"/>
      <c r="BB148" s="311"/>
      <c r="BC148" s="312"/>
      <c r="BD148" s="311"/>
      <c r="BE148" s="311"/>
      <c r="BF148" s="311"/>
      <c r="BG148" s="311"/>
      <c r="BH148" s="311"/>
      <c r="BI148" s="311"/>
      <c r="BJ148" s="311"/>
      <c r="BK148" s="311"/>
      <c r="BL148" s="311"/>
      <c r="BM148" s="311"/>
      <c r="BN148" s="311"/>
      <c r="BO148" s="311"/>
      <c r="BP148" s="311"/>
      <c r="BQ148" s="311"/>
      <c r="BR148" s="311"/>
      <c r="BS148" s="311"/>
      <c r="BT148" s="311"/>
      <c r="BU148" s="311"/>
      <c r="BV148" s="311"/>
      <c r="BW148" s="311"/>
      <c r="BX148" s="311"/>
      <c r="BY148" s="307"/>
      <c r="BZ148" s="307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2"/>
      <c r="CU148" s="222"/>
      <c r="CV148" s="222"/>
      <c r="CW148" s="222"/>
      <c r="CX148" s="222"/>
      <c r="CY148" s="222"/>
      <c r="CZ148" s="222"/>
      <c r="DA148" s="222"/>
      <c r="DB148" s="222"/>
      <c r="DC148" s="222"/>
      <c r="DD148" s="222"/>
      <c r="DE148" s="222"/>
      <c r="DF148" s="222"/>
      <c r="DG148" s="222"/>
      <c r="DH148" s="222"/>
      <c r="DI148" s="222"/>
      <c r="DJ148" s="222"/>
      <c r="DK148" s="222"/>
      <c r="DL148" s="222"/>
      <c r="DM148" s="222"/>
      <c r="DN148" s="222"/>
      <c r="DO148" s="222"/>
      <c r="DP148" s="222"/>
      <c r="DQ148" s="222"/>
      <c r="DR148" s="222"/>
      <c r="DS148" s="222"/>
      <c r="DT148" s="222"/>
      <c r="DU148" s="222"/>
      <c r="DV148" s="222"/>
      <c r="DW148" s="222"/>
      <c r="DX148" s="222"/>
      <c r="DY148" s="222"/>
      <c r="DZ148" s="222"/>
      <c r="EA148" s="222"/>
      <c r="EB148" s="222"/>
      <c r="EC148" s="222"/>
      <c r="ED148" s="222"/>
      <c r="EE148" s="222"/>
      <c r="EF148" s="222"/>
      <c r="EG148" s="222"/>
      <c r="EH148" s="222"/>
    </row>
    <row r="149" spans="1:138">
      <c r="A149" s="222"/>
      <c r="B149" s="318"/>
      <c r="C149" s="310" t="s">
        <v>296</v>
      </c>
      <c r="D149" s="319"/>
      <c r="E149" s="311">
        <f t="shared" ref="E149:BX149" si="56">-E75</f>
        <v>0</v>
      </c>
      <c r="F149" s="311">
        <f t="shared" si="56"/>
        <v>0</v>
      </c>
      <c r="G149" s="311">
        <f t="shared" si="56"/>
        <v>0</v>
      </c>
      <c r="H149" s="311">
        <f t="shared" si="56"/>
        <v>0</v>
      </c>
      <c r="I149" s="311">
        <f t="shared" si="56"/>
        <v>0</v>
      </c>
      <c r="J149" s="311">
        <f t="shared" si="56"/>
        <v>0</v>
      </c>
      <c r="K149" s="311">
        <f t="shared" si="56"/>
        <v>0</v>
      </c>
      <c r="L149" s="311">
        <f t="shared" si="56"/>
        <v>0</v>
      </c>
      <c r="M149" s="311">
        <f t="shared" si="56"/>
        <v>0</v>
      </c>
      <c r="N149" s="311">
        <f t="shared" si="56"/>
        <v>0</v>
      </c>
      <c r="O149" s="311">
        <f t="shared" si="56"/>
        <v>0</v>
      </c>
      <c r="P149" s="311">
        <f t="shared" si="56"/>
        <v>0</v>
      </c>
      <c r="Q149" s="311">
        <f t="shared" si="56"/>
        <v>0</v>
      </c>
      <c r="R149" s="311">
        <f t="shared" si="56"/>
        <v>0</v>
      </c>
      <c r="S149" s="311">
        <f t="shared" si="56"/>
        <v>0</v>
      </c>
      <c r="T149" s="311">
        <f t="shared" si="56"/>
        <v>0</v>
      </c>
      <c r="U149" s="311">
        <f t="shared" si="56"/>
        <v>0</v>
      </c>
      <c r="V149" s="311">
        <f t="shared" si="56"/>
        <v>0</v>
      </c>
      <c r="W149" s="311">
        <f t="shared" si="56"/>
        <v>0</v>
      </c>
      <c r="X149" s="311">
        <f t="shared" si="56"/>
        <v>0</v>
      </c>
      <c r="Y149" s="311">
        <f t="shared" si="56"/>
        <v>0</v>
      </c>
      <c r="Z149" s="311">
        <f t="shared" si="56"/>
        <v>0</v>
      </c>
      <c r="AA149" s="311">
        <f t="shared" si="56"/>
        <v>0</v>
      </c>
      <c r="AB149" s="311">
        <f t="shared" si="56"/>
        <v>0</v>
      </c>
      <c r="AC149" s="311">
        <f t="shared" si="56"/>
        <v>0</v>
      </c>
      <c r="AD149" s="311">
        <f t="shared" si="56"/>
        <v>0</v>
      </c>
      <c r="AE149" s="311">
        <f t="shared" si="56"/>
        <v>0</v>
      </c>
      <c r="AF149" s="311">
        <f t="shared" si="56"/>
        <v>0</v>
      </c>
      <c r="AG149" s="311">
        <f t="shared" si="56"/>
        <v>0</v>
      </c>
      <c r="AH149" s="311">
        <f t="shared" si="56"/>
        <v>0</v>
      </c>
      <c r="AI149" s="311">
        <f t="shared" si="56"/>
        <v>0</v>
      </c>
      <c r="AJ149" s="311">
        <f t="shared" si="56"/>
        <v>0</v>
      </c>
      <c r="AK149" s="311">
        <f t="shared" si="56"/>
        <v>0</v>
      </c>
      <c r="AL149" s="311">
        <f t="shared" si="56"/>
        <v>0</v>
      </c>
      <c r="AM149" s="311">
        <f t="shared" si="56"/>
        <v>0</v>
      </c>
      <c r="AN149" s="311">
        <f t="shared" si="56"/>
        <v>0</v>
      </c>
      <c r="AO149" s="311">
        <f t="shared" si="56"/>
        <v>0</v>
      </c>
      <c r="AP149" s="311">
        <f t="shared" si="56"/>
        <v>0</v>
      </c>
      <c r="AQ149" s="311">
        <f t="shared" si="56"/>
        <v>0</v>
      </c>
      <c r="AR149" s="311">
        <f t="shared" si="56"/>
        <v>0</v>
      </c>
      <c r="AS149" s="311">
        <f t="shared" si="56"/>
        <v>0</v>
      </c>
      <c r="AT149" s="311">
        <f t="shared" si="56"/>
        <v>0</v>
      </c>
      <c r="AU149" s="311">
        <f t="shared" si="56"/>
        <v>0</v>
      </c>
      <c r="AV149" s="311">
        <f t="shared" si="56"/>
        <v>0</v>
      </c>
      <c r="AW149" s="311">
        <f t="shared" si="56"/>
        <v>0</v>
      </c>
      <c r="AX149" s="311">
        <f t="shared" si="56"/>
        <v>0</v>
      </c>
      <c r="AY149" s="311">
        <f t="shared" si="56"/>
        <v>0</v>
      </c>
      <c r="AZ149" s="311">
        <f t="shared" si="56"/>
        <v>0</v>
      </c>
      <c r="BA149" s="311">
        <f t="shared" si="56"/>
        <v>0</v>
      </c>
      <c r="BB149" s="311">
        <f t="shared" si="56"/>
        <v>0</v>
      </c>
      <c r="BC149" s="311">
        <f t="shared" si="56"/>
        <v>0</v>
      </c>
      <c r="BD149" s="311">
        <f t="shared" si="56"/>
        <v>0</v>
      </c>
      <c r="BE149" s="311">
        <f t="shared" si="56"/>
        <v>0</v>
      </c>
      <c r="BF149" s="311">
        <f t="shared" si="56"/>
        <v>0</v>
      </c>
      <c r="BG149" s="311">
        <f t="shared" si="56"/>
        <v>0</v>
      </c>
      <c r="BH149" s="311">
        <f t="shared" si="56"/>
        <v>0</v>
      </c>
      <c r="BI149" s="311">
        <f t="shared" si="56"/>
        <v>0</v>
      </c>
      <c r="BJ149" s="311">
        <f t="shared" si="56"/>
        <v>0</v>
      </c>
      <c r="BK149" s="311">
        <f t="shared" si="56"/>
        <v>0</v>
      </c>
      <c r="BL149" s="311">
        <f t="shared" si="56"/>
        <v>0</v>
      </c>
      <c r="BM149" s="311">
        <f t="shared" si="56"/>
        <v>0</v>
      </c>
      <c r="BN149" s="311">
        <f t="shared" si="56"/>
        <v>0</v>
      </c>
      <c r="BO149" s="311">
        <f t="shared" si="56"/>
        <v>0</v>
      </c>
      <c r="BP149" s="311">
        <f t="shared" si="56"/>
        <v>0</v>
      </c>
      <c r="BQ149" s="311">
        <f t="shared" si="56"/>
        <v>0</v>
      </c>
      <c r="BR149" s="311">
        <f t="shared" si="56"/>
        <v>0</v>
      </c>
      <c r="BS149" s="311">
        <f t="shared" si="56"/>
        <v>0</v>
      </c>
      <c r="BT149" s="311">
        <f t="shared" si="56"/>
        <v>0</v>
      </c>
      <c r="BU149" s="311">
        <f t="shared" si="56"/>
        <v>0</v>
      </c>
      <c r="BV149" s="311">
        <f t="shared" si="56"/>
        <v>0</v>
      </c>
      <c r="BW149" s="311">
        <f t="shared" si="56"/>
        <v>0</v>
      </c>
      <c r="BX149" s="311">
        <f t="shared" si="56"/>
        <v>0</v>
      </c>
      <c r="BY149" s="307"/>
      <c r="BZ149" s="307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22"/>
      <c r="CO149" s="222"/>
      <c r="CP149" s="222"/>
      <c r="CQ149" s="222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222"/>
      <c r="DC149" s="222"/>
      <c r="DD149" s="222"/>
      <c r="DE149" s="222"/>
      <c r="DF149" s="222"/>
      <c r="DG149" s="222"/>
      <c r="DH149" s="222"/>
      <c r="DI149" s="222"/>
      <c r="DJ149" s="222"/>
      <c r="DK149" s="222"/>
      <c r="DL149" s="222"/>
      <c r="DM149" s="222"/>
      <c r="DN149" s="222"/>
      <c r="DO149" s="222"/>
      <c r="DP149" s="222"/>
      <c r="DQ149" s="222"/>
      <c r="DR149" s="222"/>
      <c r="DS149" s="222"/>
      <c r="DT149" s="222"/>
      <c r="DU149" s="222"/>
      <c r="DV149" s="222"/>
      <c r="DW149" s="222"/>
      <c r="DX149" s="222"/>
      <c r="DY149" s="222"/>
      <c r="DZ149" s="222"/>
      <c r="EA149" s="222"/>
      <c r="EB149" s="222"/>
      <c r="EC149" s="222"/>
      <c r="ED149" s="222"/>
      <c r="EE149" s="222"/>
      <c r="EF149" s="222"/>
      <c r="EG149" s="222"/>
      <c r="EH149" s="222"/>
    </row>
    <row r="150" spans="1:138">
      <c r="A150" s="222"/>
      <c r="B150" s="318"/>
      <c r="C150" s="310" t="s">
        <v>297</v>
      </c>
      <c r="D150" s="319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311"/>
      <c r="P150" s="311"/>
      <c r="Q150" s="311"/>
      <c r="R150" s="311"/>
      <c r="S150" s="311"/>
      <c r="T150" s="311">
        <f>5500000</f>
        <v>5500000</v>
      </c>
      <c r="U150" s="311"/>
      <c r="V150" s="311"/>
      <c r="W150" s="311"/>
      <c r="X150" s="311"/>
      <c r="Y150" s="311"/>
      <c r="Z150" s="311"/>
      <c r="AA150" s="311"/>
      <c r="AB150" s="311"/>
      <c r="AC150" s="311"/>
      <c r="AD150" s="311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1"/>
      <c r="AZ150" s="311"/>
      <c r="BA150" s="311"/>
      <c r="BB150" s="311"/>
      <c r="BC150" s="312"/>
      <c r="BD150" s="311"/>
      <c r="BE150" s="311"/>
      <c r="BF150" s="311"/>
      <c r="BG150" s="311"/>
      <c r="BH150" s="311"/>
      <c r="BI150" s="311"/>
      <c r="BJ150" s="311"/>
      <c r="BK150" s="311"/>
      <c r="BL150" s="311"/>
      <c r="BM150" s="311"/>
      <c r="BN150" s="311"/>
      <c r="BO150" s="311"/>
      <c r="BP150" s="311"/>
      <c r="BQ150" s="311"/>
      <c r="BR150" s="311"/>
      <c r="BS150" s="311"/>
      <c r="BT150" s="311"/>
      <c r="BU150" s="311"/>
      <c r="BV150" s="311"/>
      <c r="BW150" s="311"/>
      <c r="BX150" s="311">
        <f>IF(D122&gt;0.25,(BX117-BX125)*D151,BX117*D151)</f>
        <v>0</v>
      </c>
      <c r="BY150" s="307"/>
      <c r="BZ150" s="307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22"/>
      <c r="CO150" s="222"/>
      <c r="CP150" s="222"/>
      <c r="CQ150" s="222"/>
      <c r="CR150" s="222"/>
      <c r="CS150" s="222"/>
      <c r="CT150" s="222"/>
      <c r="CU150" s="222"/>
      <c r="CV150" s="222"/>
      <c r="CW150" s="222"/>
      <c r="CX150" s="222"/>
      <c r="CY150" s="222"/>
      <c r="CZ150" s="222"/>
      <c r="DA150" s="222"/>
      <c r="DB150" s="222"/>
      <c r="DC150" s="222"/>
      <c r="DD150" s="222"/>
      <c r="DE150" s="222"/>
      <c r="DF150" s="222"/>
      <c r="DG150" s="222"/>
      <c r="DH150" s="222"/>
      <c r="DI150" s="222"/>
      <c r="DJ150" s="222"/>
      <c r="DK150" s="222"/>
      <c r="DL150" s="222"/>
      <c r="DM150" s="222"/>
      <c r="DN150" s="222"/>
      <c r="DO150" s="222"/>
      <c r="DP150" s="222"/>
      <c r="DQ150" s="222"/>
      <c r="DR150" s="222"/>
      <c r="DS150" s="222"/>
      <c r="DT150" s="222"/>
      <c r="DU150" s="222"/>
      <c r="DV150" s="222"/>
      <c r="DW150" s="222"/>
      <c r="DX150" s="222"/>
      <c r="DY150" s="222"/>
      <c r="DZ150" s="222"/>
      <c r="EA150" s="222"/>
      <c r="EB150" s="222"/>
      <c r="EC150" s="222"/>
      <c r="ED150" s="222"/>
      <c r="EE150" s="222"/>
      <c r="EF150" s="222"/>
      <c r="EG150" s="222"/>
      <c r="EH150" s="222"/>
    </row>
    <row r="151" spans="1:138">
      <c r="A151" s="222"/>
      <c r="B151" s="318"/>
      <c r="C151" s="313" t="s">
        <v>298</v>
      </c>
      <c r="D151" s="319">
        <v>0</v>
      </c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311"/>
      <c r="AA151" s="311"/>
      <c r="AB151" s="311"/>
      <c r="AC151" s="311"/>
      <c r="AD151" s="311"/>
      <c r="AE151" s="311"/>
      <c r="AF151" s="311"/>
      <c r="AG151" s="311"/>
      <c r="AH151" s="311"/>
      <c r="AI151" s="311"/>
      <c r="AJ151" s="311"/>
      <c r="AK151" s="311"/>
      <c r="AL151" s="311"/>
      <c r="AM151" s="311"/>
      <c r="AN151" s="311"/>
      <c r="AO151" s="311"/>
      <c r="AP151" s="311"/>
      <c r="AQ151" s="311"/>
      <c r="AR151" s="311"/>
      <c r="AS151" s="311"/>
      <c r="AT151" s="311"/>
      <c r="AU151" s="311"/>
      <c r="AV151" s="311"/>
      <c r="AW151" s="311"/>
      <c r="AX151" s="311"/>
      <c r="AY151" s="311"/>
      <c r="AZ151" s="311"/>
      <c r="BA151" s="311"/>
      <c r="BB151" s="311"/>
      <c r="BC151" s="312"/>
      <c r="BD151" s="311"/>
      <c r="BE151" s="311"/>
      <c r="BF151" s="311"/>
      <c r="BG151" s="311"/>
      <c r="BH151" s="311"/>
      <c r="BI151" s="311"/>
      <c r="BJ151" s="311"/>
      <c r="BK151" s="311"/>
      <c r="BL151" s="311"/>
      <c r="BM151" s="311"/>
      <c r="BN151" s="311"/>
      <c r="BO151" s="311"/>
      <c r="BP151" s="311"/>
      <c r="BQ151" s="311"/>
      <c r="BR151" s="311"/>
      <c r="BS151" s="311"/>
      <c r="BT151" s="311"/>
      <c r="BU151" s="311"/>
      <c r="BV151" s="311"/>
      <c r="BW151" s="311"/>
      <c r="BX151" s="311"/>
      <c r="BY151" s="307"/>
      <c r="BZ151" s="307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222"/>
      <c r="DX151" s="222"/>
      <c r="DY151" s="222"/>
      <c r="DZ151" s="222"/>
      <c r="EA151" s="222"/>
      <c r="EB151" s="222"/>
      <c r="EC151" s="222"/>
      <c r="ED151" s="222"/>
      <c r="EE151" s="222"/>
      <c r="EF151" s="222"/>
      <c r="EG151" s="222"/>
      <c r="EH151" s="222"/>
    </row>
    <row r="152" spans="1:138">
      <c r="A152" s="222"/>
      <c r="B152" s="318"/>
      <c r="C152" s="310" t="s">
        <v>299</v>
      </c>
      <c r="D152" s="311"/>
      <c r="E152" s="321">
        <f t="shared" ref="E152:BX152" si="57">E147+E148+E149+E150+E151</f>
        <v>0</v>
      </c>
      <c r="F152" s="321">
        <f t="shared" si="57"/>
        <v>0</v>
      </c>
      <c r="G152" s="321">
        <f t="shared" si="57"/>
        <v>0</v>
      </c>
      <c r="H152" s="321">
        <f t="shared" si="57"/>
        <v>-10682501</v>
      </c>
      <c r="I152" s="321">
        <f t="shared" si="57"/>
        <v>0</v>
      </c>
      <c r="J152" s="321">
        <f t="shared" si="57"/>
        <v>0</v>
      </c>
      <c r="K152" s="321">
        <f t="shared" si="57"/>
        <v>0</v>
      </c>
      <c r="L152" s="321">
        <f t="shared" si="57"/>
        <v>15913.92</v>
      </c>
      <c r="M152" s="321">
        <f t="shared" si="57"/>
        <v>0</v>
      </c>
      <c r="N152" s="321">
        <f t="shared" si="57"/>
        <v>0</v>
      </c>
      <c r="O152" s="321">
        <f t="shared" si="57"/>
        <v>0</v>
      </c>
      <c r="P152" s="321">
        <f t="shared" si="57"/>
        <v>619336.08000000007</v>
      </c>
      <c r="Q152" s="321">
        <f t="shared" si="57"/>
        <v>393250</v>
      </c>
      <c r="R152" s="321">
        <f t="shared" si="57"/>
        <v>393250</v>
      </c>
      <c r="S152" s="321">
        <f t="shared" si="57"/>
        <v>0</v>
      </c>
      <c r="T152" s="321">
        <f t="shared" si="57"/>
        <v>16182501</v>
      </c>
      <c r="U152" s="321">
        <f t="shared" si="57"/>
        <v>0</v>
      </c>
      <c r="V152" s="321">
        <f t="shared" si="57"/>
        <v>0</v>
      </c>
      <c r="W152" s="321">
        <f t="shared" si="57"/>
        <v>0</v>
      </c>
      <c r="X152" s="321">
        <f t="shared" si="57"/>
        <v>0</v>
      </c>
      <c r="Y152" s="321">
        <f t="shared" si="57"/>
        <v>0</v>
      </c>
      <c r="Z152" s="321">
        <f t="shared" si="57"/>
        <v>0</v>
      </c>
      <c r="AA152" s="321">
        <f t="shared" si="57"/>
        <v>0</v>
      </c>
      <c r="AB152" s="321">
        <f t="shared" si="57"/>
        <v>0</v>
      </c>
      <c r="AC152" s="321">
        <f t="shared" si="57"/>
        <v>0</v>
      </c>
      <c r="AD152" s="321">
        <f t="shared" si="57"/>
        <v>0</v>
      </c>
      <c r="AE152" s="321">
        <f t="shared" si="57"/>
        <v>0</v>
      </c>
      <c r="AF152" s="321">
        <f t="shared" si="57"/>
        <v>0</v>
      </c>
      <c r="AG152" s="321">
        <f t="shared" si="57"/>
        <v>0</v>
      </c>
      <c r="AH152" s="321">
        <f t="shared" si="57"/>
        <v>0</v>
      </c>
      <c r="AI152" s="321">
        <f t="shared" si="57"/>
        <v>0</v>
      </c>
      <c r="AJ152" s="321">
        <f t="shared" si="57"/>
        <v>0</v>
      </c>
      <c r="AK152" s="321">
        <f t="shared" si="57"/>
        <v>0</v>
      </c>
      <c r="AL152" s="321">
        <f t="shared" si="57"/>
        <v>0</v>
      </c>
      <c r="AM152" s="321">
        <f t="shared" si="57"/>
        <v>0</v>
      </c>
      <c r="AN152" s="321">
        <f t="shared" si="57"/>
        <v>0</v>
      </c>
      <c r="AO152" s="321">
        <f t="shared" si="57"/>
        <v>0</v>
      </c>
      <c r="AP152" s="321">
        <f t="shared" si="57"/>
        <v>0</v>
      </c>
      <c r="AQ152" s="321">
        <f t="shared" si="57"/>
        <v>0</v>
      </c>
      <c r="AR152" s="321">
        <f t="shared" si="57"/>
        <v>0</v>
      </c>
      <c r="AS152" s="321">
        <f t="shared" si="57"/>
        <v>0</v>
      </c>
      <c r="AT152" s="321">
        <f t="shared" si="57"/>
        <v>0</v>
      </c>
      <c r="AU152" s="321">
        <f t="shared" si="57"/>
        <v>0</v>
      </c>
      <c r="AV152" s="321">
        <f t="shared" si="57"/>
        <v>0</v>
      </c>
      <c r="AW152" s="321">
        <f t="shared" si="57"/>
        <v>0</v>
      </c>
      <c r="AX152" s="321">
        <f t="shared" si="57"/>
        <v>0</v>
      </c>
      <c r="AY152" s="321">
        <f t="shared" si="57"/>
        <v>0</v>
      </c>
      <c r="AZ152" s="321">
        <f t="shared" si="57"/>
        <v>0</v>
      </c>
      <c r="BA152" s="321">
        <f t="shared" si="57"/>
        <v>0</v>
      </c>
      <c r="BB152" s="321">
        <f t="shared" si="57"/>
        <v>0</v>
      </c>
      <c r="BC152" s="321">
        <f t="shared" si="57"/>
        <v>0</v>
      </c>
      <c r="BD152" s="321">
        <f t="shared" si="57"/>
        <v>0</v>
      </c>
      <c r="BE152" s="321">
        <f t="shared" si="57"/>
        <v>0</v>
      </c>
      <c r="BF152" s="321">
        <f t="shared" si="57"/>
        <v>0</v>
      </c>
      <c r="BG152" s="321">
        <f t="shared" si="57"/>
        <v>0</v>
      </c>
      <c r="BH152" s="321">
        <f t="shared" si="57"/>
        <v>0</v>
      </c>
      <c r="BI152" s="321">
        <f t="shared" si="57"/>
        <v>0</v>
      </c>
      <c r="BJ152" s="321">
        <f t="shared" si="57"/>
        <v>0</v>
      </c>
      <c r="BK152" s="321">
        <f t="shared" si="57"/>
        <v>0</v>
      </c>
      <c r="BL152" s="321">
        <f t="shared" si="57"/>
        <v>0</v>
      </c>
      <c r="BM152" s="321">
        <f t="shared" si="57"/>
        <v>0</v>
      </c>
      <c r="BN152" s="321">
        <f t="shared" si="57"/>
        <v>0</v>
      </c>
      <c r="BO152" s="321">
        <f t="shared" si="57"/>
        <v>0</v>
      </c>
      <c r="BP152" s="321">
        <f t="shared" si="57"/>
        <v>0</v>
      </c>
      <c r="BQ152" s="321">
        <f t="shared" si="57"/>
        <v>0</v>
      </c>
      <c r="BR152" s="321">
        <f t="shared" si="57"/>
        <v>0</v>
      </c>
      <c r="BS152" s="321">
        <f t="shared" si="57"/>
        <v>0</v>
      </c>
      <c r="BT152" s="321">
        <f t="shared" si="57"/>
        <v>0</v>
      </c>
      <c r="BU152" s="321">
        <f t="shared" si="57"/>
        <v>0</v>
      </c>
      <c r="BV152" s="321">
        <f t="shared" si="57"/>
        <v>0</v>
      </c>
      <c r="BW152" s="321">
        <f t="shared" si="57"/>
        <v>0</v>
      </c>
      <c r="BX152" s="321">
        <f t="shared" si="57"/>
        <v>0</v>
      </c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22"/>
      <c r="CO152" s="222"/>
      <c r="CP152" s="222"/>
      <c r="CQ152" s="222"/>
      <c r="CR152" s="222"/>
      <c r="CS152" s="222"/>
      <c r="CT152" s="222"/>
      <c r="CU152" s="222"/>
      <c r="CV152" s="222"/>
      <c r="CW152" s="222"/>
      <c r="CX152" s="222"/>
      <c r="CY152" s="222"/>
      <c r="CZ152" s="222"/>
      <c r="DA152" s="222"/>
      <c r="DB152" s="222"/>
      <c r="DC152" s="222"/>
      <c r="DD152" s="222"/>
      <c r="DE152" s="222"/>
      <c r="DF152" s="222"/>
      <c r="DG152" s="222"/>
      <c r="DH152" s="222"/>
      <c r="DI152" s="222"/>
      <c r="DJ152" s="222"/>
      <c r="DK152" s="222"/>
      <c r="DL152" s="222"/>
      <c r="DM152" s="222"/>
      <c r="DN152" s="222"/>
      <c r="DO152" s="222"/>
      <c r="DP152" s="222"/>
      <c r="DQ152" s="222"/>
      <c r="DR152" s="222"/>
      <c r="DS152" s="222"/>
      <c r="DT152" s="222"/>
      <c r="DU152" s="222"/>
      <c r="DV152" s="222"/>
      <c r="DW152" s="222"/>
      <c r="DX152" s="222"/>
      <c r="DY152" s="222"/>
      <c r="DZ152" s="222"/>
      <c r="EA152" s="222"/>
      <c r="EB152" s="222"/>
      <c r="EC152" s="222"/>
      <c r="ED152" s="222"/>
      <c r="EE152" s="222"/>
      <c r="EF152" s="222"/>
      <c r="EG152" s="222"/>
      <c r="EH152" s="222"/>
    </row>
    <row r="153" spans="1:138">
      <c r="A153" s="222"/>
      <c r="B153" s="318"/>
      <c r="C153" s="314"/>
      <c r="D153" s="322" t="s">
        <v>306</v>
      </c>
      <c r="E153" s="327">
        <f>E152</f>
        <v>0</v>
      </c>
      <c r="F153" s="327">
        <f t="shared" ref="F153:BX153" si="58">E153+F152</f>
        <v>0</v>
      </c>
      <c r="G153" s="327">
        <f t="shared" si="58"/>
        <v>0</v>
      </c>
      <c r="H153" s="327">
        <f t="shared" si="58"/>
        <v>-10682501</v>
      </c>
      <c r="I153" s="327">
        <f t="shared" si="58"/>
        <v>-10682501</v>
      </c>
      <c r="J153" s="327">
        <f t="shared" si="58"/>
        <v>-10682501</v>
      </c>
      <c r="K153" s="327">
        <f t="shared" si="58"/>
        <v>-10682501</v>
      </c>
      <c r="L153" s="327">
        <f t="shared" si="58"/>
        <v>-10666587.08</v>
      </c>
      <c r="M153" s="327">
        <f t="shared" si="58"/>
        <v>-10666587.08</v>
      </c>
      <c r="N153" s="327">
        <f t="shared" si="58"/>
        <v>-10666587.08</v>
      </c>
      <c r="O153" s="327">
        <f t="shared" si="58"/>
        <v>-10666587.08</v>
      </c>
      <c r="P153" s="327">
        <f t="shared" si="58"/>
        <v>-10047251</v>
      </c>
      <c r="Q153" s="327">
        <f t="shared" si="58"/>
        <v>-9654001</v>
      </c>
      <c r="R153" s="327">
        <f t="shared" si="58"/>
        <v>-9260751</v>
      </c>
      <c r="S153" s="327">
        <f t="shared" si="58"/>
        <v>-9260751</v>
      </c>
      <c r="T153" s="327">
        <f t="shared" si="58"/>
        <v>6921750</v>
      </c>
      <c r="U153" s="327">
        <f t="shared" si="58"/>
        <v>6921750</v>
      </c>
      <c r="V153" s="328">
        <f t="shared" si="58"/>
        <v>6921750</v>
      </c>
      <c r="W153" s="328">
        <f t="shared" si="58"/>
        <v>6921750</v>
      </c>
      <c r="X153" s="328">
        <f t="shared" si="58"/>
        <v>6921750</v>
      </c>
      <c r="Y153" s="328">
        <f t="shared" si="58"/>
        <v>6921750</v>
      </c>
      <c r="Z153" s="328">
        <f t="shared" si="58"/>
        <v>6921750</v>
      </c>
      <c r="AA153" s="328">
        <f t="shared" si="58"/>
        <v>6921750</v>
      </c>
      <c r="AB153" s="328">
        <f t="shared" si="58"/>
        <v>6921750</v>
      </c>
      <c r="AC153" s="328">
        <f t="shared" si="58"/>
        <v>6921750</v>
      </c>
      <c r="AD153" s="328">
        <f t="shared" si="58"/>
        <v>6921750</v>
      </c>
      <c r="AE153" s="328">
        <f t="shared" si="58"/>
        <v>6921750</v>
      </c>
      <c r="AF153" s="328">
        <f t="shared" si="58"/>
        <v>6921750</v>
      </c>
      <c r="AG153" s="328">
        <f t="shared" si="58"/>
        <v>6921750</v>
      </c>
      <c r="AH153" s="328">
        <f t="shared" si="58"/>
        <v>6921750</v>
      </c>
      <c r="AI153" s="328">
        <f t="shared" si="58"/>
        <v>6921750</v>
      </c>
      <c r="AJ153" s="328">
        <f t="shared" si="58"/>
        <v>6921750</v>
      </c>
      <c r="AK153" s="328">
        <f t="shared" si="58"/>
        <v>6921750</v>
      </c>
      <c r="AL153" s="328">
        <f t="shared" si="58"/>
        <v>6921750</v>
      </c>
      <c r="AM153" s="328">
        <f t="shared" si="58"/>
        <v>6921750</v>
      </c>
      <c r="AN153" s="328">
        <f t="shared" si="58"/>
        <v>6921750</v>
      </c>
      <c r="AO153" s="328">
        <f t="shared" si="58"/>
        <v>6921750</v>
      </c>
      <c r="AP153" s="328">
        <f t="shared" si="58"/>
        <v>6921750</v>
      </c>
      <c r="AQ153" s="328">
        <f t="shared" si="58"/>
        <v>6921750</v>
      </c>
      <c r="AR153" s="328">
        <f t="shared" si="58"/>
        <v>6921750</v>
      </c>
      <c r="AS153" s="328">
        <f t="shared" si="58"/>
        <v>6921750</v>
      </c>
      <c r="AT153" s="328">
        <f t="shared" si="58"/>
        <v>6921750</v>
      </c>
      <c r="AU153" s="328">
        <f t="shared" si="58"/>
        <v>6921750</v>
      </c>
      <c r="AV153" s="328">
        <f t="shared" si="58"/>
        <v>6921750</v>
      </c>
      <c r="AW153" s="328">
        <f t="shared" si="58"/>
        <v>6921750</v>
      </c>
      <c r="AX153" s="328">
        <f t="shared" si="58"/>
        <v>6921750</v>
      </c>
      <c r="AY153" s="328">
        <f t="shared" si="58"/>
        <v>6921750</v>
      </c>
      <c r="AZ153" s="328">
        <f t="shared" si="58"/>
        <v>6921750</v>
      </c>
      <c r="BA153" s="328">
        <f t="shared" si="58"/>
        <v>6921750</v>
      </c>
      <c r="BB153" s="328">
        <f t="shared" si="58"/>
        <v>6921750</v>
      </c>
      <c r="BC153" s="327">
        <f t="shared" si="58"/>
        <v>6921750</v>
      </c>
      <c r="BD153" s="327">
        <f t="shared" si="58"/>
        <v>6921750</v>
      </c>
      <c r="BE153" s="327">
        <f t="shared" si="58"/>
        <v>6921750</v>
      </c>
      <c r="BF153" s="327">
        <f t="shared" si="58"/>
        <v>6921750</v>
      </c>
      <c r="BG153" s="327">
        <f t="shared" si="58"/>
        <v>6921750</v>
      </c>
      <c r="BH153" s="327">
        <f t="shared" si="58"/>
        <v>6921750</v>
      </c>
      <c r="BI153" s="327">
        <f t="shared" si="58"/>
        <v>6921750</v>
      </c>
      <c r="BJ153" s="327">
        <f t="shared" si="58"/>
        <v>6921750</v>
      </c>
      <c r="BK153" s="327">
        <f t="shared" si="58"/>
        <v>6921750</v>
      </c>
      <c r="BL153" s="327">
        <f t="shared" si="58"/>
        <v>6921750</v>
      </c>
      <c r="BM153" s="327">
        <f t="shared" si="58"/>
        <v>6921750</v>
      </c>
      <c r="BN153" s="327">
        <f t="shared" si="58"/>
        <v>6921750</v>
      </c>
      <c r="BO153" s="327">
        <f t="shared" si="58"/>
        <v>6921750</v>
      </c>
      <c r="BP153" s="327">
        <f t="shared" si="58"/>
        <v>6921750</v>
      </c>
      <c r="BQ153" s="327">
        <f t="shared" si="58"/>
        <v>6921750</v>
      </c>
      <c r="BR153" s="327">
        <f t="shared" si="58"/>
        <v>6921750</v>
      </c>
      <c r="BS153" s="327">
        <f t="shared" si="58"/>
        <v>6921750</v>
      </c>
      <c r="BT153" s="327">
        <f t="shared" si="58"/>
        <v>6921750</v>
      </c>
      <c r="BU153" s="327">
        <f t="shared" si="58"/>
        <v>6921750</v>
      </c>
      <c r="BV153" s="327">
        <f t="shared" si="58"/>
        <v>6921750</v>
      </c>
      <c r="BW153" s="327">
        <f t="shared" si="58"/>
        <v>6921750</v>
      </c>
      <c r="BX153" s="327">
        <f t="shared" si="58"/>
        <v>6921750</v>
      </c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22"/>
      <c r="CO153" s="222"/>
      <c r="CP153" s="222"/>
      <c r="CQ153" s="222"/>
      <c r="CR153" s="222"/>
      <c r="CS153" s="222"/>
      <c r="CT153" s="222"/>
      <c r="CU153" s="222"/>
      <c r="CV153" s="222"/>
      <c r="CW153" s="222"/>
      <c r="CX153" s="222"/>
      <c r="CY153" s="222"/>
      <c r="CZ153" s="222"/>
      <c r="DA153" s="222"/>
      <c r="DB153" s="222"/>
      <c r="DC153" s="222"/>
      <c r="DD153" s="222"/>
      <c r="DE153" s="222"/>
      <c r="DF153" s="222"/>
      <c r="DG153" s="222"/>
      <c r="DH153" s="222"/>
      <c r="DI153" s="222"/>
      <c r="DJ153" s="222"/>
      <c r="DK153" s="222"/>
      <c r="DL153" s="222"/>
      <c r="DM153" s="222"/>
      <c r="DN153" s="222"/>
      <c r="DO153" s="222"/>
      <c r="DP153" s="222"/>
      <c r="DQ153" s="222"/>
      <c r="DR153" s="222"/>
      <c r="DS153" s="222"/>
      <c r="DT153" s="222"/>
      <c r="DU153" s="222"/>
      <c r="DV153" s="222"/>
      <c r="DW153" s="222"/>
      <c r="DX153" s="222"/>
      <c r="DY153" s="222"/>
      <c r="DZ153" s="222"/>
      <c r="EA153" s="222"/>
      <c r="EB153" s="222"/>
      <c r="EC153" s="222"/>
      <c r="ED153" s="222"/>
      <c r="EE153" s="222"/>
      <c r="EF153" s="222"/>
      <c r="EG153" s="222"/>
      <c r="EH153" s="222"/>
    </row>
    <row r="154" spans="1:138">
      <c r="A154" s="222"/>
      <c r="B154" s="318"/>
      <c r="C154" s="313" t="s">
        <v>292</v>
      </c>
      <c r="D154" s="322">
        <f>IRR(H152:T152)*12</f>
        <v>0.52245640286799322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2"/>
      <c r="BN154" s="222"/>
      <c r="BO154" s="222"/>
      <c r="BP154" s="222"/>
      <c r="BQ154" s="22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22"/>
      <c r="CO154" s="222"/>
      <c r="CP154" s="222"/>
      <c r="CQ154" s="222"/>
      <c r="CR154" s="222"/>
      <c r="CS154" s="222"/>
      <c r="CT154" s="222"/>
      <c r="CU154" s="222"/>
      <c r="CV154" s="222"/>
      <c r="CW154" s="222"/>
      <c r="CX154" s="222"/>
      <c r="CY154" s="222"/>
      <c r="CZ154" s="222"/>
      <c r="DA154" s="222"/>
      <c r="DB154" s="222"/>
      <c r="DC154" s="222"/>
      <c r="DD154" s="222"/>
      <c r="DE154" s="222"/>
      <c r="DF154" s="222"/>
      <c r="DG154" s="222"/>
      <c r="DH154" s="222"/>
      <c r="DI154" s="222"/>
      <c r="DJ154" s="222"/>
      <c r="DK154" s="222"/>
      <c r="DL154" s="222"/>
      <c r="DM154" s="222"/>
      <c r="DN154" s="222"/>
      <c r="DO154" s="222"/>
      <c r="DP154" s="222"/>
      <c r="DQ154" s="222"/>
      <c r="DR154" s="222"/>
      <c r="DS154" s="222"/>
      <c r="DT154" s="222"/>
      <c r="DU154" s="222"/>
      <c r="DV154" s="222"/>
      <c r="DW154" s="222"/>
      <c r="DX154" s="222"/>
      <c r="DY154" s="222"/>
      <c r="DZ154" s="222"/>
      <c r="EA154" s="222"/>
      <c r="EB154" s="222"/>
      <c r="EC154" s="222"/>
      <c r="ED154" s="222"/>
      <c r="EE154" s="222"/>
      <c r="EF154" s="222"/>
      <c r="EG154" s="222"/>
      <c r="EH154" s="222"/>
    </row>
    <row r="155" spans="1:138">
      <c r="A155" s="222"/>
      <c r="B155" s="318"/>
      <c r="C155" s="323" t="s">
        <v>300</v>
      </c>
      <c r="D155" s="324">
        <f>-MIN(M153:BL153)-D156</f>
        <v>10666587.08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  <c r="BQ155" s="22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22"/>
      <c r="CO155" s="222"/>
      <c r="CP155" s="222"/>
      <c r="CQ155" s="222"/>
      <c r="CR155" s="222"/>
      <c r="CS155" s="222"/>
      <c r="CT155" s="222"/>
      <c r="CU155" s="222"/>
      <c r="CV155" s="222"/>
      <c r="CW155" s="222"/>
      <c r="CX155" s="222"/>
      <c r="CY155" s="222"/>
      <c r="CZ155" s="222"/>
      <c r="DA155" s="222"/>
      <c r="DB155" s="222"/>
      <c r="DC155" s="222"/>
      <c r="DD155" s="222"/>
      <c r="DE155" s="222"/>
      <c r="DF155" s="222"/>
      <c r="DG155" s="222"/>
      <c r="DH155" s="222"/>
      <c r="DI155" s="222"/>
      <c r="DJ155" s="222"/>
      <c r="DK155" s="222"/>
      <c r="DL155" s="222"/>
      <c r="DM155" s="222"/>
      <c r="DN155" s="222"/>
      <c r="DO155" s="222"/>
      <c r="DP155" s="222"/>
      <c r="DQ155" s="222"/>
      <c r="DR155" s="222"/>
      <c r="DS155" s="222"/>
      <c r="DT155" s="222"/>
      <c r="DU155" s="222"/>
      <c r="DV155" s="222"/>
      <c r="DW155" s="222"/>
      <c r="DX155" s="222"/>
      <c r="DY155" s="222"/>
      <c r="DZ155" s="222"/>
      <c r="EA155" s="222"/>
      <c r="EB155" s="222"/>
      <c r="EC155" s="222"/>
      <c r="ED155" s="222"/>
      <c r="EE155" s="222"/>
      <c r="EF155" s="222"/>
      <c r="EG155" s="222"/>
      <c r="EH155" s="222"/>
    </row>
    <row r="156" spans="1:138">
      <c r="A156" s="222"/>
      <c r="B156" s="318"/>
      <c r="C156" s="323" t="s">
        <v>301</v>
      </c>
      <c r="D156" s="324">
        <f>-SUM(M151:BB151)</f>
        <v>0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2"/>
      <c r="BN156" s="222"/>
      <c r="BO156" s="222"/>
      <c r="BP156" s="222"/>
      <c r="BQ156" s="222"/>
      <c r="BR156" s="222"/>
      <c r="BS156" s="222"/>
      <c r="BT156" s="222"/>
      <c r="BU156" s="222"/>
      <c r="BV156" s="222"/>
      <c r="BW156" s="222"/>
      <c r="BX156" s="222"/>
      <c r="BY156" s="222"/>
      <c r="BZ156" s="222"/>
      <c r="CA156" s="222"/>
      <c r="CB156" s="222"/>
      <c r="CC156" s="222"/>
      <c r="CD156" s="222"/>
      <c r="CE156" s="222"/>
      <c r="CF156" s="222"/>
      <c r="CG156" s="222"/>
      <c r="CH156" s="222"/>
      <c r="CI156" s="222"/>
      <c r="CJ156" s="222"/>
      <c r="CK156" s="222"/>
      <c r="CL156" s="222"/>
      <c r="CM156" s="222"/>
      <c r="CN156" s="222"/>
      <c r="CO156" s="222"/>
      <c r="CP156" s="222"/>
      <c r="CQ156" s="222"/>
      <c r="CR156" s="222"/>
      <c r="CS156" s="222"/>
      <c r="CT156" s="222"/>
      <c r="CU156" s="222"/>
      <c r="CV156" s="222"/>
      <c r="CW156" s="222"/>
      <c r="CX156" s="222"/>
      <c r="CY156" s="222"/>
      <c r="CZ156" s="222"/>
      <c r="DA156" s="222"/>
      <c r="DB156" s="222"/>
      <c r="DC156" s="222"/>
      <c r="DD156" s="222"/>
      <c r="DE156" s="222"/>
      <c r="DF156" s="222"/>
      <c r="DG156" s="222"/>
      <c r="DH156" s="222"/>
      <c r="DI156" s="222"/>
      <c r="DJ156" s="222"/>
      <c r="DK156" s="222"/>
      <c r="DL156" s="222"/>
      <c r="DM156" s="222"/>
      <c r="DN156" s="222"/>
      <c r="DO156" s="222"/>
      <c r="DP156" s="222"/>
      <c r="DQ156" s="222"/>
      <c r="DR156" s="222"/>
      <c r="DS156" s="222"/>
      <c r="DT156" s="222"/>
      <c r="DU156" s="222"/>
      <c r="DV156" s="222"/>
      <c r="DW156" s="222"/>
      <c r="DX156" s="222"/>
      <c r="DY156" s="222"/>
      <c r="DZ156" s="222"/>
      <c r="EA156" s="222"/>
      <c r="EB156" s="222"/>
      <c r="EC156" s="222"/>
      <c r="ED156" s="222"/>
      <c r="EE156" s="222"/>
      <c r="EF156" s="222"/>
      <c r="EG156" s="222"/>
      <c r="EH156" s="222"/>
    </row>
    <row r="157" spans="1:138">
      <c r="A157" s="222"/>
      <c r="B157" s="318"/>
      <c r="C157" s="313" t="s">
        <v>302</v>
      </c>
      <c r="D157" s="326">
        <f>D156+D155</f>
        <v>10666587.08</v>
      </c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  <c r="BQ157" s="222"/>
      <c r="BR157" s="222"/>
      <c r="BS157" s="222"/>
      <c r="BT157" s="222"/>
      <c r="BU157" s="222"/>
      <c r="BV157" s="222"/>
      <c r="BW157" s="222"/>
      <c r="BX157" s="222"/>
      <c r="BY157" s="222"/>
      <c r="BZ157" s="222"/>
      <c r="CA157" s="222"/>
      <c r="CB157" s="222"/>
      <c r="CC157" s="222"/>
      <c r="CD157" s="222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2"/>
      <c r="CV157" s="222"/>
      <c r="CW157" s="222"/>
      <c r="CX157" s="222"/>
      <c r="CY157" s="222"/>
      <c r="CZ157" s="222"/>
      <c r="DA157" s="222"/>
      <c r="DB157" s="222"/>
      <c r="DC157" s="222"/>
      <c r="DD157" s="222"/>
      <c r="DE157" s="222"/>
      <c r="DF157" s="222"/>
      <c r="DG157" s="222"/>
      <c r="DH157" s="222"/>
      <c r="DI157" s="222"/>
      <c r="DJ157" s="222"/>
      <c r="DK157" s="222"/>
      <c r="DL157" s="222"/>
      <c r="DM157" s="222"/>
      <c r="DN157" s="222"/>
      <c r="DO157" s="222"/>
      <c r="DP157" s="222"/>
      <c r="DQ157" s="222"/>
      <c r="DR157" s="222"/>
      <c r="DS157" s="222"/>
      <c r="DT157" s="222"/>
      <c r="DU157" s="222"/>
      <c r="DV157" s="222"/>
      <c r="DW157" s="325"/>
      <c r="DX157" s="325"/>
      <c r="DY157" s="325"/>
      <c r="DZ157" s="325"/>
      <c r="EA157" s="325"/>
      <c r="EB157" s="325"/>
      <c r="EC157" s="325"/>
      <c r="ED157" s="325"/>
      <c r="EE157" s="325"/>
      <c r="EF157" s="325"/>
      <c r="EG157" s="325"/>
      <c r="EH157" s="325"/>
    </row>
    <row r="158" spans="1:138">
      <c r="A158" s="222"/>
      <c r="B158" s="318"/>
      <c r="C158" s="313" t="s">
        <v>303</v>
      </c>
      <c r="D158" s="326">
        <f>BX149+BX150</f>
        <v>0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  <c r="BL158" s="222"/>
      <c r="BM158" s="222"/>
      <c r="BN158" s="222"/>
      <c r="BO158" s="222"/>
      <c r="BP158" s="222"/>
      <c r="BQ158" s="222"/>
      <c r="BR158" s="222"/>
      <c r="BS158" s="222"/>
      <c r="BT158" s="222"/>
      <c r="BU158" s="222"/>
      <c r="BV158" s="222"/>
      <c r="BW158" s="222"/>
      <c r="BX158" s="222"/>
      <c r="BY158" s="222"/>
      <c r="BZ158" s="222"/>
      <c r="CA158" s="222"/>
      <c r="CB158" s="222"/>
      <c r="CC158" s="222"/>
      <c r="CD158" s="222"/>
      <c r="CE158" s="222"/>
      <c r="CF158" s="222"/>
      <c r="CG158" s="222"/>
      <c r="CH158" s="222"/>
      <c r="CI158" s="222"/>
      <c r="CJ158" s="222"/>
      <c r="CK158" s="222"/>
      <c r="CL158" s="222"/>
      <c r="CM158" s="222"/>
      <c r="CN158" s="222"/>
      <c r="CO158" s="222"/>
      <c r="CP158" s="222"/>
      <c r="CQ158" s="222"/>
      <c r="CR158" s="222"/>
      <c r="CS158" s="222"/>
      <c r="CT158" s="222"/>
      <c r="CU158" s="222"/>
      <c r="CV158" s="222"/>
      <c r="CW158" s="222"/>
      <c r="CX158" s="222"/>
      <c r="CY158" s="222"/>
      <c r="CZ158" s="222"/>
      <c r="DA158" s="222"/>
      <c r="DB158" s="222"/>
      <c r="DC158" s="222"/>
      <c r="DD158" s="222"/>
      <c r="DE158" s="222"/>
      <c r="DF158" s="222"/>
      <c r="DG158" s="222"/>
      <c r="DH158" s="222"/>
      <c r="DI158" s="222"/>
      <c r="DJ158" s="222"/>
      <c r="DK158" s="222"/>
      <c r="DL158" s="222"/>
      <c r="DM158" s="222"/>
      <c r="DN158" s="222"/>
      <c r="DO158" s="222"/>
      <c r="DP158" s="222"/>
      <c r="DQ158" s="222"/>
      <c r="DR158" s="222"/>
      <c r="DS158" s="222"/>
      <c r="DT158" s="222"/>
      <c r="DU158" s="222"/>
      <c r="DV158" s="222"/>
      <c r="DW158" s="325"/>
      <c r="DX158" s="325"/>
      <c r="DY158" s="325"/>
      <c r="DZ158" s="325"/>
      <c r="EA158" s="325"/>
      <c r="EB158" s="325"/>
      <c r="EC158" s="325"/>
      <c r="ED158" s="325"/>
      <c r="EE158" s="325"/>
      <c r="EF158" s="325"/>
      <c r="EG158" s="325"/>
      <c r="EH158" s="325"/>
    </row>
    <row r="159" spans="1:138">
      <c r="A159" s="222"/>
      <c r="B159" s="318"/>
      <c r="C159" s="313" t="s">
        <v>147</v>
      </c>
      <c r="D159" s="322">
        <f>T150/T147</f>
        <v>0.51486070537227191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2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2"/>
      <c r="BK159" s="222"/>
      <c r="BL159" s="222"/>
      <c r="BM159" s="222"/>
      <c r="BN159" s="222"/>
      <c r="BO159" s="222"/>
      <c r="BP159" s="222"/>
      <c r="BQ159" s="222"/>
      <c r="BR159" s="222"/>
      <c r="BS159" s="222"/>
      <c r="BT159" s="222"/>
      <c r="BU159" s="222"/>
      <c r="BV159" s="222"/>
      <c r="BW159" s="222"/>
      <c r="BX159" s="222"/>
      <c r="BY159" s="222"/>
      <c r="BZ159" s="222"/>
      <c r="CA159" s="222"/>
      <c r="CB159" s="222"/>
      <c r="CC159" s="222"/>
      <c r="CD159" s="222"/>
      <c r="CE159" s="222"/>
      <c r="CF159" s="222"/>
      <c r="CG159" s="222"/>
      <c r="CH159" s="222"/>
      <c r="CI159" s="222"/>
      <c r="CJ159" s="222"/>
      <c r="CK159" s="222"/>
      <c r="CL159" s="222"/>
      <c r="CM159" s="222"/>
      <c r="CN159" s="222"/>
      <c r="CO159" s="222"/>
      <c r="CP159" s="222"/>
      <c r="CQ159" s="222"/>
      <c r="CR159" s="222"/>
      <c r="CS159" s="222"/>
      <c r="CT159" s="222"/>
      <c r="CU159" s="222"/>
      <c r="CV159" s="222"/>
      <c r="CW159" s="222"/>
      <c r="CX159" s="222"/>
      <c r="CY159" s="222"/>
      <c r="CZ159" s="222"/>
      <c r="DA159" s="222"/>
      <c r="DB159" s="222"/>
      <c r="DC159" s="222"/>
      <c r="DD159" s="222"/>
      <c r="DE159" s="222"/>
      <c r="DF159" s="222"/>
      <c r="DG159" s="222"/>
      <c r="DH159" s="222"/>
      <c r="DI159" s="222"/>
      <c r="DJ159" s="222"/>
      <c r="DK159" s="222"/>
      <c r="DL159" s="222"/>
      <c r="DM159" s="222"/>
      <c r="DN159" s="222"/>
      <c r="DO159" s="222"/>
      <c r="DP159" s="222"/>
      <c r="DQ159" s="222"/>
      <c r="DR159" s="222"/>
      <c r="DS159" s="222"/>
      <c r="DT159" s="222"/>
      <c r="DU159" s="222"/>
      <c r="DV159" s="222"/>
      <c r="DW159" s="325"/>
      <c r="DX159" s="325"/>
      <c r="DY159" s="325"/>
      <c r="DZ159" s="325"/>
      <c r="EA159" s="325"/>
      <c r="EB159" s="325"/>
      <c r="EC159" s="325"/>
      <c r="ED159" s="325"/>
      <c r="EE159" s="325"/>
      <c r="EF159" s="325"/>
      <c r="EG159" s="325"/>
      <c r="EH159" s="325"/>
    </row>
    <row r="162" spans="1:138">
      <c r="A162" s="222"/>
      <c r="B162" s="318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222"/>
      <c r="AF162" s="222"/>
      <c r="AG162" s="222"/>
      <c r="AH162" s="222"/>
      <c r="AI162" s="222"/>
      <c r="AJ162" s="222"/>
      <c r="AK162" s="222"/>
      <c r="AL162" s="222"/>
      <c r="AM162" s="222"/>
      <c r="AN162" s="222"/>
      <c r="AO162" s="222"/>
      <c r="AP162" s="222"/>
      <c r="AQ162" s="222"/>
      <c r="AR162" s="222"/>
      <c r="AS162" s="222"/>
      <c r="AT162" s="222"/>
      <c r="AU162" s="222"/>
      <c r="AV162" s="222"/>
      <c r="AW162" s="222"/>
      <c r="AX162" s="222"/>
      <c r="AY162" s="222"/>
      <c r="AZ162" s="222"/>
      <c r="BA162" s="222"/>
      <c r="BB162" s="222"/>
      <c r="BC162" s="222"/>
      <c r="BD162" s="222"/>
      <c r="BE162" s="222"/>
      <c r="BF162" s="222"/>
      <c r="BG162" s="222"/>
      <c r="BH162" s="222"/>
      <c r="BI162" s="222"/>
      <c r="BJ162" s="222"/>
      <c r="BK162" s="222"/>
      <c r="BL162" s="222"/>
      <c r="BM162" s="222"/>
      <c r="BN162" s="222"/>
      <c r="BO162" s="222"/>
      <c r="BP162" s="222"/>
      <c r="BQ162" s="222"/>
      <c r="BR162" s="222"/>
      <c r="BS162" s="222"/>
      <c r="BT162" s="222"/>
      <c r="BU162" s="222"/>
      <c r="BV162" s="222"/>
      <c r="BW162" s="222"/>
      <c r="BX162" s="222"/>
      <c r="BY162" s="222"/>
      <c r="BZ162" s="222"/>
      <c r="CA162" s="222"/>
      <c r="CB162" s="222"/>
      <c r="CC162" s="222"/>
      <c r="CD162" s="222"/>
      <c r="CE162" s="222"/>
      <c r="CF162" s="222"/>
      <c r="CG162" s="222"/>
      <c r="CH162" s="222"/>
      <c r="CI162" s="222"/>
      <c r="CJ162" s="222"/>
      <c r="CK162" s="222"/>
      <c r="CL162" s="222"/>
      <c r="CM162" s="222"/>
      <c r="CN162" s="222"/>
      <c r="CO162" s="222"/>
      <c r="CP162" s="222"/>
      <c r="CQ162" s="222"/>
      <c r="CR162" s="222"/>
      <c r="CS162" s="222"/>
      <c r="CT162" s="222"/>
      <c r="CU162" s="222"/>
      <c r="CV162" s="222"/>
      <c r="CW162" s="222"/>
      <c r="CX162" s="222"/>
      <c r="CY162" s="222"/>
      <c r="CZ162" s="222"/>
      <c r="DA162" s="222"/>
      <c r="DB162" s="222"/>
      <c r="DC162" s="222"/>
      <c r="DD162" s="222"/>
      <c r="DE162" s="222"/>
      <c r="DF162" s="222"/>
      <c r="DG162" s="222"/>
      <c r="DH162" s="222"/>
      <c r="DI162" s="222"/>
      <c r="DJ162" s="222"/>
      <c r="DK162" s="222"/>
      <c r="DL162" s="222"/>
      <c r="DM162" s="222"/>
      <c r="DN162" s="222"/>
      <c r="DO162" s="222"/>
      <c r="DP162" s="222"/>
      <c r="DQ162" s="222"/>
      <c r="DR162" s="222"/>
      <c r="DS162" s="222"/>
      <c r="DT162" s="222"/>
      <c r="DU162" s="222"/>
      <c r="DV162" s="222"/>
      <c r="DW162" s="325"/>
      <c r="DX162" s="325"/>
      <c r="DY162" s="325"/>
      <c r="DZ162" s="325"/>
      <c r="EA162" s="325"/>
      <c r="EB162" s="325"/>
      <c r="EC162" s="325"/>
      <c r="ED162" s="325"/>
      <c r="EE162" s="325"/>
      <c r="EF162" s="325"/>
      <c r="EG162" s="325"/>
      <c r="EH162" s="325"/>
    </row>
    <row r="163" spans="1:138">
      <c r="A163" s="222"/>
      <c r="B163" s="318"/>
      <c r="C163" s="310" t="s">
        <v>308</v>
      </c>
      <c r="D163" s="311"/>
      <c r="E163" s="311">
        <f t="shared" ref="E163:G163" si="59">-(E7+E93)</f>
        <v>0</v>
      </c>
      <c r="F163" s="311">
        <f t="shared" si="59"/>
        <v>0</v>
      </c>
      <c r="G163" s="311">
        <f t="shared" si="59"/>
        <v>0</v>
      </c>
      <c r="H163" s="311">
        <f>-5341205.5</f>
        <v>-5341205.5</v>
      </c>
      <c r="I163" s="311">
        <f t="shared" ref="I163:S163" si="60">-(I7+I93)</f>
        <v>0</v>
      </c>
      <c r="J163" s="311">
        <f t="shared" si="60"/>
        <v>0</v>
      </c>
      <c r="K163" s="311">
        <f t="shared" si="60"/>
        <v>0</v>
      </c>
      <c r="L163" s="311">
        <f t="shared" si="60"/>
        <v>0</v>
      </c>
      <c r="M163" s="311">
        <f t="shared" si="60"/>
        <v>0</v>
      </c>
      <c r="N163" s="311">
        <f t="shared" si="60"/>
        <v>0</v>
      </c>
      <c r="O163" s="311">
        <f t="shared" si="60"/>
        <v>0</v>
      </c>
      <c r="P163" s="311">
        <f t="shared" si="60"/>
        <v>0</v>
      </c>
      <c r="Q163" s="311">
        <f t="shared" si="60"/>
        <v>0</v>
      </c>
      <c r="R163" s="311">
        <f t="shared" si="60"/>
        <v>0</v>
      </c>
      <c r="S163" s="311">
        <f t="shared" si="60"/>
        <v>0</v>
      </c>
      <c r="T163" s="311">
        <f>5341205.5</f>
        <v>5341205.5</v>
      </c>
      <c r="U163" s="311">
        <f t="shared" ref="U163:BX163" si="61">-(U7+U93)</f>
        <v>0</v>
      </c>
      <c r="V163" s="311">
        <f t="shared" si="61"/>
        <v>0</v>
      </c>
      <c r="W163" s="311">
        <f t="shared" si="61"/>
        <v>0</v>
      </c>
      <c r="X163" s="311">
        <f t="shared" si="61"/>
        <v>0</v>
      </c>
      <c r="Y163" s="311">
        <f t="shared" si="61"/>
        <v>0</v>
      </c>
      <c r="Z163" s="311">
        <f t="shared" si="61"/>
        <v>0</v>
      </c>
      <c r="AA163" s="311">
        <f t="shared" si="61"/>
        <v>0</v>
      </c>
      <c r="AB163" s="311">
        <f t="shared" si="61"/>
        <v>0</v>
      </c>
      <c r="AC163" s="311">
        <f t="shared" si="61"/>
        <v>0</v>
      </c>
      <c r="AD163" s="311">
        <f t="shared" si="61"/>
        <v>0</v>
      </c>
      <c r="AE163" s="311">
        <f t="shared" si="61"/>
        <v>0</v>
      </c>
      <c r="AF163" s="311">
        <f t="shared" si="61"/>
        <v>0</v>
      </c>
      <c r="AG163" s="311">
        <f t="shared" si="61"/>
        <v>0</v>
      </c>
      <c r="AH163" s="311">
        <f t="shared" si="61"/>
        <v>0</v>
      </c>
      <c r="AI163" s="311">
        <f t="shared" si="61"/>
        <v>0</v>
      </c>
      <c r="AJ163" s="311">
        <f t="shared" si="61"/>
        <v>0</v>
      </c>
      <c r="AK163" s="311">
        <f t="shared" si="61"/>
        <v>0</v>
      </c>
      <c r="AL163" s="311">
        <f t="shared" si="61"/>
        <v>0</v>
      </c>
      <c r="AM163" s="311">
        <f t="shared" si="61"/>
        <v>0</v>
      </c>
      <c r="AN163" s="311">
        <f t="shared" si="61"/>
        <v>0</v>
      </c>
      <c r="AO163" s="311">
        <f t="shared" si="61"/>
        <v>0</v>
      </c>
      <c r="AP163" s="311">
        <f t="shared" si="61"/>
        <v>0</v>
      </c>
      <c r="AQ163" s="311">
        <f t="shared" si="61"/>
        <v>0</v>
      </c>
      <c r="AR163" s="311">
        <f t="shared" si="61"/>
        <v>0</v>
      </c>
      <c r="AS163" s="311">
        <f t="shared" si="61"/>
        <v>0</v>
      </c>
      <c r="AT163" s="311">
        <f t="shared" si="61"/>
        <v>0</v>
      </c>
      <c r="AU163" s="311">
        <f t="shared" si="61"/>
        <v>0</v>
      </c>
      <c r="AV163" s="311">
        <f t="shared" si="61"/>
        <v>0</v>
      </c>
      <c r="AW163" s="311">
        <f t="shared" si="61"/>
        <v>0</v>
      </c>
      <c r="AX163" s="311">
        <f t="shared" si="61"/>
        <v>0</v>
      </c>
      <c r="AY163" s="311">
        <f t="shared" si="61"/>
        <v>0</v>
      </c>
      <c r="AZ163" s="311">
        <f t="shared" si="61"/>
        <v>0</v>
      </c>
      <c r="BA163" s="311">
        <f t="shared" si="61"/>
        <v>0</v>
      </c>
      <c r="BB163" s="311">
        <f t="shared" si="61"/>
        <v>0</v>
      </c>
      <c r="BC163" s="311">
        <f t="shared" si="61"/>
        <v>0</v>
      </c>
      <c r="BD163" s="311">
        <f t="shared" si="61"/>
        <v>0</v>
      </c>
      <c r="BE163" s="311">
        <f t="shared" si="61"/>
        <v>0</v>
      </c>
      <c r="BF163" s="311">
        <f t="shared" si="61"/>
        <v>0</v>
      </c>
      <c r="BG163" s="311">
        <f t="shared" si="61"/>
        <v>0</v>
      </c>
      <c r="BH163" s="311">
        <f t="shared" si="61"/>
        <v>0</v>
      </c>
      <c r="BI163" s="311">
        <f t="shared" si="61"/>
        <v>0</v>
      </c>
      <c r="BJ163" s="311">
        <f t="shared" si="61"/>
        <v>0</v>
      </c>
      <c r="BK163" s="311">
        <f t="shared" si="61"/>
        <v>0</v>
      </c>
      <c r="BL163" s="311">
        <f t="shared" si="61"/>
        <v>0</v>
      </c>
      <c r="BM163" s="311">
        <f t="shared" si="61"/>
        <v>0</v>
      </c>
      <c r="BN163" s="311">
        <f t="shared" si="61"/>
        <v>0</v>
      </c>
      <c r="BO163" s="311">
        <f t="shared" si="61"/>
        <v>0</v>
      </c>
      <c r="BP163" s="311">
        <f t="shared" si="61"/>
        <v>0</v>
      </c>
      <c r="BQ163" s="311">
        <f t="shared" si="61"/>
        <v>0</v>
      </c>
      <c r="BR163" s="311">
        <f t="shared" si="61"/>
        <v>0</v>
      </c>
      <c r="BS163" s="311">
        <f t="shared" si="61"/>
        <v>0</v>
      </c>
      <c r="BT163" s="311">
        <f t="shared" si="61"/>
        <v>0</v>
      </c>
      <c r="BU163" s="311">
        <f t="shared" si="61"/>
        <v>0</v>
      </c>
      <c r="BV163" s="311">
        <f t="shared" si="61"/>
        <v>0</v>
      </c>
      <c r="BW163" s="311">
        <f t="shared" si="61"/>
        <v>0</v>
      </c>
      <c r="BX163" s="311">
        <f t="shared" si="61"/>
        <v>0</v>
      </c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  <c r="CJ163" s="222"/>
      <c r="CK163" s="222"/>
      <c r="CL163" s="222"/>
      <c r="CM163" s="222"/>
      <c r="CN163" s="222"/>
      <c r="CO163" s="222"/>
      <c r="CP163" s="222"/>
      <c r="CQ163" s="222"/>
      <c r="CR163" s="222"/>
      <c r="CS163" s="222"/>
      <c r="CT163" s="222"/>
      <c r="CU163" s="222"/>
      <c r="CV163" s="222"/>
      <c r="CW163" s="222"/>
      <c r="CX163" s="222"/>
      <c r="CY163" s="222"/>
      <c r="CZ163" s="222"/>
      <c r="DA163" s="222"/>
      <c r="DB163" s="222"/>
      <c r="DC163" s="222"/>
      <c r="DD163" s="222"/>
      <c r="DE163" s="222"/>
      <c r="DF163" s="222"/>
      <c r="DG163" s="222"/>
      <c r="DH163" s="222"/>
      <c r="DI163" s="222"/>
      <c r="DJ163" s="222"/>
      <c r="DK163" s="222"/>
      <c r="DL163" s="222"/>
      <c r="DM163" s="222"/>
      <c r="DN163" s="222"/>
      <c r="DO163" s="222"/>
      <c r="DP163" s="222"/>
      <c r="DQ163" s="222"/>
      <c r="DR163" s="222"/>
      <c r="DS163" s="222"/>
      <c r="DT163" s="222"/>
      <c r="DU163" s="222"/>
      <c r="DV163" s="222"/>
      <c r="DW163" s="325"/>
      <c r="DX163" s="325"/>
      <c r="DY163" s="325"/>
      <c r="DZ163" s="325"/>
      <c r="EA163" s="325"/>
      <c r="EB163" s="325"/>
      <c r="EC163" s="325"/>
      <c r="ED163" s="325"/>
      <c r="EE163" s="325"/>
      <c r="EF163" s="325"/>
      <c r="EG163" s="325"/>
      <c r="EH163" s="325"/>
    </row>
    <row r="164" spans="1:138">
      <c r="A164" s="222"/>
      <c r="B164" s="318"/>
      <c r="C164" s="310" t="s">
        <v>305</v>
      </c>
      <c r="D164" s="319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222"/>
      <c r="BZ164" s="222"/>
      <c r="CA164" s="222"/>
      <c r="CB164" s="222"/>
      <c r="CC164" s="222"/>
      <c r="CD164" s="222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2"/>
      <c r="CV164" s="222"/>
      <c r="CW164" s="222"/>
      <c r="CX164" s="222"/>
      <c r="CY164" s="222"/>
      <c r="CZ164" s="222"/>
      <c r="DA164" s="222"/>
      <c r="DB164" s="222"/>
      <c r="DC164" s="222"/>
      <c r="DD164" s="222"/>
      <c r="DE164" s="222"/>
      <c r="DF164" s="222"/>
      <c r="DG164" s="222"/>
      <c r="DH164" s="222"/>
      <c r="DI164" s="222"/>
      <c r="DJ164" s="222"/>
      <c r="DK164" s="222"/>
      <c r="DL164" s="222"/>
      <c r="DM164" s="222"/>
      <c r="DN164" s="222"/>
      <c r="DO164" s="222"/>
      <c r="DP164" s="222"/>
      <c r="DQ164" s="222"/>
      <c r="DR164" s="222"/>
      <c r="DS164" s="222"/>
      <c r="DT164" s="222"/>
      <c r="DU164" s="222"/>
      <c r="DV164" s="222"/>
      <c r="DW164" s="325"/>
      <c r="DX164" s="325"/>
      <c r="DY164" s="325"/>
      <c r="DZ164" s="325"/>
      <c r="EA164" s="325"/>
      <c r="EB164" s="325"/>
      <c r="EC164" s="325"/>
      <c r="ED164" s="325"/>
      <c r="EE164" s="325"/>
      <c r="EF164" s="325"/>
      <c r="EG164" s="325"/>
      <c r="EH164" s="325"/>
    </row>
    <row r="165" spans="1:138">
      <c r="A165" s="222"/>
      <c r="B165" s="318"/>
      <c r="C165" s="310" t="s">
        <v>296</v>
      </c>
      <c r="D165" s="319"/>
      <c r="E165" s="311">
        <f t="shared" ref="E165:BX165" si="62">-E58</f>
        <v>0</v>
      </c>
      <c r="F165" s="311">
        <f t="shared" si="62"/>
        <v>0</v>
      </c>
      <c r="G165" s="311">
        <f t="shared" si="62"/>
        <v>0</v>
      </c>
      <c r="H165" s="311">
        <f t="shared" si="62"/>
        <v>0</v>
      </c>
      <c r="I165" s="311">
        <f t="shared" si="62"/>
        <v>0</v>
      </c>
      <c r="J165" s="311">
        <f t="shared" si="62"/>
        <v>0</v>
      </c>
      <c r="K165" s="311">
        <f t="shared" si="62"/>
        <v>0</v>
      </c>
      <c r="L165" s="311">
        <f t="shared" si="62"/>
        <v>0</v>
      </c>
      <c r="M165" s="311">
        <f t="shared" si="62"/>
        <v>0</v>
      </c>
      <c r="N165" s="311">
        <f t="shared" si="62"/>
        <v>0</v>
      </c>
      <c r="O165" s="311">
        <f t="shared" si="62"/>
        <v>0</v>
      </c>
      <c r="P165" s="311">
        <f t="shared" si="62"/>
        <v>0</v>
      </c>
      <c r="Q165" s="311">
        <f t="shared" si="62"/>
        <v>0</v>
      </c>
      <c r="R165" s="311">
        <f t="shared" si="62"/>
        <v>0</v>
      </c>
      <c r="S165" s="311">
        <f t="shared" si="62"/>
        <v>0</v>
      </c>
      <c r="T165" s="311">
        <f t="shared" si="62"/>
        <v>0</v>
      </c>
      <c r="U165" s="311">
        <f t="shared" si="62"/>
        <v>0</v>
      </c>
      <c r="V165" s="311">
        <f t="shared" si="62"/>
        <v>0</v>
      </c>
      <c r="W165" s="311">
        <f t="shared" si="62"/>
        <v>0</v>
      </c>
      <c r="X165" s="311">
        <f t="shared" si="62"/>
        <v>0</v>
      </c>
      <c r="Y165" s="311">
        <f t="shared" si="62"/>
        <v>0</v>
      </c>
      <c r="Z165" s="311">
        <f t="shared" si="62"/>
        <v>0</v>
      </c>
      <c r="AA165" s="311">
        <f t="shared" si="62"/>
        <v>0</v>
      </c>
      <c r="AB165" s="311">
        <f t="shared" si="62"/>
        <v>0</v>
      </c>
      <c r="AC165" s="311">
        <f t="shared" si="62"/>
        <v>0</v>
      </c>
      <c r="AD165" s="311">
        <f t="shared" si="62"/>
        <v>0</v>
      </c>
      <c r="AE165" s="311">
        <f t="shared" si="62"/>
        <v>0</v>
      </c>
      <c r="AF165" s="311">
        <f t="shared" si="62"/>
        <v>0</v>
      </c>
      <c r="AG165" s="311">
        <f t="shared" si="62"/>
        <v>0</v>
      </c>
      <c r="AH165" s="311">
        <f t="shared" si="62"/>
        <v>0</v>
      </c>
      <c r="AI165" s="311">
        <f t="shared" si="62"/>
        <v>0</v>
      </c>
      <c r="AJ165" s="311">
        <f t="shared" si="62"/>
        <v>0</v>
      </c>
      <c r="AK165" s="311">
        <f t="shared" si="62"/>
        <v>0</v>
      </c>
      <c r="AL165" s="311">
        <f t="shared" si="62"/>
        <v>0</v>
      </c>
      <c r="AM165" s="311">
        <f t="shared" si="62"/>
        <v>0</v>
      </c>
      <c r="AN165" s="311">
        <f t="shared" si="62"/>
        <v>0</v>
      </c>
      <c r="AO165" s="311">
        <f t="shared" si="62"/>
        <v>0</v>
      </c>
      <c r="AP165" s="311">
        <f t="shared" si="62"/>
        <v>0</v>
      </c>
      <c r="AQ165" s="311">
        <f t="shared" si="62"/>
        <v>0</v>
      </c>
      <c r="AR165" s="311">
        <f t="shared" si="62"/>
        <v>0</v>
      </c>
      <c r="AS165" s="311">
        <f t="shared" si="62"/>
        <v>0</v>
      </c>
      <c r="AT165" s="311">
        <f t="shared" si="62"/>
        <v>0</v>
      </c>
      <c r="AU165" s="311">
        <f t="shared" si="62"/>
        <v>0</v>
      </c>
      <c r="AV165" s="311">
        <f t="shared" si="62"/>
        <v>0</v>
      </c>
      <c r="AW165" s="311">
        <f t="shared" si="62"/>
        <v>0</v>
      </c>
      <c r="AX165" s="311">
        <f t="shared" si="62"/>
        <v>0</v>
      </c>
      <c r="AY165" s="311">
        <f t="shared" si="62"/>
        <v>0</v>
      </c>
      <c r="AZ165" s="311">
        <f t="shared" si="62"/>
        <v>0</v>
      </c>
      <c r="BA165" s="311">
        <f t="shared" si="62"/>
        <v>0</v>
      </c>
      <c r="BB165" s="311">
        <f t="shared" si="62"/>
        <v>0</v>
      </c>
      <c r="BC165" s="311">
        <f t="shared" si="62"/>
        <v>0</v>
      </c>
      <c r="BD165" s="311">
        <f t="shared" si="62"/>
        <v>0</v>
      </c>
      <c r="BE165" s="311">
        <f t="shared" si="62"/>
        <v>0</v>
      </c>
      <c r="BF165" s="311">
        <f t="shared" si="62"/>
        <v>0</v>
      </c>
      <c r="BG165" s="311">
        <f t="shared" si="62"/>
        <v>0</v>
      </c>
      <c r="BH165" s="311">
        <f t="shared" si="62"/>
        <v>0</v>
      </c>
      <c r="BI165" s="311">
        <f t="shared" si="62"/>
        <v>0</v>
      </c>
      <c r="BJ165" s="311">
        <f t="shared" si="62"/>
        <v>0</v>
      </c>
      <c r="BK165" s="311">
        <f t="shared" si="62"/>
        <v>0</v>
      </c>
      <c r="BL165" s="311">
        <f t="shared" si="62"/>
        <v>0</v>
      </c>
      <c r="BM165" s="311">
        <f t="shared" si="62"/>
        <v>0</v>
      </c>
      <c r="BN165" s="311">
        <f t="shared" si="62"/>
        <v>0</v>
      </c>
      <c r="BO165" s="311">
        <f t="shared" si="62"/>
        <v>0</v>
      </c>
      <c r="BP165" s="311">
        <f t="shared" si="62"/>
        <v>0</v>
      </c>
      <c r="BQ165" s="311">
        <f t="shared" si="62"/>
        <v>0</v>
      </c>
      <c r="BR165" s="311">
        <f t="shared" si="62"/>
        <v>0</v>
      </c>
      <c r="BS165" s="311">
        <f t="shared" si="62"/>
        <v>0</v>
      </c>
      <c r="BT165" s="311">
        <f t="shared" si="62"/>
        <v>0</v>
      </c>
      <c r="BU165" s="311">
        <f t="shared" si="62"/>
        <v>0</v>
      </c>
      <c r="BV165" s="311">
        <f t="shared" si="62"/>
        <v>0</v>
      </c>
      <c r="BW165" s="311">
        <f t="shared" si="62"/>
        <v>0</v>
      </c>
      <c r="BX165" s="311">
        <f t="shared" si="62"/>
        <v>0</v>
      </c>
      <c r="BY165" s="222"/>
      <c r="BZ165" s="222"/>
      <c r="CA165" s="222"/>
      <c r="CB165" s="222"/>
      <c r="CC165" s="222"/>
      <c r="CD165" s="222"/>
      <c r="CE165" s="222"/>
      <c r="CF165" s="222"/>
      <c r="CG165" s="222"/>
      <c r="CH165" s="222"/>
      <c r="CI165" s="222"/>
      <c r="CJ165" s="222"/>
      <c r="CK165" s="222"/>
      <c r="CL165" s="222"/>
      <c r="CM165" s="222"/>
      <c r="CN165" s="222"/>
      <c r="CO165" s="222"/>
      <c r="CP165" s="222"/>
      <c r="CQ165" s="222"/>
      <c r="CR165" s="222"/>
      <c r="CS165" s="222"/>
      <c r="CT165" s="222"/>
      <c r="CU165" s="222"/>
      <c r="CV165" s="222"/>
      <c r="CW165" s="222"/>
      <c r="CX165" s="222"/>
      <c r="CY165" s="222"/>
      <c r="CZ165" s="222"/>
      <c r="DA165" s="222"/>
      <c r="DB165" s="222"/>
      <c r="DC165" s="222"/>
      <c r="DD165" s="222"/>
      <c r="DE165" s="222"/>
      <c r="DF165" s="222"/>
      <c r="DG165" s="222"/>
      <c r="DH165" s="222"/>
      <c r="DI165" s="222"/>
      <c r="DJ165" s="222"/>
      <c r="DK165" s="222"/>
      <c r="DL165" s="222"/>
      <c r="DM165" s="222"/>
      <c r="DN165" s="222"/>
      <c r="DO165" s="222"/>
      <c r="DP165" s="222"/>
      <c r="DQ165" s="222"/>
      <c r="DR165" s="222"/>
      <c r="DS165" s="222"/>
      <c r="DT165" s="222"/>
      <c r="DU165" s="222"/>
      <c r="DV165" s="222"/>
      <c r="DW165" s="325"/>
      <c r="DX165" s="325"/>
      <c r="DY165" s="325"/>
      <c r="DZ165" s="325"/>
      <c r="EA165" s="325"/>
      <c r="EB165" s="325"/>
      <c r="EC165" s="325"/>
      <c r="ED165" s="325"/>
      <c r="EE165" s="325"/>
      <c r="EF165" s="325"/>
      <c r="EG165" s="325"/>
      <c r="EH165" s="325"/>
    </row>
    <row r="166" spans="1:138">
      <c r="A166" s="222"/>
      <c r="B166" s="318"/>
      <c r="C166" s="310" t="s">
        <v>297</v>
      </c>
      <c r="D166" s="319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  <c r="O166" s="311"/>
      <c r="P166" s="311"/>
      <c r="Q166" s="311"/>
      <c r="R166" s="311"/>
      <c r="S166" s="311"/>
      <c r="T166" s="311">
        <v>2750000</v>
      </c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1"/>
      <c r="AH166" s="311"/>
      <c r="AI166" s="311"/>
      <c r="AJ166" s="311"/>
      <c r="AK166" s="311"/>
      <c r="AL166" s="311"/>
      <c r="AM166" s="311"/>
      <c r="AN166" s="311"/>
      <c r="AO166" s="311"/>
      <c r="AP166" s="311"/>
      <c r="AQ166" s="311"/>
      <c r="AR166" s="311"/>
      <c r="AS166" s="311"/>
      <c r="AT166" s="311"/>
      <c r="AU166" s="311"/>
      <c r="AV166" s="311"/>
      <c r="AW166" s="311"/>
      <c r="AX166" s="311"/>
      <c r="AY166" s="311"/>
      <c r="AZ166" s="311"/>
      <c r="BA166" s="311"/>
      <c r="BB166" s="311"/>
      <c r="BC166" s="311"/>
      <c r="BD166" s="311"/>
      <c r="BE166" s="311"/>
      <c r="BF166" s="311"/>
      <c r="BG166" s="311"/>
      <c r="BH166" s="311"/>
      <c r="BI166" s="311"/>
      <c r="BJ166" s="311"/>
      <c r="BK166" s="311"/>
      <c r="BL166" s="311"/>
      <c r="BM166" s="311"/>
      <c r="BN166" s="311"/>
      <c r="BO166" s="311"/>
      <c r="BP166" s="311"/>
      <c r="BQ166" s="311"/>
      <c r="BR166" s="311"/>
      <c r="BS166" s="311"/>
      <c r="BT166" s="311"/>
      <c r="BU166" s="311"/>
      <c r="BV166" s="311"/>
      <c r="BW166" s="311"/>
      <c r="BX166" s="311">
        <f>IF(D106&gt;0.25,(BX101-BX109)*D167,BX101*D167)</f>
        <v>0</v>
      </c>
      <c r="BY166" s="222"/>
      <c r="BZ166" s="222"/>
      <c r="CA166" s="222"/>
      <c r="CB166" s="222"/>
      <c r="CC166" s="222"/>
      <c r="CD166" s="222"/>
      <c r="CE166" s="222"/>
      <c r="CF166" s="222"/>
      <c r="CG166" s="222"/>
      <c r="CH166" s="222"/>
      <c r="CI166" s="222"/>
      <c r="CJ166" s="222"/>
      <c r="CK166" s="222"/>
      <c r="CL166" s="222"/>
      <c r="CM166" s="222"/>
      <c r="CN166" s="222"/>
      <c r="CO166" s="222"/>
      <c r="CP166" s="222"/>
      <c r="CQ166" s="222"/>
      <c r="CR166" s="222"/>
      <c r="CS166" s="222"/>
      <c r="CT166" s="222"/>
      <c r="CU166" s="222"/>
      <c r="CV166" s="222"/>
      <c r="CW166" s="222"/>
      <c r="CX166" s="222"/>
      <c r="CY166" s="222"/>
      <c r="CZ166" s="222"/>
      <c r="DA166" s="222"/>
      <c r="DB166" s="222"/>
      <c r="DC166" s="222"/>
      <c r="DD166" s="222"/>
      <c r="DE166" s="222"/>
      <c r="DF166" s="222"/>
      <c r="DG166" s="222"/>
      <c r="DH166" s="222"/>
      <c r="DI166" s="222"/>
      <c r="DJ166" s="222"/>
      <c r="DK166" s="222"/>
      <c r="DL166" s="222"/>
      <c r="DM166" s="222"/>
      <c r="DN166" s="222"/>
      <c r="DO166" s="222"/>
      <c r="DP166" s="222"/>
      <c r="DQ166" s="222"/>
      <c r="DR166" s="222"/>
      <c r="DS166" s="222"/>
      <c r="DT166" s="222"/>
      <c r="DU166" s="222"/>
      <c r="DV166" s="222"/>
      <c r="DW166" s="325"/>
      <c r="DX166" s="325"/>
      <c r="DY166" s="325"/>
      <c r="DZ166" s="325"/>
      <c r="EA166" s="325"/>
      <c r="EB166" s="325"/>
      <c r="EC166" s="325"/>
      <c r="ED166" s="325"/>
      <c r="EE166" s="325"/>
      <c r="EF166" s="325"/>
      <c r="EG166" s="325"/>
      <c r="EH166" s="325"/>
    </row>
    <row r="167" spans="1:138">
      <c r="A167" s="222"/>
      <c r="B167" s="318"/>
      <c r="C167" s="313" t="s">
        <v>298</v>
      </c>
      <c r="D167" s="319">
        <v>0</v>
      </c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  <c r="CJ167" s="222"/>
      <c r="CK167" s="222"/>
      <c r="CL167" s="222"/>
      <c r="CM167" s="222"/>
      <c r="CN167" s="222"/>
      <c r="CO167" s="222"/>
      <c r="CP167" s="222"/>
      <c r="CQ167" s="222"/>
      <c r="CR167" s="222"/>
      <c r="CS167" s="222"/>
      <c r="CT167" s="222"/>
      <c r="CU167" s="222"/>
      <c r="CV167" s="222"/>
      <c r="CW167" s="222"/>
      <c r="CX167" s="222"/>
      <c r="CY167" s="222"/>
      <c r="CZ167" s="222"/>
      <c r="DA167" s="222"/>
      <c r="DB167" s="222"/>
      <c r="DC167" s="222"/>
      <c r="DD167" s="222"/>
      <c r="DE167" s="222"/>
      <c r="DF167" s="222"/>
      <c r="DG167" s="222"/>
      <c r="DH167" s="222"/>
      <c r="DI167" s="222"/>
      <c r="DJ167" s="222"/>
      <c r="DK167" s="222"/>
      <c r="DL167" s="222"/>
      <c r="DM167" s="222"/>
      <c r="DN167" s="222"/>
      <c r="DO167" s="222"/>
      <c r="DP167" s="222"/>
      <c r="DQ167" s="222"/>
      <c r="DR167" s="222"/>
      <c r="DS167" s="222"/>
      <c r="DT167" s="222"/>
      <c r="DU167" s="222"/>
      <c r="DV167" s="222"/>
      <c r="DW167" s="325"/>
      <c r="DX167" s="325"/>
      <c r="DY167" s="325"/>
      <c r="DZ167" s="325"/>
      <c r="EA167" s="325"/>
      <c r="EB167" s="325"/>
      <c r="EC167" s="325"/>
      <c r="ED167" s="325"/>
      <c r="EE167" s="325"/>
      <c r="EF167" s="325"/>
      <c r="EG167" s="325"/>
      <c r="EH167" s="325"/>
    </row>
    <row r="168" spans="1:138">
      <c r="A168" s="222"/>
      <c r="B168" s="318"/>
      <c r="C168" s="310" t="s">
        <v>299</v>
      </c>
      <c r="D168" s="311"/>
      <c r="E168" s="321">
        <f t="shared" ref="E168:BX168" si="63">E163+E164+E165+E166+E167</f>
        <v>0</v>
      </c>
      <c r="F168" s="321">
        <f t="shared" si="63"/>
        <v>0</v>
      </c>
      <c r="G168" s="321">
        <f t="shared" si="63"/>
        <v>0</v>
      </c>
      <c r="H168" s="321">
        <f t="shared" si="63"/>
        <v>-5341205.5</v>
      </c>
      <c r="I168" s="321">
        <f t="shared" si="63"/>
        <v>0</v>
      </c>
      <c r="J168" s="321">
        <f t="shared" si="63"/>
        <v>0</v>
      </c>
      <c r="K168" s="321">
        <f t="shared" si="63"/>
        <v>0</v>
      </c>
      <c r="L168" s="321">
        <f t="shared" si="63"/>
        <v>0</v>
      </c>
      <c r="M168" s="321">
        <f t="shared" si="63"/>
        <v>0</v>
      </c>
      <c r="N168" s="321">
        <f t="shared" si="63"/>
        <v>0</v>
      </c>
      <c r="O168" s="321">
        <f t="shared" si="63"/>
        <v>0</v>
      </c>
      <c r="P168" s="321">
        <f t="shared" si="63"/>
        <v>0</v>
      </c>
      <c r="Q168" s="321">
        <f t="shared" si="63"/>
        <v>0</v>
      </c>
      <c r="R168" s="321">
        <f t="shared" si="63"/>
        <v>0</v>
      </c>
      <c r="S168" s="321">
        <f t="shared" si="63"/>
        <v>0</v>
      </c>
      <c r="T168" s="321">
        <f t="shared" si="63"/>
        <v>8091205.5</v>
      </c>
      <c r="U168" s="321">
        <f t="shared" si="63"/>
        <v>0</v>
      </c>
      <c r="V168" s="321">
        <f t="shared" si="63"/>
        <v>0</v>
      </c>
      <c r="W168" s="321">
        <f t="shared" si="63"/>
        <v>0</v>
      </c>
      <c r="X168" s="321">
        <f t="shared" si="63"/>
        <v>0</v>
      </c>
      <c r="Y168" s="321">
        <f t="shared" si="63"/>
        <v>0</v>
      </c>
      <c r="Z168" s="321">
        <f t="shared" si="63"/>
        <v>0</v>
      </c>
      <c r="AA168" s="321">
        <f t="shared" si="63"/>
        <v>0</v>
      </c>
      <c r="AB168" s="321">
        <f t="shared" si="63"/>
        <v>0</v>
      </c>
      <c r="AC168" s="321">
        <f t="shared" si="63"/>
        <v>0</v>
      </c>
      <c r="AD168" s="321">
        <f t="shared" si="63"/>
        <v>0</v>
      </c>
      <c r="AE168" s="321">
        <f t="shared" si="63"/>
        <v>0</v>
      </c>
      <c r="AF168" s="321">
        <f t="shared" si="63"/>
        <v>0</v>
      </c>
      <c r="AG168" s="321">
        <f t="shared" si="63"/>
        <v>0</v>
      </c>
      <c r="AH168" s="321">
        <f t="shared" si="63"/>
        <v>0</v>
      </c>
      <c r="AI168" s="321">
        <f t="shared" si="63"/>
        <v>0</v>
      </c>
      <c r="AJ168" s="321">
        <f t="shared" si="63"/>
        <v>0</v>
      </c>
      <c r="AK168" s="321">
        <f t="shared" si="63"/>
        <v>0</v>
      </c>
      <c r="AL168" s="321">
        <f t="shared" si="63"/>
        <v>0</v>
      </c>
      <c r="AM168" s="321">
        <f t="shared" si="63"/>
        <v>0</v>
      </c>
      <c r="AN168" s="321">
        <f t="shared" si="63"/>
        <v>0</v>
      </c>
      <c r="AO168" s="321">
        <f t="shared" si="63"/>
        <v>0</v>
      </c>
      <c r="AP168" s="321">
        <f t="shared" si="63"/>
        <v>0</v>
      </c>
      <c r="AQ168" s="321">
        <f t="shared" si="63"/>
        <v>0</v>
      </c>
      <c r="AR168" s="321">
        <f t="shared" si="63"/>
        <v>0</v>
      </c>
      <c r="AS168" s="321">
        <f t="shared" si="63"/>
        <v>0</v>
      </c>
      <c r="AT168" s="321">
        <f t="shared" si="63"/>
        <v>0</v>
      </c>
      <c r="AU168" s="321">
        <f t="shared" si="63"/>
        <v>0</v>
      </c>
      <c r="AV168" s="321">
        <f t="shared" si="63"/>
        <v>0</v>
      </c>
      <c r="AW168" s="321">
        <f t="shared" si="63"/>
        <v>0</v>
      </c>
      <c r="AX168" s="321">
        <f t="shared" si="63"/>
        <v>0</v>
      </c>
      <c r="AY168" s="321">
        <f t="shared" si="63"/>
        <v>0</v>
      </c>
      <c r="AZ168" s="321">
        <f t="shared" si="63"/>
        <v>0</v>
      </c>
      <c r="BA168" s="321">
        <f t="shared" si="63"/>
        <v>0</v>
      </c>
      <c r="BB168" s="321">
        <f t="shared" si="63"/>
        <v>0</v>
      </c>
      <c r="BC168" s="321">
        <f t="shared" si="63"/>
        <v>0</v>
      </c>
      <c r="BD168" s="321">
        <f t="shared" si="63"/>
        <v>0</v>
      </c>
      <c r="BE168" s="321">
        <f t="shared" si="63"/>
        <v>0</v>
      </c>
      <c r="BF168" s="321">
        <f t="shared" si="63"/>
        <v>0</v>
      </c>
      <c r="BG168" s="321">
        <f t="shared" si="63"/>
        <v>0</v>
      </c>
      <c r="BH168" s="321">
        <f t="shared" si="63"/>
        <v>0</v>
      </c>
      <c r="BI168" s="321">
        <f t="shared" si="63"/>
        <v>0</v>
      </c>
      <c r="BJ168" s="321">
        <f t="shared" si="63"/>
        <v>0</v>
      </c>
      <c r="BK168" s="321">
        <f t="shared" si="63"/>
        <v>0</v>
      </c>
      <c r="BL168" s="321">
        <f t="shared" si="63"/>
        <v>0</v>
      </c>
      <c r="BM168" s="321">
        <f t="shared" si="63"/>
        <v>0</v>
      </c>
      <c r="BN168" s="321">
        <f t="shared" si="63"/>
        <v>0</v>
      </c>
      <c r="BO168" s="321">
        <f t="shared" si="63"/>
        <v>0</v>
      </c>
      <c r="BP168" s="321">
        <f t="shared" si="63"/>
        <v>0</v>
      </c>
      <c r="BQ168" s="321">
        <f t="shared" si="63"/>
        <v>0</v>
      </c>
      <c r="BR168" s="321">
        <f t="shared" si="63"/>
        <v>0</v>
      </c>
      <c r="BS168" s="321">
        <f t="shared" si="63"/>
        <v>0</v>
      </c>
      <c r="BT168" s="321">
        <f t="shared" si="63"/>
        <v>0</v>
      </c>
      <c r="BU168" s="321">
        <f t="shared" si="63"/>
        <v>0</v>
      </c>
      <c r="BV168" s="321">
        <f t="shared" si="63"/>
        <v>0</v>
      </c>
      <c r="BW168" s="321">
        <f t="shared" si="63"/>
        <v>0</v>
      </c>
      <c r="BX168" s="321">
        <f t="shared" si="63"/>
        <v>0</v>
      </c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  <c r="CJ168" s="222"/>
      <c r="CK168" s="222"/>
      <c r="CL168" s="222"/>
      <c r="CM168" s="222"/>
      <c r="CN168" s="222"/>
      <c r="CO168" s="222"/>
      <c r="CP168" s="222"/>
      <c r="CQ168" s="222"/>
      <c r="CR168" s="222"/>
      <c r="CS168" s="222"/>
      <c r="CT168" s="222"/>
      <c r="CU168" s="222"/>
      <c r="CV168" s="222"/>
      <c r="CW168" s="222"/>
      <c r="CX168" s="222"/>
      <c r="CY168" s="222"/>
      <c r="CZ168" s="222"/>
      <c r="DA168" s="222"/>
      <c r="DB168" s="222"/>
      <c r="DC168" s="222"/>
      <c r="DD168" s="222"/>
      <c r="DE168" s="222"/>
      <c r="DF168" s="222"/>
      <c r="DG168" s="222"/>
      <c r="DH168" s="222"/>
      <c r="DI168" s="222"/>
      <c r="DJ168" s="222"/>
      <c r="DK168" s="222"/>
      <c r="DL168" s="222"/>
      <c r="DM168" s="222"/>
      <c r="DN168" s="222"/>
      <c r="DO168" s="222"/>
      <c r="DP168" s="222"/>
      <c r="DQ168" s="222"/>
      <c r="DR168" s="222"/>
      <c r="DS168" s="222"/>
      <c r="DT168" s="222"/>
      <c r="DU168" s="222"/>
      <c r="DV168" s="222"/>
      <c r="DW168" s="325"/>
      <c r="DX168" s="325"/>
      <c r="DY168" s="325"/>
      <c r="DZ168" s="325"/>
      <c r="EA168" s="325"/>
      <c r="EB168" s="325"/>
      <c r="EC168" s="325"/>
      <c r="ED168" s="325"/>
      <c r="EE168" s="325"/>
      <c r="EF168" s="325"/>
      <c r="EG168" s="325"/>
      <c r="EH168" s="325"/>
    </row>
    <row r="169" spans="1:138">
      <c r="A169" s="222"/>
      <c r="B169" s="318"/>
      <c r="C169" s="314"/>
      <c r="D169" s="322" t="s">
        <v>306</v>
      </c>
      <c r="E169" s="327">
        <f>E168</f>
        <v>0</v>
      </c>
      <c r="F169" s="327">
        <f t="shared" ref="F169:BX169" si="64">E169+F168</f>
        <v>0</v>
      </c>
      <c r="G169" s="327">
        <f t="shared" si="64"/>
        <v>0</v>
      </c>
      <c r="H169" s="327">
        <f t="shared" si="64"/>
        <v>-5341205.5</v>
      </c>
      <c r="I169" s="327">
        <f t="shared" si="64"/>
        <v>-5341205.5</v>
      </c>
      <c r="J169" s="327">
        <f t="shared" si="64"/>
        <v>-5341205.5</v>
      </c>
      <c r="K169" s="327">
        <f t="shared" si="64"/>
        <v>-5341205.5</v>
      </c>
      <c r="L169" s="327">
        <f t="shared" si="64"/>
        <v>-5341205.5</v>
      </c>
      <c r="M169" s="327">
        <f t="shared" si="64"/>
        <v>-5341205.5</v>
      </c>
      <c r="N169" s="327">
        <f t="shared" si="64"/>
        <v>-5341205.5</v>
      </c>
      <c r="O169" s="327">
        <f t="shared" si="64"/>
        <v>-5341205.5</v>
      </c>
      <c r="P169" s="327">
        <f t="shared" si="64"/>
        <v>-5341205.5</v>
      </c>
      <c r="Q169" s="327">
        <f t="shared" si="64"/>
        <v>-5341205.5</v>
      </c>
      <c r="R169" s="327">
        <f t="shared" si="64"/>
        <v>-5341205.5</v>
      </c>
      <c r="S169" s="327">
        <f t="shared" si="64"/>
        <v>-5341205.5</v>
      </c>
      <c r="T169" s="327">
        <f t="shared" si="64"/>
        <v>2750000</v>
      </c>
      <c r="U169" s="327">
        <f t="shared" si="64"/>
        <v>2750000</v>
      </c>
      <c r="V169" s="327">
        <f t="shared" si="64"/>
        <v>2750000</v>
      </c>
      <c r="W169" s="327">
        <f t="shared" si="64"/>
        <v>2750000</v>
      </c>
      <c r="X169" s="327">
        <f t="shared" si="64"/>
        <v>2750000</v>
      </c>
      <c r="Y169" s="327">
        <f t="shared" si="64"/>
        <v>2750000</v>
      </c>
      <c r="Z169" s="327">
        <f t="shared" si="64"/>
        <v>2750000</v>
      </c>
      <c r="AA169" s="327">
        <f t="shared" si="64"/>
        <v>2750000</v>
      </c>
      <c r="AB169" s="327">
        <f t="shared" si="64"/>
        <v>2750000</v>
      </c>
      <c r="AC169" s="327">
        <f t="shared" si="64"/>
        <v>2750000</v>
      </c>
      <c r="AD169" s="327">
        <f t="shared" si="64"/>
        <v>2750000</v>
      </c>
      <c r="AE169" s="327">
        <f t="shared" si="64"/>
        <v>2750000</v>
      </c>
      <c r="AF169" s="327">
        <f t="shared" si="64"/>
        <v>2750000</v>
      </c>
      <c r="AG169" s="327">
        <f t="shared" si="64"/>
        <v>2750000</v>
      </c>
      <c r="AH169" s="327">
        <f t="shared" si="64"/>
        <v>2750000</v>
      </c>
      <c r="AI169" s="327">
        <f t="shared" si="64"/>
        <v>2750000</v>
      </c>
      <c r="AJ169" s="327">
        <f t="shared" si="64"/>
        <v>2750000</v>
      </c>
      <c r="AK169" s="327">
        <f t="shared" si="64"/>
        <v>2750000</v>
      </c>
      <c r="AL169" s="327">
        <f t="shared" si="64"/>
        <v>2750000</v>
      </c>
      <c r="AM169" s="327">
        <f t="shared" si="64"/>
        <v>2750000</v>
      </c>
      <c r="AN169" s="327">
        <f t="shared" si="64"/>
        <v>2750000</v>
      </c>
      <c r="AO169" s="327">
        <f t="shared" si="64"/>
        <v>2750000</v>
      </c>
      <c r="AP169" s="327">
        <f t="shared" si="64"/>
        <v>2750000</v>
      </c>
      <c r="AQ169" s="327">
        <f t="shared" si="64"/>
        <v>2750000</v>
      </c>
      <c r="AR169" s="327">
        <f t="shared" si="64"/>
        <v>2750000</v>
      </c>
      <c r="AS169" s="327">
        <f t="shared" si="64"/>
        <v>2750000</v>
      </c>
      <c r="AT169" s="327">
        <f t="shared" si="64"/>
        <v>2750000</v>
      </c>
      <c r="AU169" s="327">
        <f t="shared" si="64"/>
        <v>2750000</v>
      </c>
      <c r="AV169" s="327">
        <f t="shared" si="64"/>
        <v>2750000</v>
      </c>
      <c r="AW169" s="327">
        <f t="shared" si="64"/>
        <v>2750000</v>
      </c>
      <c r="AX169" s="327">
        <f t="shared" si="64"/>
        <v>2750000</v>
      </c>
      <c r="AY169" s="327">
        <f t="shared" si="64"/>
        <v>2750000</v>
      </c>
      <c r="AZ169" s="327">
        <f t="shared" si="64"/>
        <v>2750000</v>
      </c>
      <c r="BA169" s="327">
        <f t="shared" si="64"/>
        <v>2750000</v>
      </c>
      <c r="BB169" s="327">
        <f t="shared" si="64"/>
        <v>2750000</v>
      </c>
      <c r="BC169" s="327">
        <f t="shared" si="64"/>
        <v>2750000</v>
      </c>
      <c r="BD169" s="327">
        <f t="shared" si="64"/>
        <v>2750000</v>
      </c>
      <c r="BE169" s="327">
        <f t="shared" si="64"/>
        <v>2750000</v>
      </c>
      <c r="BF169" s="327">
        <f t="shared" si="64"/>
        <v>2750000</v>
      </c>
      <c r="BG169" s="327">
        <f t="shared" si="64"/>
        <v>2750000</v>
      </c>
      <c r="BH169" s="327">
        <f t="shared" si="64"/>
        <v>2750000</v>
      </c>
      <c r="BI169" s="327">
        <f t="shared" si="64"/>
        <v>2750000</v>
      </c>
      <c r="BJ169" s="327">
        <f t="shared" si="64"/>
        <v>2750000</v>
      </c>
      <c r="BK169" s="327">
        <f t="shared" si="64"/>
        <v>2750000</v>
      </c>
      <c r="BL169" s="327">
        <f t="shared" si="64"/>
        <v>2750000</v>
      </c>
      <c r="BM169" s="327">
        <f t="shared" si="64"/>
        <v>2750000</v>
      </c>
      <c r="BN169" s="327">
        <f t="shared" si="64"/>
        <v>2750000</v>
      </c>
      <c r="BO169" s="327">
        <f t="shared" si="64"/>
        <v>2750000</v>
      </c>
      <c r="BP169" s="327">
        <f t="shared" si="64"/>
        <v>2750000</v>
      </c>
      <c r="BQ169" s="327">
        <f t="shared" si="64"/>
        <v>2750000</v>
      </c>
      <c r="BR169" s="327">
        <f t="shared" si="64"/>
        <v>2750000</v>
      </c>
      <c r="BS169" s="327">
        <f t="shared" si="64"/>
        <v>2750000</v>
      </c>
      <c r="BT169" s="327">
        <f t="shared" si="64"/>
        <v>2750000</v>
      </c>
      <c r="BU169" s="327">
        <f t="shared" si="64"/>
        <v>2750000</v>
      </c>
      <c r="BV169" s="327">
        <f t="shared" si="64"/>
        <v>2750000</v>
      </c>
      <c r="BW169" s="327">
        <f t="shared" si="64"/>
        <v>2750000</v>
      </c>
      <c r="BX169" s="327">
        <f t="shared" si="64"/>
        <v>2750000</v>
      </c>
      <c r="BY169" s="222"/>
      <c r="BZ169" s="222"/>
      <c r="CA169" s="222"/>
      <c r="CB169" s="222"/>
      <c r="CC169" s="222"/>
      <c r="CD169" s="222"/>
      <c r="CE169" s="222"/>
      <c r="CF169" s="222"/>
      <c r="CG169" s="222"/>
      <c r="CH169" s="222"/>
      <c r="CI169" s="222"/>
      <c r="CJ169" s="222"/>
      <c r="CK169" s="222"/>
      <c r="CL169" s="222"/>
      <c r="CM169" s="222"/>
      <c r="CN169" s="222"/>
      <c r="CO169" s="222"/>
      <c r="CP169" s="222"/>
      <c r="CQ169" s="222"/>
      <c r="CR169" s="222"/>
      <c r="CS169" s="222"/>
      <c r="CT169" s="222"/>
      <c r="CU169" s="222"/>
      <c r="CV169" s="222"/>
      <c r="CW169" s="222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2"/>
      <c r="DI169" s="222"/>
      <c r="DJ169" s="222"/>
      <c r="DK169" s="222"/>
      <c r="DL169" s="222"/>
      <c r="DM169" s="222"/>
      <c r="DN169" s="222"/>
      <c r="DO169" s="222"/>
      <c r="DP169" s="222"/>
      <c r="DQ169" s="222"/>
      <c r="DR169" s="222"/>
      <c r="DS169" s="222"/>
      <c r="DT169" s="222"/>
      <c r="DU169" s="222"/>
      <c r="DV169" s="222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</row>
    <row r="170" spans="1:138">
      <c r="A170" s="222"/>
      <c r="B170" s="318"/>
      <c r="C170" s="313" t="s">
        <v>292</v>
      </c>
      <c r="D170" s="322">
        <f>IRR(E168:BX168)*12</f>
        <v>0.42259732866030397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  <c r="BQ170" s="222"/>
      <c r="BR170" s="222"/>
      <c r="BS170" s="222"/>
      <c r="BT170" s="222"/>
      <c r="BU170" s="222"/>
      <c r="BV170" s="222"/>
      <c r="BW170" s="222"/>
      <c r="BX170" s="222"/>
      <c r="BY170" s="222"/>
      <c r="BZ170" s="222"/>
      <c r="CA170" s="222"/>
      <c r="CB170" s="222"/>
      <c r="CC170" s="222"/>
      <c r="CD170" s="222"/>
      <c r="CE170" s="222"/>
      <c r="CF170" s="222"/>
      <c r="CG170" s="222"/>
      <c r="CH170" s="222"/>
      <c r="CI170" s="222"/>
      <c r="CJ170" s="222"/>
      <c r="CK170" s="222"/>
      <c r="CL170" s="222"/>
      <c r="CM170" s="222"/>
      <c r="CN170" s="222"/>
      <c r="CO170" s="222"/>
      <c r="CP170" s="222"/>
      <c r="CQ170" s="222"/>
      <c r="CR170" s="222"/>
      <c r="CS170" s="222"/>
      <c r="CT170" s="222"/>
      <c r="CU170" s="222"/>
      <c r="CV170" s="222"/>
      <c r="CW170" s="222"/>
      <c r="CX170" s="222"/>
      <c r="CY170" s="222"/>
      <c r="CZ170" s="222"/>
      <c r="DA170" s="222"/>
      <c r="DB170" s="222"/>
      <c r="DC170" s="222"/>
      <c r="DD170" s="222"/>
      <c r="DE170" s="222"/>
      <c r="DF170" s="222"/>
      <c r="DG170" s="222"/>
      <c r="DH170" s="222"/>
      <c r="DI170" s="222"/>
      <c r="DJ170" s="222"/>
      <c r="DK170" s="222"/>
      <c r="DL170" s="222"/>
      <c r="DM170" s="222"/>
      <c r="DN170" s="222"/>
      <c r="DO170" s="222"/>
      <c r="DP170" s="222"/>
      <c r="DQ170" s="222"/>
      <c r="DR170" s="222"/>
      <c r="DS170" s="222"/>
      <c r="DT170" s="222"/>
      <c r="DU170" s="222"/>
      <c r="DV170" s="222"/>
      <c r="DW170" s="325"/>
      <c r="DX170" s="325"/>
      <c r="DY170" s="325"/>
      <c r="DZ170" s="325"/>
      <c r="EA170" s="325"/>
      <c r="EB170" s="325"/>
      <c r="EC170" s="325"/>
      <c r="ED170" s="325"/>
      <c r="EE170" s="325"/>
      <c r="EF170" s="325"/>
      <c r="EG170" s="325"/>
      <c r="EH170" s="325"/>
    </row>
    <row r="171" spans="1:138">
      <c r="A171" s="222"/>
      <c r="B171" s="318"/>
      <c r="C171" s="323" t="s">
        <v>300</v>
      </c>
      <c r="D171" s="324">
        <f>-MIN(M169:BL169)-D172</f>
        <v>5341205.5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  <c r="BQ171" s="222"/>
      <c r="BR171" s="222"/>
      <c r="BS171" s="222"/>
      <c r="BT171" s="222"/>
      <c r="BU171" s="222"/>
      <c r="BV171" s="222"/>
      <c r="BW171" s="222"/>
      <c r="BX171" s="222"/>
      <c r="BY171" s="222"/>
      <c r="BZ171" s="222"/>
      <c r="CA171" s="222"/>
      <c r="CB171" s="222"/>
      <c r="CC171" s="222"/>
      <c r="CD171" s="222"/>
      <c r="CE171" s="222"/>
      <c r="CF171" s="222"/>
      <c r="CG171" s="222"/>
      <c r="CH171" s="222"/>
      <c r="CI171" s="222"/>
      <c r="CJ171" s="222"/>
      <c r="CK171" s="222"/>
      <c r="CL171" s="222"/>
      <c r="CM171" s="222"/>
      <c r="CN171" s="222"/>
      <c r="CO171" s="222"/>
      <c r="CP171" s="222"/>
      <c r="CQ171" s="222"/>
      <c r="CR171" s="222"/>
      <c r="CS171" s="222"/>
      <c r="CT171" s="222"/>
      <c r="CU171" s="222"/>
      <c r="CV171" s="222"/>
      <c r="CW171" s="222"/>
      <c r="CX171" s="222"/>
      <c r="CY171" s="222"/>
      <c r="CZ171" s="222"/>
      <c r="DA171" s="222"/>
      <c r="DB171" s="222"/>
      <c r="DC171" s="222"/>
      <c r="DD171" s="222"/>
      <c r="DE171" s="222"/>
      <c r="DF171" s="222"/>
      <c r="DG171" s="222"/>
      <c r="DH171" s="222"/>
      <c r="DI171" s="222"/>
      <c r="DJ171" s="222"/>
      <c r="DK171" s="222"/>
      <c r="DL171" s="222"/>
      <c r="DM171" s="222"/>
      <c r="DN171" s="222"/>
      <c r="DO171" s="222"/>
      <c r="DP171" s="222"/>
      <c r="DQ171" s="222"/>
      <c r="DR171" s="222"/>
      <c r="DS171" s="222"/>
      <c r="DT171" s="222"/>
      <c r="DU171" s="222"/>
      <c r="DV171" s="222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</row>
    <row r="172" spans="1:138">
      <c r="A172" s="222"/>
      <c r="B172" s="318"/>
      <c r="C172" s="323" t="s">
        <v>301</v>
      </c>
      <c r="D172" s="324">
        <f>-SUM(M167:BB167)</f>
        <v>0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  <c r="BQ172" s="222"/>
      <c r="BR172" s="222"/>
      <c r="BS172" s="222"/>
      <c r="BT172" s="222"/>
      <c r="BU172" s="222"/>
      <c r="BV172" s="222"/>
      <c r="BW172" s="222"/>
      <c r="BX172" s="222"/>
      <c r="BY172" s="222"/>
      <c r="BZ172" s="222"/>
      <c r="CA172" s="222"/>
      <c r="CB172" s="222"/>
      <c r="CC172" s="222"/>
      <c r="CD172" s="222"/>
      <c r="CE172" s="222"/>
      <c r="CF172" s="222"/>
      <c r="CG172" s="222"/>
      <c r="CH172" s="222"/>
      <c r="CI172" s="222"/>
      <c r="CJ172" s="222"/>
      <c r="CK172" s="222"/>
      <c r="CL172" s="222"/>
      <c r="CM172" s="222"/>
      <c r="CN172" s="222"/>
      <c r="CO172" s="222"/>
      <c r="CP172" s="222"/>
      <c r="CQ172" s="222"/>
      <c r="CR172" s="222"/>
      <c r="CS172" s="222"/>
      <c r="CT172" s="222"/>
      <c r="CU172" s="222"/>
      <c r="CV172" s="222"/>
      <c r="CW172" s="222"/>
      <c r="CX172" s="222"/>
      <c r="CY172" s="222"/>
      <c r="CZ172" s="222"/>
      <c r="DA172" s="222"/>
      <c r="DB172" s="222"/>
      <c r="DC172" s="222"/>
      <c r="DD172" s="222"/>
      <c r="DE172" s="222"/>
      <c r="DF172" s="222"/>
      <c r="DG172" s="222"/>
      <c r="DH172" s="222"/>
      <c r="DI172" s="222"/>
      <c r="DJ172" s="222"/>
      <c r="DK172" s="222"/>
      <c r="DL172" s="222"/>
      <c r="DM172" s="222"/>
      <c r="DN172" s="222"/>
      <c r="DO172" s="222"/>
      <c r="DP172" s="222"/>
      <c r="DQ172" s="222"/>
      <c r="DR172" s="222"/>
      <c r="DS172" s="222"/>
      <c r="DT172" s="222"/>
      <c r="DU172" s="222"/>
      <c r="DV172" s="222"/>
      <c r="DW172" s="325"/>
      <c r="DX172" s="325"/>
      <c r="DY172" s="325"/>
      <c r="DZ172" s="325"/>
      <c r="EA172" s="325"/>
      <c r="EB172" s="325"/>
      <c r="EC172" s="325"/>
      <c r="ED172" s="325"/>
      <c r="EE172" s="325"/>
      <c r="EF172" s="325"/>
      <c r="EG172" s="325"/>
      <c r="EH172" s="325"/>
    </row>
    <row r="173" spans="1:138">
      <c r="A173" s="222"/>
      <c r="B173" s="318"/>
      <c r="C173" s="313" t="s">
        <v>302</v>
      </c>
      <c r="D173" s="326">
        <f>D172+D171</f>
        <v>5341205.5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/>
      <c r="BX173" s="222"/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  <c r="CJ173" s="222"/>
      <c r="CK173" s="222"/>
      <c r="CL173" s="222"/>
      <c r="CM173" s="222"/>
      <c r="CN173" s="222"/>
      <c r="CO173" s="222"/>
      <c r="CP173" s="222"/>
      <c r="CQ173" s="222"/>
      <c r="CR173" s="222"/>
      <c r="CS173" s="222"/>
      <c r="CT173" s="222"/>
      <c r="CU173" s="222"/>
      <c r="CV173" s="222"/>
      <c r="CW173" s="222"/>
      <c r="CX173" s="222"/>
      <c r="CY173" s="222"/>
      <c r="CZ173" s="222"/>
      <c r="DA173" s="222"/>
      <c r="DB173" s="222"/>
      <c r="DC173" s="222"/>
      <c r="DD173" s="222"/>
      <c r="DE173" s="222"/>
      <c r="DF173" s="222"/>
      <c r="DG173" s="222"/>
      <c r="DH173" s="222"/>
      <c r="DI173" s="222"/>
      <c r="DJ173" s="222"/>
      <c r="DK173" s="222"/>
      <c r="DL173" s="222"/>
      <c r="DM173" s="222"/>
      <c r="DN173" s="222"/>
      <c r="DO173" s="222"/>
      <c r="DP173" s="222"/>
      <c r="DQ173" s="222"/>
      <c r="DR173" s="222"/>
      <c r="DS173" s="222"/>
      <c r="DT173" s="222"/>
      <c r="DU173" s="222"/>
      <c r="DV173" s="222"/>
      <c r="DW173" s="325"/>
      <c r="DX173" s="325"/>
      <c r="DY173" s="325"/>
      <c r="DZ173" s="325"/>
      <c r="EA173" s="325"/>
      <c r="EB173" s="325"/>
      <c r="EC173" s="325"/>
      <c r="ED173" s="325"/>
      <c r="EE173" s="325"/>
      <c r="EF173" s="325"/>
      <c r="EG173" s="325"/>
      <c r="EH173" s="325"/>
    </row>
    <row r="174" spans="1:138">
      <c r="A174" s="222"/>
      <c r="B174" s="318"/>
      <c r="C174" s="313" t="s">
        <v>303</v>
      </c>
      <c r="D174" s="326">
        <f>BX165+BX166</f>
        <v>0</v>
      </c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  <c r="BQ174" s="222"/>
      <c r="BR174" s="222"/>
      <c r="BS174" s="222"/>
      <c r="BT174" s="222"/>
      <c r="BU174" s="222"/>
      <c r="BV174" s="222"/>
      <c r="BW174" s="222"/>
      <c r="BX174" s="222"/>
      <c r="BY174" s="222"/>
      <c r="BZ174" s="222"/>
      <c r="CA174" s="222"/>
      <c r="CB174" s="222"/>
      <c r="CC174" s="222"/>
      <c r="CD174" s="222"/>
      <c r="CE174" s="222"/>
      <c r="CF174" s="222"/>
      <c r="CG174" s="222"/>
      <c r="CH174" s="222"/>
      <c r="CI174" s="222"/>
      <c r="CJ174" s="222"/>
      <c r="CK174" s="222"/>
      <c r="CL174" s="222"/>
      <c r="CM174" s="222"/>
      <c r="CN174" s="222"/>
      <c r="CO174" s="222"/>
      <c r="CP174" s="222"/>
      <c r="CQ174" s="222"/>
      <c r="CR174" s="222"/>
      <c r="CS174" s="222"/>
      <c r="CT174" s="222"/>
      <c r="CU174" s="222"/>
      <c r="CV174" s="222"/>
      <c r="CW174" s="222"/>
      <c r="CX174" s="222"/>
      <c r="CY174" s="222"/>
      <c r="CZ174" s="222"/>
      <c r="DA174" s="222"/>
      <c r="DB174" s="222"/>
      <c r="DC174" s="222"/>
      <c r="DD174" s="222"/>
      <c r="DE174" s="222"/>
      <c r="DF174" s="222"/>
      <c r="DG174" s="222"/>
      <c r="DH174" s="222"/>
      <c r="DI174" s="222"/>
      <c r="DJ174" s="222"/>
      <c r="DK174" s="222"/>
      <c r="DL174" s="222"/>
      <c r="DM174" s="222"/>
      <c r="DN174" s="222"/>
      <c r="DO174" s="222"/>
      <c r="DP174" s="222"/>
      <c r="DQ174" s="222"/>
      <c r="DR174" s="222"/>
      <c r="DS174" s="222"/>
      <c r="DT174" s="222"/>
      <c r="DU174" s="222"/>
      <c r="DV174" s="222"/>
      <c r="DW174" s="325"/>
      <c r="DX174" s="325"/>
      <c r="DY174" s="325"/>
      <c r="DZ174" s="325"/>
      <c r="EA174" s="325"/>
      <c r="EB174" s="325"/>
      <c r="EC174" s="325"/>
      <c r="ED174" s="325"/>
      <c r="EE174" s="325"/>
      <c r="EF174" s="325"/>
      <c r="EG174" s="325"/>
      <c r="EH174" s="325"/>
    </row>
    <row r="175" spans="1:138">
      <c r="A175" s="222"/>
      <c r="B175" s="318"/>
      <c r="C175" s="313" t="s">
        <v>147</v>
      </c>
      <c r="D175" s="322">
        <f>T166/T163</f>
        <v>0.51486504310684167</v>
      </c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  <c r="BQ175" s="222"/>
      <c r="BR175" s="222"/>
      <c r="BS175" s="222"/>
      <c r="BT175" s="222"/>
      <c r="BU175" s="222"/>
      <c r="BV175" s="222"/>
      <c r="BW175" s="222"/>
      <c r="BX175" s="222"/>
      <c r="BY175" s="222"/>
      <c r="BZ175" s="222"/>
      <c r="CA175" s="222"/>
      <c r="CB175" s="222"/>
      <c r="CC175" s="222"/>
      <c r="CD175" s="222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2"/>
      <c r="CV175" s="222"/>
      <c r="CW175" s="222"/>
      <c r="CX175" s="222"/>
      <c r="CY175" s="222"/>
      <c r="CZ175" s="222"/>
      <c r="DA175" s="222"/>
      <c r="DB175" s="222"/>
      <c r="DC175" s="222"/>
      <c r="DD175" s="222"/>
      <c r="DE175" s="222"/>
      <c r="DF175" s="222"/>
      <c r="DG175" s="222"/>
      <c r="DH175" s="222"/>
      <c r="DI175" s="222"/>
      <c r="DJ175" s="222"/>
      <c r="DK175" s="222"/>
      <c r="DL175" s="222"/>
      <c r="DM175" s="222"/>
      <c r="DN175" s="222"/>
      <c r="DO175" s="222"/>
      <c r="DP175" s="222"/>
      <c r="DQ175" s="222"/>
      <c r="DR175" s="222"/>
      <c r="DS175" s="222"/>
      <c r="DT175" s="222"/>
      <c r="DU175" s="222"/>
      <c r="DV175" s="222"/>
      <c r="DW175" s="325"/>
      <c r="DX175" s="325"/>
      <c r="DY175" s="325"/>
      <c r="DZ175" s="325"/>
      <c r="EA175" s="325"/>
      <c r="EB175" s="325"/>
      <c r="EC175" s="325"/>
      <c r="ED175" s="325"/>
      <c r="EE175" s="325"/>
      <c r="EF175" s="325"/>
      <c r="EG175" s="325"/>
      <c r="EH175" s="325"/>
    </row>
    <row r="176" spans="1:138">
      <c r="A176" s="222"/>
      <c r="B176" s="318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2"/>
      <c r="BN176" s="222"/>
      <c r="BO176" s="222"/>
      <c r="BP176" s="222"/>
      <c r="BQ176" s="222"/>
      <c r="BR176" s="222"/>
      <c r="BS176" s="222"/>
      <c r="BT176" s="222"/>
      <c r="BU176" s="222"/>
      <c r="BV176" s="222"/>
      <c r="BW176" s="222"/>
      <c r="BX176" s="222"/>
      <c r="BY176" s="222"/>
      <c r="BZ176" s="222"/>
      <c r="CA176" s="222"/>
      <c r="CB176" s="222"/>
      <c r="CC176" s="222"/>
      <c r="CD176" s="222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2"/>
      <c r="CV176" s="222"/>
      <c r="CW176" s="222"/>
      <c r="CX176" s="222"/>
      <c r="CY176" s="222"/>
      <c r="CZ176" s="222"/>
      <c r="DA176" s="222"/>
      <c r="DB176" s="222"/>
      <c r="DC176" s="222"/>
      <c r="DD176" s="222"/>
      <c r="DE176" s="222"/>
      <c r="DF176" s="222"/>
      <c r="DG176" s="222"/>
      <c r="DH176" s="222"/>
      <c r="DI176" s="222"/>
      <c r="DJ176" s="222"/>
      <c r="DK176" s="222"/>
      <c r="DL176" s="222"/>
      <c r="DM176" s="222"/>
      <c r="DN176" s="222"/>
      <c r="DO176" s="222"/>
      <c r="DP176" s="222"/>
      <c r="DQ176" s="222"/>
      <c r="DR176" s="222"/>
      <c r="DS176" s="222"/>
      <c r="DT176" s="222"/>
      <c r="DU176" s="222"/>
      <c r="DV176" s="222"/>
      <c r="DW176" s="325"/>
      <c r="DX176" s="325"/>
      <c r="DY176" s="325"/>
      <c r="DZ176" s="325"/>
      <c r="EA176" s="325"/>
      <c r="EB176" s="325"/>
      <c r="EC176" s="325"/>
      <c r="ED176" s="325"/>
      <c r="EE176" s="325"/>
      <c r="EF176" s="325"/>
      <c r="EG176" s="325"/>
      <c r="EH176" s="325"/>
    </row>
    <row r="177" spans="1:138">
      <c r="A177" s="222"/>
      <c r="B177" s="318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2"/>
      <c r="BN177" s="222"/>
      <c r="BO177" s="222"/>
      <c r="BP177" s="222"/>
      <c r="BQ177" s="222"/>
      <c r="BR177" s="222"/>
      <c r="BS177" s="222"/>
      <c r="BT177" s="222"/>
      <c r="BU177" s="222"/>
      <c r="BV177" s="222"/>
      <c r="BW177" s="222"/>
      <c r="BX177" s="222"/>
      <c r="BY177" s="222"/>
      <c r="BZ177" s="222"/>
      <c r="CA177" s="222"/>
      <c r="CB177" s="222"/>
      <c r="CC177" s="222"/>
      <c r="CD177" s="222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2"/>
      <c r="CV177" s="222"/>
      <c r="CW177" s="222"/>
      <c r="CX177" s="222"/>
      <c r="CY177" s="222"/>
      <c r="CZ177" s="222"/>
      <c r="DA177" s="222"/>
      <c r="DB177" s="222"/>
      <c r="DC177" s="222"/>
      <c r="DD177" s="222"/>
      <c r="DE177" s="222"/>
      <c r="DF177" s="222"/>
      <c r="DG177" s="222"/>
      <c r="DH177" s="222"/>
      <c r="DI177" s="222"/>
      <c r="DJ177" s="222"/>
      <c r="DK177" s="222"/>
      <c r="DL177" s="222"/>
      <c r="DM177" s="222"/>
      <c r="DN177" s="222"/>
      <c r="DO177" s="222"/>
      <c r="DP177" s="222"/>
      <c r="DQ177" s="222"/>
      <c r="DR177" s="222"/>
      <c r="DS177" s="222"/>
      <c r="DT177" s="222"/>
      <c r="DU177" s="222"/>
      <c r="DV177" s="222"/>
      <c r="DW177" s="325"/>
      <c r="DX177" s="325"/>
      <c r="DY177" s="325"/>
      <c r="DZ177" s="325"/>
      <c r="EA177" s="325"/>
      <c r="EB177" s="325"/>
      <c r="EC177" s="325"/>
      <c r="ED177" s="325"/>
      <c r="EE177" s="325"/>
      <c r="EF177" s="325"/>
      <c r="EG177" s="325"/>
      <c r="EH177" s="325"/>
    </row>
    <row r="178" spans="1:138">
      <c r="A178" s="222"/>
      <c r="B178" s="318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2"/>
      <c r="BN178" s="222"/>
      <c r="BO178" s="222"/>
      <c r="BP178" s="222"/>
      <c r="BQ178" s="222"/>
      <c r="BR178" s="222"/>
      <c r="BS178" s="222"/>
      <c r="BT178" s="222"/>
      <c r="BU178" s="222"/>
      <c r="BV178" s="222"/>
      <c r="BW178" s="222"/>
      <c r="BX178" s="222"/>
      <c r="BY178" s="222"/>
      <c r="BZ178" s="222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  <c r="CP178" s="222"/>
      <c r="CQ178" s="222"/>
      <c r="CR178" s="222"/>
      <c r="CS178" s="222"/>
      <c r="CT178" s="222"/>
      <c r="CU178" s="222"/>
      <c r="CV178" s="222"/>
      <c r="CW178" s="222"/>
      <c r="CX178" s="222"/>
      <c r="CY178" s="222"/>
      <c r="CZ178" s="222"/>
      <c r="DA178" s="222"/>
      <c r="DB178" s="222"/>
      <c r="DC178" s="222"/>
      <c r="DD178" s="222"/>
      <c r="DE178" s="222"/>
      <c r="DF178" s="222"/>
      <c r="DG178" s="222"/>
      <c r="DH178" s="222"/>
      <c r="DI178" s="222"/>
      <c r="DJ178" s="222"/>
      <c r="DK178" s="222"/>
      <c r="DL178" s="222"/>
      <c r="DM178" s="222"/>
      <c r="DN178" s="222"/>
      <c r="DO178" s="222"/>
      <c r="DP178" s="222"/>
      <c r="DQ178" s="222"/>
      <c r="DR178" s="222"/>
      <c r="DS178" s="222"/>
      <c r="DT178" s="222"/>
      <c r="DU178" s="222"/>
      <c r="DV178" s="222"/>
      <c r="DW178" s="325"/>
      <c r="DX178" s="325"/>
      <c r="DY178" s="325"/>
      <c r="DZ178" s="325"/>
      <c r="EA178" s="325"/>
      <c r="EB178" s="325"/>
      <c r="EC178" s="325"/>
      <c r="ED178" s="325"/>
      <c r="EE178" s="325"/>
      <c r="EF178" s="325"/>
      <c r="EG178" s="325"/>
      <c r="EH178" s="325"/>
    </row>
    <row r="179" spans="1:138">
      <c r="A179" s="222"/>
      <c r="B179" s="318"/>
      <c r="C179" s="310" t="s">
        <v>309</v>
      </c>
      <c r="D179" s="311"/>
      <c r="E179" s="312">
        <f t="shared" ref="E179:G179" si="65">-(E8+E94)</f>
        <v>0</v>
      </c>
      <c r="F179" s="312">
        <f t="shared" si="65"/>
        <v>0</v>
      </c>
      <c r="G179" s="312">
        <f t="shared" si="65"/>
        <v>0</v>
      </c>
      <c r="H179" s="311">
        <f>-5341205.5</f>
        <v>-5341205.5</v>
      </c>
      <c r="I179" s="311">
        <v>0</v>
      </c>
      <c r="J179" s="311">
        <v>0</v>
      </c>
      <c r="K179" s="311">
        <v>0</v>
      </c>
      <c r="L179" s="311">
        <v>0</v>
      </c>
      <c r="M179" s="311">
        <v>0</v>
      </c>
      <c r="N179" s="311">
        <v>0</v>
      </c>
      <c r="O179" s="311">
        <v>0</v>
      </c>
      <c r="P179" s="311">
        <v>0</v>
      </c>
      <c r="Q179" s="311">
        <v>0</v>
      </c>
      <c r="R179" s="311">
        <v>0</v>
      </c>
      <c r="S179" s="311">
        <v>0</v>
      </c>
      <c r="T179" s="311">
        <f>5341205.5</f>
        <v>5341205.5</v>
      </c>
      <c r="U179" s="312">
        <f t="shared" ref="U179:BX179" si="66">-(U8+U94)</f>
        <v>0</v>
      </c>
      <c r="V179" s="312">
        <f t="shared" si="66"/>
        <v>0</v>
      </c>
      <c r="W179" s="312">
        <f t="shared" si="66"/>
        <v>0</v>
      </c>
      <c r="X179" s="312">
        <f t="shared" si="66"/>
        <v>0</v>
      </c>
      <c r="Y179" s="312">
        <f t="shared" si="66"/>
        <v>0</v>
      </c>
      <c r="Z179" s="312">
        <f t="shared" si="66"/>
        <v>0</v>
      </c>
      <c r="AA179" s="312">
        <f t="shared" si="66"/>
        <v>0</v>
      </c>
      <c r="AB179" s="312">
        <f t="shared" si="66"/>
        <v>0</v>
      </c>
      <c r="AC179" s="312">
        <f t="shared" si="66"/>
        <v>0</v>
      </c>
      <c r="AD179" s="312">
        <f t="shared" si="66"/>
        <v>0</v>
      </c>
      <c r="AE179" s="312">
        <f t="shared" si="66"/>
        <v>0</v>
      </c>
      <c r="AF179" s="312">
        <f t="shared" si="66"/>
        <v>0</v>
      </c>
      <c r="AG179" s="312">
        <f t="shared" si="66"/>
        <v>0</v>
      </c>
      <c r="AH179" s="312">
        <f t="shared" si="66"/>
        <v>0</v>
      </c>
      <c r="AI179" s="312">
        <f t="shared" si="66"/>
        <v>0</v>
      </c>
      <c r="AJ179" s="312">
        <f t="shared" si="66"/>
        <v>0</v>
      </c>
      <c r="AK179" s="312">
        <f t="shared" si="66"/>
        <v>0</v>
      </c>
      <c r="AL179" s="312">
        <f t="shared" si="66"/>
        <v>0</v>
      </c>
      <c r="AM179" s="312">
        <f t="shared" si="66"/>
        <v>0</v>
      </c>
      <c r="AN179" s="312">
        <f t="shared" si="66"/>
        <v>0</v>
      </c>
      <c r="AO179" s="312">
        <f t="shared" si="66"/>
        <v>0</v>
      </c>
      <c r="AP179" s="312">
        <f t="shared" si="66"/>
        <v>0</v>
      </c>
      <c r="AQ179" s="312">
        <f t="shared" si="66"/>
        <v>0</v>
      </c>
      <c r="AR179" s="312">
        <f t="shared" si="66"/>
        <v>0</v>
      </c>
      <c r="AS179" s="312">
        <f t="shared" si="66"/>
        <v>0</v>
      </c>
      <c r="AT179" s="312">
        <f t="shared" si="66"/>
        <v>0</v>
      </c>
      <c r="AU179" s="312">
        <f t="shared" si="66"/>
        <v>0</v>
      </c>
      <c r="AV179" s="312">
        <f t="shared" si="66"/>
        <v>0</v>
      </c>
      <c r="AW179" s="312">
        <f t="shared" si="66"/>
        <v>0</v>
      </c>
      <c r="AX179" s="312">
        <f t="shared" si="66"/>
        <v>0</v>
      </c>
      <c r="AY179" s="312">
        <f t="shared" si="66"/>
        <v>0</v>
      </c>
      <c r="AZ179" s="312">
        <f t="shared" si="66"/>
        <v>0</v>
      </c>
      <c r="BA179" s="312">
        <f t="shared" si="66"/>
        <v>0</v>
      </c>
      <c r="BB179" s="312">
        <f t="shared" si="66"/>
        <v>0</v>
      </c>
      <c r="BC179" s="312">
        <f t="shared" si="66"/>
        <v>0</v>
      </c>
      <c r="BD179" s="312">
        <f t="shared" si="66"/>
        <v>0</v>
      </c>
      <c r="BE179" s="312">
        <f t="shared" si="66"/>
        <v>0</v>
      </c>
      <c r="BF179" s="312">
        <f t="shared" si="66"/>
        <v>0</v>
      </c>
      <c r="BG179" s="312">
        <f t="shared" si="66"/>
        <v>0</v>
      </c>
      <c r="BH179" s="312">
        <f t="shared" si="66"/>
        <v>0</v>
      </c>
      <c r="BI179" s="312">
        <f t="shared" si="66"/>
        <v>0</v>
      </c>
      <c r="BJ179" s="312">
        <f t="shared" si="66"/>
        <v>0</v>
      </c>
      <c r="BK179" s="312">
        <f t="shared" si="66"/>
        <v>0</v>
      </c>
      <c r="BL179" s="312">
        <f t="shared" si="66"/>
        <v>0</v>
      </c>
      <c r="BM179" s="312">
        <f t="shared" si="66"/>
        <v>0</v>
      </c>
      <c r="BN179" s="312">
        <f t="shared" si="66"/>
        <v>0</v>
      </c>
      <c r="BO179" s="312">
        <f t="shared" si="66"/>
        <v>0</v>
      </c>
      <c r="BP179" s="312">
        <f t="shared" si="66"/>
        <v>0</v>
      </c>
      <c r="BQ179" s="312">
        <f t="shared" si="66"/>
        <v>0</v>
      </c>
      <c r="BR179" s="312">
        <f t="shared" si="66"/>
        <v>0</v>
      </c>
      <c r="BS179" s="312">
        <f t="shared" si="66"/>
        <v>0</v>
      </c>
      <c r="BT179" s="312">
        <f t="shared" si="66"/>
        <v>0</v>
      </c>
      <c r="BU179" s="312">
        <f t="shared" si="66"/>
        <v>0</v>
      </c>
      <c r="BV179" s="312">
        <f t="shared" si="66"/>
        <v>0</v>
      </c>
      <c r="BW179" s="312">
        <f t="shared" si="66"/>
        <v>0</v>
      </c>
      <c r="BX179" s="312">
        <f t="shared" si="66"/>
        <v>0</v>
      </c>
      <c r="BY179" s="222"/>
      <c r="BZ179" s="222"/>
      <c r="CA179" s="222"/>
      <c r="CB179" s="222"/>
      <c r="CC179" s="222"/>
      <c r="CD179" s="222"/>
      <c r="CE179" s="222"/>
      <c r="CF179" s="222"/>
      <c r="CG179" s="222"/>
      <c r="CH179" s="222"/>
      <c r="CI179" s="222"/>
      <c r="CJ179" s="222"/>
      <c r="CK179" s="222"/>
      <c r="CL179" s="222"/>
      <c r="CM179" s="222"/>
      <c r="CN179" s="222"/>
      <c r="CO179" s="222"/>
      <c r="CP179" s="222"/>
      <c r="CQ179" s="222"/>
      <c r="CR179" s="222"/>
      <c r="CS179" s="222"/>
      <c r="CT179" s="222"/>
      <c r="CU179" s="222"/>
      <c r="CV179" s="222"/>
      <c r="CW179" s="222"/>
      <c r="CX179" s="222"/>
      <c r="CY179" s="222"/>
      <c r="CZ179" s="222"/>
      <c r="DA179" s="222"/>
      <c r="DB179" s="222"/>
      <c r="DC179" s="222"/>
      <c r="DD179" s="222"/>
      <c r="DE179" s="222"/>
      <c r="DF179" s="222"/>
      <c r="DG179" s="222"/>
      <c r="DH179" s="222"/>
      <c r="DI179" s="222"/>
      <c r="DJ179" s="222"/>
      <c r="DK179" s="222"/>
      <c r="DL179" s="222"/>
      <c r="DM179" s="222"/>
      <c r="DN179" s="222"/>
      <c r="DO179" s="222"/>
      <c r="DP179" s="222"/>
      <c r="DQ179" s="222"/>
      <c r="DR179" s="222"/>
      <c r="DS179" s="222"/>
      <c r="DT179" s="222"/>
      <c r="DU179" s="222"/>
      <c r="DV179" s="222"/>
      <c r="DW179" s="222"/>
      <c r="DX179" s="222"/>
      <c r="DY179" s="222"/>
      <c r="DZ179" s="222"/>
      <c r="EA179" s="222"/>
      <c r="EB179" s="222"/>
      <c r="EC179" s="222"/>
      <c r="ED179" s="222"/>
      <c r="EE179" s="222"/>
      <c r="EF179" s="222"/>
      <c r="EG179" s="222"/>
      <c r="EH179" s="222"/>
    </row>
    <row r="180" spans="1:138">
      <c r="A180" s="222"/>
      <c r="B180" s="318"/>
      <c r="C180" s="310" t="s">
        <v>305</v>
      </c>
      <c r="D180" s="319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  <c r="O180" s="311"/>
      <c r="P180" s="311"/>
      <c r="Q180" s="311"/>
      <c r="R180" s="311"/>
      <c r="S180" s="311"/>
      <c r="T180" s="311"/>
      <c r="U180" s="311"/>
      <c r="V180" s="311"/>
      <c r="W180" s="311"/>
      <c r="X180" s="311"/>
      <c r="Y180" s="311"/>
      <c r="Z180" s="311"/>
      <c r="AA180" s="311"/>
      <c r="AB180" s="311"/>
      <c r="AC180" s="311"/>
      <c r="AD180" s="311"/>
      <c r="AE180" s="311"/>
      <c r="AF180" s="311"/>
      <c r="AG180" s="311"/>
      <c r="AH180" s="311"/>
      <c r="AI180" s="311"/>
      <c r="AJ180" s="311"/>
      <c r="AK180" s="311"/>
      <c r="AL180" s="311"/>
      <c r="AM180" s="311"/>
      <c r="AN180" s="311"/>
      <c r="AO180" s="311"/>
      <c r="AP180" s="311"/>
      <c r="AQ180" s="311"/>
      <c r="AR180" s="311"/>
      <c r="AS180" s="311"/>
      <c r="AT180" s="311"/>
      <c r="AU180" s="311"/>
      <c r="AV180" s="311"/>
      <c r="AW180" s="311"/>
      <c r="AX180" s="311"/>
      <c r="AY180" s="311"/>
      <c r="AZ180" s="311"/>
      <c r="BA180" s="311"/>
      <c r="BB180" s="311"/>
      <c r="BC180" s="312"/>
      <c r="BD180" s="311"/>
      <c r="BE180" s="311"/>
      <c r="BF180" s="311"/>
      <c r="BG180" s="311"/>
      <c r="BH180" s="311"/>
      <c r="BI180" s="311"/>
      <c r="BJ180" s="311"/>
      <c r="BK180" s="311"/>
      <c r="BL180" s="311"/>
      <c r="BM180" s="311"/>
      <c r="BN180" s="311"/>
      <c r="BO180" s="311"/>
      <c r="BP180" s="311"/>
      <c r="BQ180" s="311"/>
      <c r="BR180" s="311"/>
      <c r="BS180" s="311"/>
      <c r="BT180" s="311"/>
      <c r="BU180" s="311"/>
      <c r="BV180" s="311"/>
      <c r="BW180" s="311"/>
      <c r="BX180" s="311"/>
      <c r="BY180" s="307"/>
      <c r="BZ180" s="307"/>
      <c r="CA180" s="222"/>
      <c r="CB180" s="222"/>
      <c r="CC180" s="222"/>
      <c r="CD180" s="222"/>
      <c r="CE180" s="222"/>
      <c r="CF180" s="222"/>
      <c r="CG180" s="222"/>
      <c r="CH180" s="222"/>
      <c r="CI180" s="222"/>
      <c r="CJ180" s="222"/>
      <c r="CK180" s="222"/>
      <c r="CL180" s="222"/>
      <c r="CM180" s="222"/>
      <c r="CN180" s="222"/>
      <c r="CO180" s="222"/>
      <c r="CP180" s="222"/>
      <c r="CQ180" s="222"/>
      <c r="CR180" s="222"/>
      <c r="CS180" s="222"/>
      <c r="CT180" s="222"/>
      <c r="CU180" s="222"/>
      <c r="CV180" s="222"/>
      <c r="CW180" s="222"/>
      <c r="CX180" s="222"/>
      <c r="CY180" s="222"/>
      <c r="CZ180" s="222"/>
      <c r="DA180" s="222"/>
      <c r="DB180" s="222"/>
      <c r="DC180" s="222"/>
      <c r="DD180" s="222"/>
      <c r="DE180" s="222"/>
      <c r="DF180" s="222"/>
      <c r="DG180" s="222"/>
      <c r="DH180" s="222"/>
      <c r="DI180" s="222"/>
      <c r="DJ180" s="222"/>
      <c r="DK180" s="222"/>
      <c r="DL180" s="222"/>
      <c r="DM180" s="222"/>
      <c r="DN180" s="222"/>
      <c r="DO180" s="222"/>
      <c r="DP180" s="222"/>
      <c r="DQ180" s="222"/>
      <c r="DR180" s="222"/>
      <c r="DS180" s="222"/>
      <c r="DT180" s="222"/>
      <c r="DU180" s="222"/>
      <c r="DV180" s="222"/>
      <c r="DW180" s="222"/>
      <c r="DX180" s="222"/>
      <c r="DY180" s="222"/>
      <c r="DZ180" s="222"/>
      <c r="EA180" s="222"/>
      <c r="EB180" s="222"/>
      <c r="EC180" s="222"/>
      <c r="ED180" s="222"/>
      <c r="EE180" s="222"/>
      <c r="EF180" s="222"/>
      <c r="EG180" s="222"/>
      <c r="EH180" s="222"/>
    </row>
    <row r="181" spans="1:138">
      <c r="A181" s="222"/>
      <c r="B181" s="318"/>
      <c r="C181" s="310" t="s">
        <v>296</v>
      </c>
      <c r="D181" s="319"/>
      <c r="E181" s="311">
        <f t="shared" ref="E181:G181" si="67">-E59</f>
        <v>0</v>
      </c>
      <c r="F181" s="311">
        <f t="shared" si="67"/>
        <v>0</v>
      </c>
      <c r="G181" s="311">
        <f t="shared" si="67"/>
        <v>0</v>
      </c>
      <c r="H181" s="311">
        <f t="shared" ref="H181:T181" si="68">-H74</f>
        <v>0</v>
      </c>
      <c r="I181" s="311">
        <f t="shared" si="68"/>
        <v>0</v>
      </c>
      <c r="J181" s="311">
        <f t="shared" si="68"/>
        <v>0</v>
      </c>
      <c r="K181" s="311">
        <f t="shared" si="68"/>
        <v>0</v>
      </c>
      <c r="L181" s="311">
        <f t="shared" si="68"/>
        <v>0</v>
      </c>
      <c r="M181" s="311">
        <f t="shared" si="68"/>
        <v>0</v>
      </c>
      <c r="N181" s="311">
        <f t="shared" si="68"/>
        <v>0</v>
      </c>
      <c r="O181" s="311">
        <f t="shared" si="68"/>
        <v>0</v>
      </c>
      <c r="P181" s="311">
        <f t="shared" si="68"/>
        <v>0</v>
      </c>
      <c r="Q181" s="311">
        <f t="shared" si="68"/>
        <v>0</v>
      </c>
      <c r="R181" s="311">
        <f t="shared" si="68"/>
        <v>0</v>
      </c>
      <c r="S181" s="311">
        <f t="shared" si="68"/>
        <v>0</v>
      </c>
      <c r="T181" s="311">
        <f t="shared" si="68"/>
        <v>0</v>
      </c>
      <c r="U181" s="311">
        <f t="shared" ref="U181:BX181" si="69">-U59</f>
        <v>0</v>
      </c>
      <c r="V181" s="311">
        <f t="shared" si="69"/>
        <v>0</v>
      </c>
      <c r="W181" s="311">
        <f t="shared" si="69"/>
        <v>0</v>
      </c>
      <c r="X181" s="311">
        <f t="shared" si="69"/>
        <v>0</v>
      </c>
      <c r="Y181" s="311">
        <f t="shared" si="69"/>
        <v>0</v>
      </c>
      <c r="Z181" s="311">
        <f t="shared" si="69"/>
        <v>0</v>
      </c>
      <c r="AA181" s="311">
        <f t="shared" si="69"/>
        <v>0</v>
      </c>
      <c r="AB181" s="311">
        <f t="shared" si="69"/>
        <v>0</v>
      </c>
      <c r="AC181" s="311">
        <f t="shared" si="69"/>
        <v>0</v>
      </c>
      <c r="AD181" s="311">
        <f t="shared" si="69"/>
        <v>0</v>
      </c>
      <c r="AE181" s="311">
        <f t="shared" si="69"/>
        <v>0</v>
      </c>
      <c r="AF181" s="311">
        <f t="shared" si="69"/>
        <v>0</v>
      </c>
      <c r="AG181" s="311">
        <f t="shared" si="69"/>
        <v>0</v>
      </c>
      <c r="AH181" s="311">
        <f t="shared" si="69"/>
        <v>0</v>
      </c>
      <c r="AI181" s="311">
        <f t="shared" si="69"/>
        <v>0</v>
      </c>
      <c r="AJ181" s="311">
        <f t="shared" si="69"/>
        <v>0</v>
      </c>
      <c r="AK181" s="311">
        <f t="shared" si="69"/>
        <v>0</v>
      </c>
      <c r="AL181" s="311">
        <f t="shared" si="69"/>
        <v>0</v>
      </c>
      <c r="AM181" s="311">
        <f t="shared" si="69"/>
        <v>0</v>
      </c>
      <c r="AN181" s="311">
        <f t="shared" si="69"/>
        <v>0</v>
      </c>
      <c r="AO181" s="311">
        <f t="shared" si="69"/>
        <v>0</v>
      </c>
      <c r="AP181" s="311">
        <f t="shared" si="69"/>
        <v>0</v>
      </c>
      <c r="AQ181" s="311">
        <f t="shared" si="69"/>
        <v>0</v>
      </c>
      <c r="AR181" s="311">
        <f t="shared" si="69"/>
        <v>0</v>
      </c>
      <c r="AS181" s="311">
        <f t="shared" si="69"/>
        <v>0</v>
      </c>
      <c r="AT181" s="311">
        <f t="shared" si="69"/>
        <v>0</v>
      </c>
      <c r="AU181" s="311">
        <f t="shared" si="69"/>
        <v>0</v>
      </c>
      <c r="AV181" s="311">
        <f t="shared" si="69"/>
        <v>0</v>
      </c>
      <c r="AW181" s="311">
        <f t="shared" si="69"/>
        <v>0</v>
      </c>
      <c r="AX181" s="311">
        <f t="shared" si="69"/>
        <v>0</v>
      </c>
      <c r="AY181" s="311">
        <f t="shared" si="69"/>
        <v>0</v>
      </c>
      <c r="AZ181" s="311">
        <f t="shared" si="69"/>
        <v>0</v>
      </c>
      <c r="BA181" s="311">
        <f t="shared" si="69"/>
        <v>0</v>
      </c>
      <c r="BB181" s="311">
        <f t="shared" si="69"/>
        <v>0</v>
      </c>
      <c r="BC181" s="311">
        <f t="shared" si="69"/>
        <v>0</v>
      </c>
      <c r="BD181" s="311">
        <f t="shared" si="69"/>
        <v>0</v>
      </c>
      <c r="BE181" s="311">
        <f t="shared" si="69"/>
        <v>0</v>
      </c>
      <c r="BF181" s="311">
        <f t="shared" si="69"/>
        <v>0</v>
      </c>
      <c r="BG181" s="311">
        <f t="shared" si="69"/>
        <v>0</v>
      </c>
      <c r="BH181" s="311">
        <f t="shared" si="69"/>
        <v>0</v>
      </c>
      <c r="BI181" s="311">
        <f t="shared" si="69"/>
        <v>0</v>
      </c>
      <c r="BJ181" s="311">
        <f t="shared" si="69"/>
        <v>0</v>
      </c>
      <c r="BK181" s="311">
        <f t="shared" si="69"/>
        <v>0</v>
      </c>
      <c r="BL181" s="311">
        <f t="shared" si="69"/>
        <v>0</v>
      </c>
      <c r="BM181" s="311">
        <f t="shared" si="69"/>
        <v>0</v>
      </c>
      <c r="BN181" s="311">
        <f t="shared" si="69"/>
        <v>0</v>
      </c>
      <c r="BO181" s="311">
        <f t="shared" si="69"/>
        <v>0</v>
      </c>
      <c r="BP181" s="311">
        <f t="shared" si="69"/>
        <v>0</v>
      </c>
      <c r="BQ181" s="311">
        <f t="shared" si="69"/>
        <v>0</v>
      </c>
      <c r="BR181" s="311">
        <f t="shared" si="69"/>
        <v>0</v>
      </c>
      <c r="BS181" s="311">
        <f t="shared" si="69"/>
        <v>0</v>
      </c>
      <c r="BT181" s="311">
        <f t="shared" si="69"/>
        <v>0</v>
      </c>
      <c r="BU181" s="311">
        <f t="shared" si="69"/>
        <v>0</v>
      </c>
      <c r="BV181" s="311">
        <f t="shared" si="69"/>
        <v>0</v>
      </c>
      <c r="BW181" s="311">
        <f t="shared" si="69"/>
        <v>0</v>
      </c>
      <c r="BX181" s="311">
        <f t="shared" si="69"/>
        <v>0</v>
      </c>
      <c r="BY181" s="307"/>
      <c r="BZ181" s="307"/>
      <c r="CA181" s="222"/>
      <c r="CB181" s="222"/>
      <c r="CC181" s="222"/>
      <c r="CD181" s="222"/>
      <c r="CE181" s="222"/>
      <c r="CF181" s="222"/>
      <c r="CG181" s="222"/>
      <c r="CH181" s="222"/>
      <c r="CI181" s="222"/>
      <c r="CJ181" s="222"/>
      <c r="CK181" s="222"/>
      <c r="CL181" s="222"/>
      <c r="CM181" s="222"/>
      <c r="CN181" s="222"/>
      <c r="CO181" s="222"/>
      <c r="CP181" s="222"/>
      <c r="CQ181" s="222"/>
      <c r="CR181" s="222"/>
      <c r="CS181" s="222"/>
      <c r="CT181" s="222"/>
      <c r="CU181" s="222"/>
      <c r="CV181" s="222"/>
      <c r="CW181" s="222"/>
      <c r="CX181" s="222"/>
      <c r="CY181" s="222"/>
      <c r="CZ181" s="222"/>
      <c r="DA181" s="222"/>
      <c r="DB181" s="222"/>
      <c r="DC181" s="222"/>
      <c r="DD181" s="222"/>
      <c r="DE181" s="222"/>
      <c r="DF181" s="222"/>
      <c r="DG181" s="222"/>
      <c r="DH181" s="222"/>
      <c r="DI181" s="222"/>
      <c r="DJ181" s="222"/>
      <c r="DK181" s="222"/>
      <c r="DL181" s="222"/>
      <c r="DM181" s="222"/>
      <c r="DN181" s="222"/>
      <c r="DO181" s="222"/>
      <c r="DP181" s="222"/>
      <c r="DQ181" s="222"/>
      <c r="DR181" s="222"/>
      <c r="DS181" s="222"/>
      <c r="DT181" s="222"/>
      <c r="DU181" s="222"/>
      <c r="DV181" s="222"/>
      <c r="DW181" s="222"/>
      <c r="DX181" s="222"/>
      <c r="DY181" s="222"/>
      <c r="DZ181" s="222"/>
      <c r="EA181" s="222"/>
      <c r="EB181" s="222"/>
      <c r="EC181" s="222"/>
      <c r="ED181" s="222"/>
      <c r="EE181" s="222"/>
      <c r="EF181" s="222"/>
      <c r="EG181" s="222"/>
      <c r="EH181" s="222"/>
    </row>
    <row r="182" spans="1:138">
      <c r="A182" s="222"/>
      <c r="B182" s="318"/>
      <c r="C182" s="310" t="s">
        <v>297</v>
      </c>
      <c r="D182" s="319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  <c r="O182" s="311"/>
      <c r="P182" s="311"/>
      <c r="Q182" s="311"/>
      <c r="R182" s="311"/>
      <c r="S182" s="311"/>
      <c r="T182" s="311">
        <v>2750000</v>
      </c>
      <c r="U182" s="311"/>
      <c r="V182" s="311"/>
      <c r="W182" s="311"/>
      <c r="X182" s="311"/>
      <c r="Y182" s="311"/>
      <c r="Z182" s="311"/>
      <c r="AA182" s="311"/>
      <c r="AB182" s="311"/>
      <c r="AC182" s="311"/>
      <c r="AD182" s="311"/>
      <c r="AE182" s="311"/>
      <c r="AF182" s="311"/>
      <c r="AG182" s="311"/>
      <c r="AH182" s="311"/>
      <c r="AI182" s="311"/>
      <c r="AJ182" s="311"/>
      <c r="AK182" s="311"/>
      <c r="AL182" s="311"/>
      <c r="AM182" s="311"/>
      <c r="AN182" s="311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1"/>
      <c r="AZ182" s="311"/>
      <c r="BA182" s="311"/>
      <c r="BB182" s="311"/>
      <c r="BC182" s="312"/>
      <c r="BD182" s="311"/>
      <c r="BE182" s="311"/>
      <c r="BF182" s="311"/>
      <c r="BG182" s="311"/>
      <c r="BH182" s="311"/>
      <c r="BI182" s="311"/>
      <c r="BJ182" s="311"/>
      <c r="BK182" s="311"/>
      <c r="BL182" s="311"/>
      <c r="BM182" s="311"/>
      <c r="BN182" s="311"/>
      <c r="BO182" s="311"/>
      <c r="BP182" s="311"/>
      <c r="BQ182" s="311"/>
      <c r="BR182" s="311"/>
      <c r="BS182" s="311"/>
      <c r="BT182" s="311"/>
      <c r="BU182" s="311"/>
      <c r="BV182" s="311"/>
      <c r="BW182" s="311"/>
      <c r="BX182" s="311">
        <f>IF(D106&gt;0.25,(BX101-BX109)*D183,BX101*D183)</f>
        <v>0</v>
      </c>
      <c r="BY182" s="307"/>
      <c r="BZ182" s="307"/>
      <c r="CA182" s="222"/>
      <c r="CB182" s="222"/>
      <c r="CC182" s="222"/>
      <c r="CD182" s="222"/>
      <c r="CE182" s="222"/>
      <c r="CF182" s="222"/>
      <c r="CG182" s="222"/>
      <c r="CH182" s="222"/>
      <c r="CI182" s="222"/>
      <c r="CJ182" s="222"/>
      <c r="CK182" s="222"/>
      <c r="CL182" s="222"/>
      <c r="CM182" s="222"/>
      <c r="CN182" s="222"/>
      <c r="CO182" s="222"/>
      <c r="CP182" s="222"/>
      <c r="CQ182" s="222"/>
      <c r="CR182" s="222"/>
      <c r="CS182" s="222"/>
      <c r="CT182" s="222"/>
      <c r="CU182" s="222"/>
      <c r="CV182" s="222"/>
      <c r="CW182" s="222"/>
      <c r="CX182" s="222"/>
      <c r="CY182" s="222"/>
      <c r="CZ182" s="222"/>
      <c r="DA182" s="222"/>
      <c r="DB182" s="222"/>
      <c r="DC182" s="222"/>
      <c r="DD182" s="222"/>
      <c r="DE182" s="222"/>
      <c r="DF182" s="222"/>
      <c r="DG182" s="222"/>
      <c r="DH182" s="222"/>
      <c r="DI182" s="222"/>
      <c r="DJ182" s="222"/>
      <c r="DK182" s="222"/>
      <c r="DL182" s="222"/>
      <c r="DM182" s="222"/>
      <c r="DN182" s="222"/>
      <c r="DO182" s="222"/>
      <c r="DP182" s="222"/>
      <c r="DQ182" s="222"/>
      <c r="DR182" s="222"/>
      <c r="DS182" s="222"/>
      <c r="DT182" s="222"/>
      <c r="DU182" s="222"/>
      <c r="DV182" s="222"/>
      <c r="DW182" s="222"/>
      <c r="DX182" s="222"/>
      <c r="DY182" s="222"/>
      <c r="DZ182" s="222"/>
      <c r="EA182" s="222"/>
      <c r="EB182" s="222"/>
      <c r="EC182" s="222"/>
      <c r="ED182" s="222"/>
      <c r="EE182" s="222"/>
      <c r="EF182" s="222"/>
      <c r="EG182" s="222"/>
      <c r="EH182" s="222"/>
    </row>
    <row r="183" spans="1:138">
      <c r="A183" s="222"/>
      <c r="B183" s="318"/>
      <c r="C183" s="313" t="s">
        <v>298</v>
      </c>
      <c r="D183" s="319">
        <v>0</v>
      </c>
      <c r="E183" s="311"/>
      <c r="F183" s="311"/>
      <c r="G183" s="311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311"/>
      <c r="V183" s="311"/>
      <c r="W183" s="311"/>
      <c r="X183" s="311"/>
      <c r="Y183" s="311"/>
      <c r="Z183" s="311"/>
      <c r="AA183" s="311"/>
      <c r="AB183" s="311"/>
      <c r="AC183" s="311"/>
      <c r="AD183" s="311"/>
      <c r="AE183" s="311"/>
      <c r="AF183" s="311"/>
      <c r="AG183" s="311"/>
      <c r="AH183" s="311"/>
      <c r="AI183" s="311"/>
      <c r="AJ183" s="311"/>
      <c r="AK183" s="311"/>
      <c r="AL183" s="311"/>
      <c r="AM183" s="311"/>
      <c r="AN183" s="311"/>
      <c r="AO183" s="311"/>
      <c r="AP183" s="311"/>
      <c r="AQ183" s="311"/>
      <c r="AR183" s="311"/>
      <c r="AS183" s="311"/>
      <c r="AT183" s="311"/>
      <c r="AU183" s="311"/>
      <c r="AV183" s="311"/>
      <c r="AW183" s="311"/>
      <c r="AX183" s="311"/>
      <c r="AY183" s="311"/>
      <c r="AZ183" s="311"/>
      <c r="BA183" s="311"/>
      <c r="BB183" s="311"/>
      <c r="BC183" s="312"/>
      <c r="BD183" s="311"/>
      <c r="BE183" s="311"/>
      <c r="BF183" s="311"/>
      <c r="BG183" s="311"/>
      <c r="BH183" s="311"/>
      <c r="BI183" s="311"/>
      <c r="BJ183" s="311"/>
      <c r="BK183" s="311"/>
      <c r="BL183" s="311"/>
      <c r="BM183" s="311"/>
      <c r="BN183" s="311"/>
      <c r="BO183" s="311"/>
      <c r="BP183" s="311"/>
      <c r="BQ183" s="311"/>
      <c r="BR183" s="311"/>
      <c r="BS183" s="311"/>
      <c r="BT183" s="311"/>
      <c r="BU183" s="311"/>
      <c r="BV183" s="311"/>
      <c r="BW183" s="311"/>
      <c r="BX183" s="311"/>
      <c r="BY183" s="307"/>
      <c r="BZ183" s="307"/>
      <c r="CA183" s="222"/>
      <c r="CB183" s="222"/>
      <c r="CC183" s="222"/>
      <c r="CD183" s="222"/>
      <c r="CE183" s="222"/>
      <c r="CF183" s="222"/>
      <c r="CG183" s="222"/>
      <c r="CH183" s="222"/>
      <c r="CI183" s="222"/>
      <c r="CJ183" s="222"/>
      <c r="CK183" s="222"/>
      <c r="CL183" s="222"/>
      <c r="CM183" s="222"/>
      <c r="CN183" s="222"/>
      <c r="CO183" s="222"/>
      <c r="CP183" s="222"/>
      <c r="CQ183" s="222"/>
      <c r="CR183" s="222"/>
      <c r="CS183" s="222"/>
      <c r="CT183" s="222"/>
      <c r="CU183" s="222"/>
      <c r="CV183" s="222"/>
      <c r="CW183" s="222"/>
      <c r="CX183" s="222"/>
      <c r="CY183" s="222"/>
      <c r="CZ183" s="222"/>
      <c r="DA183" s="222"/>
      <c r="DB183" s="222"/>
      <c r="DC183" s="222"/>
      <c r="DD183" s="222"/>
      <c r="DE183" s="222"/>
      <c r="DF183" s="222"/>
      <c r="DG183" s="222"/>
      <c r="DH183" s="222"/>
      <c r="DI183" s="222"/>
      <c r="DJ183" s="222"/>
      <c r="DK183" s="222"/>
      <c r="DL183" s="222"/>
      <c r="DM183" s="222"/>
      <c r="DN183" s="222"/>
      <c r="DO183" s="222"/>
      <c r="DP183" s="222"/>
      <c r="DQ183" s="222"/>
      <c r="DR183" s="222"/>
      <c r="DS183" s="222"/>
      <c r="DT183" s="222"/>
      <c r="DU183" s="222"/>
      <c r="DV183" s="222"/>
      <c r="DW183" s="222"/>
      <c r="DX183" s="222"/>
      <c r="DY183" s="222"/>
      <c r="DZ183" s="222"/>
      <c r="EA183" s="222"/>
      <c r="EB183" s="222"/>
      <c r="EC183" s="222"/>
      <c r="ED183" s="222"/>
      <c r="EE183" s="222"/>
      <c r="EF183" s="222"/>
      <c r="EG183" s="222"/>
      <c r="EH183" s="222"/>
    </row>
    <row r="184" spans="1:138">
      <c r="A184" s="222"/>
      <c r="B184" s="318"/>
      <c r="C184" s="310" t="s">
        <v>299</v>
      </c>
      <c r="D184" s="311"/>
      <c r="E184" s="321">
        <f t="shared" ref="E184:BX184" si="70">E179+E180+E181+E182+E183</f>
        <v>0</v>
      </c>
      <c r="F184" s="321">
        <f t="shared" si="70"/>
        <v>0</v>
      </c>
      <c r="G184" s="321">
        <f t="shared" si="70"/>
        <v>0</v>
      </c>
      <c r="H184" s="321">
        <f t="shared" si="70"/>
        <v>-5341205.5</v>
      </c>
      <c r="I184" s="321">
        <f t="shared" si="70"/>
        <v>0</v>
      </c>
      <c r="J184" s="321">
        <f t="shared" si="70"/>
        <v>0</v>
      </c>
      <c r="K184" s="321">
        <f t="shared" si="70"/>
        <v>0</v>
      </c>
      <c r="L184" s="321">
        <f t="shared" si="70"/>
        <v>0</v>
      </c>
      <c r="M184" s="321">
        <f t="shared" si="70"/>
        <v>0</v>
      </c>
      <c r="N184" s="321">
        <f t="shared" si="70"/>
        <v>0</v>
      </c>
      <c r="O184" s="321">
        <f t="shared" si="70"/>
        <v>0</v>
      </c>
      <c r="P184" s="321">
        <f t="shared" si="70"/>
        <v>0</v>
      </c>
      <c r="Q184" s="321">
        <f t="shared" si="70"/>
        <v>0</v>
      </c>
      <c r="R184" s="321">
        <f t="shared" si="70"/>
        <v>0</v>
      </c>
      <c r="S184" s="321">
        <f t="shared" si="70"/>
        <v>0</v>
      </c>
      <c r="T184" s="321">
        <f t="shared" si="70"/>
        <v>8091205.5</v>
      </c>
      <c r="U184" s="321">
        <f t="shared" si="70"/>
        <v>0</v>
      </c>
      <c r="V184" s="321">
        <f t="shared" si="70"/>
        <v>0</v>
      </c>
      <c r="W184" s="321">
        <f t="shared" si="70"/>
        <v>0</v>
      </c>
      <c r="X184" s="321">
        <f t="shared" si="70"/>
        <v>0</v>
      </c>
      <c r="Y184" s="321">
        <f t="shared" si="70"/>
        <v>0</v>
      </c>
      <c r="Z184" s="321">
        <f t="shared" si="70"/>
        <v>0</v>
      </c>
      <c r="AA184" s="321">
        <f t="shared" si="70"/>
        <v>0</v>
      </c>
      <c r="AB184" s="321">
        <f t="shared" si="70"/>
        <v>0</v>
      </c>
      <c r="AC184" s="321">
        <f t="shared" si="70"/>
        <v>0</v>
      </c>
      <c r="AD184" s="321">
        <f t="shared" si="70"/>
        <v>0</v>
      </c>
      <c r="AE184" s="321">
        <f t="shared" si="70"/>
        <v>0</v>
      </c>
      <c r="AF184" s="321">
        <f t="shared" si="70"/>
        <v>0</v>
      </c>
      <c r="AG184" s="321">
        <f t="shared" si="70"/>
        <v>0</v>
      </c>
      <c r="AH184" s="321">
        <f t="shared" si="70"/>
        <v>0</v>
      </c>
      <c r="AI184" s="321">
        <f t="shared" si="70"/>
        <v>0</v>
      </c>
      <c r="AJ184" s="321">
        <f t="shared" si="70"/>
        <v>0</v>
      </c>
      <c r="AK184" s="321">
        <f t="shared" si="70"/>
        <v>0</v>
      </c>
      <c r="AL184" s="321">
        <f t="shared" si="70"/>
        <v>0</v>
      </c>
      <c r="AM184" s="321">
        <f t="shared" si="70"/>
        <v>0</v>
      </c>
      <c r="AN184" s="321">
        <f t="shared" si="70"/>
        <v>0</v>
      </c>
      <c r="AO184" s="321">
        <f t="shared" si="70"/>
        <v>0</v>
      </c>
      <c r="AP184" s="321">
        <f t="shared" si="70"/>
        <v>0</v>
      </c>
      <c r="AQ184" s="321">
        <f t="shared" si="70"/>
        <v>0</v>
      </c>
      <c r="AR184" s="321">
        <f t="shared" si="70"/>
        <v>0</v>
      </c>
      <c r="AS184" s="321">
        <f t="shared" si="70"/>
        <v>0</v>
      </c>
      <c r="AT184" s="321">
        <f t="shared" si="70"/>
        <v>0</v>
      </c>
      <c r="AU184" s="321">
        <f t="shared" si="70"/>
        <v>0</v>
      </c>
      <c r="AV184" s="321">
        <f t="shared" si="70"/>
        <v>0</v>
      </c>
      <c r="AW184" s="321">
        <f t="shared" si="70"/>
        <v>0</v>
      </c>
      <c r="AX184" s="321">
        <f t="shared" si="70"/>
        <v>0</v>
      </c>
      <c r="AY184" s="321">
        <f t="shared" si="70"/>
        <v>0</v>
      </c>
      <c r="AZ184" s="321">
        <f t="shared" si="70"/>
        <v>0</v>
      </c>
      <c r="BA184" s="321">
        <f t="shared" si="70"/>
        <v>0</v>
      </c>
      <c r="BB184" s="321">
        <f t="shared" si="70"/>
        <v>0</v>
      </c>
      <c r="BC184" s="321">
        <f t="shared" si="70"/>
        <v>0</v>
      </c>
      <c r="BD184" s="321">
        <f t="shared" si="70"/>
        <v>0</v>
      </c>
      <c r="BE184" s="321">
        <f t="shared" si="70"/>
        <v>0</v>
      </c>
      <c r="BF184" s="321">
        <f t="shared" si="70"/>
        <v>0</v>
      </c>
      <c r="BG184" s="321">
        <f t="shared" si="70"/>
        <v>0</v>
      </c>
      <c r="BH184" s="321">
        <f t="shared" si="70"/>
        <v>0</v>
      </c>
      <c r="BI184" s="321">
        <f t="shared" si="70"/>
        <v>0</v>
      </c>
      <c r="BJ184" s="321">
        <f t="shared" si="70"/>
        <v>0</v>
      </c>
      <c r="BK184" s="321">
        <f t="shared" si="70"/>
        <v>0</v>
      </c>
      <c r="BL184" s="321">
        <f t="shared" si="70"/>
        <v>0</v>
      </c>
      <c r="BM184" s="321">
        <f t="shared" si="70"/>
        <v>0</v>
      </c>
      <c r="BN184" s="321">
        <f t="shared" si="70"/>
        <v>0</v>
      </c>
      <c r="BO184" s="321">
        <f t="shared" si="70"/>
        <v>0</v>
      </c>
      <c r="BP184" s="321">
        <f t="shared" si="70"/>
        <v>0</v>
      </c>
      <c r="BQ184" s="321">
        <f t="shared" si="70"/>
        <v>0</v>
      </c>
      <c r="BR184" s="321">
        <f t="shared" si="70"/>
        <v>0</v>
      </c>
      <c r="BS184" s="321">
        <f t="shared" si="70"/>
        <v>0</v>
      </c>
      <c r="BT184" s="321">
        <f t="shared" si="70"/>
        <v>0</v>
      </c>
      <c r="BU184" s="321">
        <f t="shared" si="70"/>
        <v>0</v>
      </c>
      <c r="BV184" s="321">
        <f t="shared" si="70"/>
        <v>0</v>
      </c>
      <c r="BW184" s="321">
        <f t="shared" si="70"/>
        <v>0</v>
      </c>
      <c r="BX184" s="321">
        <f t="shared" si="70"/>
        <v>0</v>
      </c>
      <c r="BY184" s="222"/>
      <c r="BZ184" s="222"/>
      <c r="CA184" s="222"/>
      <c r="CB184" s="222"/>
      <c r="CC184" s="222"/>
      <c r="CD184" s="222"/>
      <c r="CE184" s="222"/>
      <c r="CF184" s="222"/>
      <c r="CG184" s="222"/>
      <c r="CH184" s="222"/>
      <c r="CI184" s="222"/>
      <c r="CJ184" s="222"/>
      <c r="CK184" s="222"/>
      <c r="CL184" s="222"/>
      <c r="CM184" s="222"/>
      <c r="CN184" s="222"/>
      <c r="CO184" s="222"/>
      <c r="CP184" s="222"/>
      <c r="CQ184" s="222"/>
      <c r="CR184" s="222"/>
      <c r="CS184" s="222"/>
      <c r="CT184" s="222"/>
      <c r="CU184" s="222"/>
      <c r="CV184" s="222"/>
      <c r="CW184" s="222"/>
      <c r="CX184" s="222"/>
      <c r="CY184" s="222"/>
      <c r="CZ184" s="222"/>
      <c r="DA184" s="222"/>
      <c r="DB184" s="222"/>
      <c r="DC184" s="222"/>
      <c r="DD184" s="222"/>
      <c r="DE184" s="222"/>
      <c r="DF184" s="222"/>
      <c r="DG184" s="222"/>
      <c r="DH184" s="222"/>
      <c r="DI184" s="222"/>
      <c r="DJ184" s="222"/>
      <c r="DK184" s="222"/>
      <c r="DL184" s="222"/>
      <c r="DM184" s="222"/>
      <c r="DN184" s="222"/>
      <c r="DO184" s="222"/>
      <c r="DP184" s="222"/>
      <c r="DQ184" s="222"/>
      <c r="DR184" s="222"/>
      <c r="DS184" s="222"/>
      <c r="DT184" s="222"/>
      <c r="DU184" s="222"/>
      <c r="DV184" s="222"/>
      <c r="DW184" s="222"/>
      <c r="DX184" s="222"/>
      <c r="DY184" s="222"/>
      <c r="DZ184" s="222"/>
      <c r="EA184" s="222"/>
      <c r="EB184" s="222"/>
      <c r="EC184" s="222"/>
      <c r="ED184" s="222"/>
      <c r="EE184" s="222"/>
      <c r="EF184" s="222"/>
      <c r="EG184" s="222"/>
      <c r="EH184" s="222"/>
    </row>
    <row r="185" spans="1:138">
      <c r="A185" s="222"/>
      <c r="B185" s="318"/>
      <c r="C185" s="314"/>
      <c r="D185" s="322" t="s">
        <v>306</v>
      </c>
      <c r="E185" s="327">
        <f>E184</f>
        <v>0</v>
      </c>
      <c r="F185" s="327">
        <f t="shared" ref="F185:BX185" si="71">E185+F184</f>
        <v>0</v>
      </c>
      <c r="G185" s="327">
        <f t="shared" si="71"/>
        <v>0</v>
      </c>
      <c r="H185" s="327">
        <f t="shared" si="71"/>
        <v>-5341205.5</v>
      </c>
      <c r="I185" s="327">
        <f t="shared" si="71"/>
        <v>-5341205.5</v>
      </c>
      <c r="J185" s="327">
        <f t="shared" si="71"/>
        <v>-5341205.5</v>
      </c>
      <c r="K185" s="327">
        <f t="shared" si="71"/>
        <v>-5341205.5</v>
      </c>
      <c r="L185" s="327">
        <f t="shared" si="71"/>
        <v>-5341205.5</v>
      </c>
      <c r="M185" s="327">
        <f t="shared" si="71"/>
        <v>-5341205.5</v>
      </c>
      <c r="N185" s="327">
        <f t="shared" si="71"/>
        <v>-5341205.5</v>
      </c>
      <c r="O185" s="327">
        <f t="shared" si="71"/>
        <v>-5341205.5</v>
      </c>
      <c r="P185" s="327">
        <f t="shared" si="71"/>
        <v>-5341205.5</v>
      </c>
      <c r="Q185" s="327">
        <f t="shared" si="71"/>
        <v>-5341205.5</v>
      </c>
      <c r="R185" s="327">
        <f t="shared" si="71"/>
        <v>-5341205.5</v>
      </c>
      <c r="S185" s="327">
        <f t="shared" si="71"/>
        <v>-5341205.5</v>
      </c>
      <c r="T185" s="327">
        <f t="shared" si="71"/>
        <v>2750000</v>
      </c>
      <c r="U185" s="327">
        <f t="shared" si="71"/>
        <v>2750000</v>
      </c>
      <c r="V185" s="328">
        <f t="shared" si="71"/>
        <v>2750000</v>
      </c>
      <c r="W185" s="328">
        <f t="shared" si="71"/>
        <v>2750000</v>
      </c>
      <c r="X185" s="328">
        <f t="shared" si="71"/>
        <v>2750000</v>
      </c>
      <c r="Y185" s="328">
        <f t="shared" si="71"/>
        <v>2750000</v>
      </c>
      <c r="Z185" s="328">
        <f t="shared" si="71"/>
        <v>2750000</v>
      </c>
      <c r="AA185" s="328">
        <f t="shared" si="71"/>
        <v>2750000</v>
      </c>
      <c r="AB185" s="328">
        <f t="shared" si="71"/>
        <v>2750000</v>
      </c>
      <c r="AC185" s="328">
        <f t="shared" si="71"/>
        <v>2750000</v>
      </c>
      <c r="AD185" s="328">
        <f t="shared" si="71"/>
        <v>2750000</v>
      </c>
      <c r="AE185" s="328">
        <f t="shared" si="71"/>
        <v>2750000</v>
      </c>
      <c r="AF185" s="328">
        <f t="shared" si="71"/>
        <v>2750000</v>
      </c>
      <c r="AG185" s="328">
        <f t="shared" si="71"/>
        <v>2750000</v>
      </c>
      <c r="AH185" s="328">
        <f t="shared" si="71"/>
        <v>2750000</v>
      </c>
      <c r="AI185" s="328">
        <f t="shared" si="71"/>
        <v>2750000</v>
      </c>
      <c r="AJ185" s="328">
        <f t="shared" si="71"/>
        <v>2750000</v>
      </c>
      <c r="AK185" s="328">
        <f t="shared" si="71"/>
        <v>2750000</v>
      </c>
      <c r="AL185" s="328">
        <f t="shared" si="71"/>
        <v>2750000</v>
      </c>
      <c r="AM185" s="328">
        <f t="shared" si="71"/>
        <v>2750000</v>
      </c>
      <c r="AN185" s="328">
        <f t="shared" si="71"/>
        <v>2750000</v>
      </c>
      <c r="AO185" s="328">
        <f t="shared" si="71"/>
        <v>2750000</v>
      </c>
      <c r="AP185" s="328">
        <f t="shared" si="71"/>
        <v>2750000</v>
      </c>
      <c r="AQ185" s="328">
        <f t="shared" si="71"/>
        <v>2750000</v>
      </c>
      <c r="AR185" s="328">
        <f t="shared" si="71"/>
        <v>2750000</v>
      </c>
      <c r="AS185" s="328">
        <f t="shared" si="71"/>
        <v>2750000</v>
      </c>
      <c r="AT185" s="328">
        <f t="shared" si="71"/>
        <v>2750000</v>
      </c>
      <c r="AU185" s="328">
        <f t="shared" si="71"/>
        <v>2750000</v>
      </c>
      <c r="AV185" s="328">
        <f t="shared" si="71"/>
        <v>2750000</v>
      </c>
      <c r="AW185" s="328">
        <f t="shared" si="71"/>
        <v>2750000</v>
      </c>
      <c r="AX185" s="328">
        <f t="shared" si="71"/>
        <v>2750000</v>
      </c>
      <c r="AY185" s="328">
        <f t="shared" si="71"/>
        <v>2750000</v>
      </c>
      <c r="AZ185" s="328">
        <f t="shared" si="71"/>
        <v>2750000</v>
      </c>
      <c r="BA185" s="328">
        <f t="shared" si="71"/>
        <v>2750000</v>
      </c>
      <c r="BB185" s="328">
        <f t="shared" si="71"/>
        <v>2750000</v>
      </c>
      <c r="BC185" s="327">
        <f t="shared" si="71"/>
        <v>2750000</v>
      </c>
      <c r="BD185" s="327">
        <f t="shared" si="71"/>
        <v>2750000</v>
      </c>
      <c r="BE185" s="327">
        <f t="shared" si="71"/>
        <v>2750000</v>
      </c>
      <c r="BF185" s="327">
        <f t="shared" si="71"/>
        <v>2750000</v>
      </c>
      <c r="BG185" s="327">
        <f t="shared" si="71"/>
        <v>2750000</v>
      </c>
      <c r="BH185" s="327">
        <f t="shared" si="71"/>
        <v>2750000</v>
      </c>
      <c r="BI185" s="327">
        <f t="shared" si="71"/>
        <v>2750000</v>
      </c>
      <c r="BJ185" s="327">
        <f t="shared" si="71"/>
        <v>2750000</v>
      </c>
      <c r="BK185" s="327">
        <f t="shared" si="71"/>
        <v>2750000</v>
      </c>
      <c r="BL185" s="327">
        <f t="shared" si="71"/>
        <v>2750000</v>
      </c>
      <c r="BM185" s="327">
        <f t="shared" si="71"/>
        <v>2750000</v>
      </c>
      <c r="BN185" s="327">
        <f t="shared" si="71"/>
        <v>2750000</v>
      </c>
      <c r="BO185" s="327">
        <f t="shared" si="71"/>
        <v>2750000</v>
      </c>
      <c r="BP185" s="327">
        <f t="shared" si="71"/>
        <v>2750000</v>
      </c>
      <c r="BQ185" s="327">
        <f t="shared" si="71"/>
        <v>2750000</v>
      </c>
      <c r="BR185" s="327">
        <f t="shared" si="71"/>
        <v>2750000</v>
      </c>
      <c r="BS185" s="327">
        <f t="shared" si="71"/>
        <v>2750000</v>
      </c>
      <c r="BT185" s="327">
        <f t="shared" si="71"/>
        <v>2750000</v>
      </c>
      <c r="BU185" s="327">
        <f t="shared" si="71"/>
        <v>2750000</v>
      </c>
      <c r="BV185" s="327">
        <f t="shared" si="71"/>
        <v>2750000</v>
      </c>
      <c r="BW185" s="327">
        <f t="shared" si="71"/>
        <v>2750000</v>
      </c>
      <c r="BX185" s="327">
        <f t="shared" si="71"/>
        <v>2750000</v>
      </c>
      <c r="BY185" s="222"/>
      <c r="BZ185" s="222"/>
      <c r="CA185" s="222"/>
      <c r="CB185" s="222"/>
      <c r="CC185" s="222"/>
      <c r="CD185" s="222"/>
      <c r="CE185" s="222"/>
      <c r="CF185" s="222"/>
      <c r="CG185" s="222"/>
      <c r="CH185" s="222"/>
      <c r="CI185" s="222"/>
      <c r="CJ185" s="222"/>
      <c r="CK185" s="222"/>
      <c r="CL185" s="222"/>
      <c r="CM185" s="222"/>
      <c r="CN185" s="222"/>
      <c r="CO185" s="222"/>
      <c r="CP185" s="222"/>
      <c r="CQ185" s="222"/>
      <c r="CR185" s="222"/>
      <c r="CS185" s="222"/>
      <c r="CT185" s="222"/>
      <c r="CU185" s="222"/>
      <c r="CV185" s="222"/>
      <c r="CW185" s="222"/>
      <c r="CX185" s="222"/>
      <c r="CY185" s="222"/>
      <c r="CZ185" s="222"/>
      <c r="DA185" s="222"/>
      <c r="DB185" s="222"/>
      <c r="DC185" s="222"/>
      <c r="DD185" s="222"/>
      <c r="DE185" s="222"/>
      <c r="DF185" s="222"/>
      <c r="DG185" s="222"/>
      <c r="DH185" s="222"/>
      <c r="DI185" s="222"/>
      <c r="DJ185" s="222"/>
      <c r="DK185" s="222"/>
      <c r="DL185" s="222"/>
      <c r="DM185" s="222"/>
      <c r="DN185" s="222"/>
      <c r="DO185" s="222"/>
      <c r="DP185" s="222"/>
      <c r="DQ185" s="222"/>
      <c r="DR185" s="222"/>
      <c r="DS185" s="222"/>
      <c r="DT185" s="222"/>
      <c r="DU185" s="222"/>
      <c r="DV185" s="222"/>
      <c r="DW185" s="222"/>
      <c r="DX185" s="222"/>
      <c r="DY185" s="222"/>
      <c r="DZ185" s="222"/>
      <c r="EA185" s="222"/>
      <c r="EB185" s="222"/>
      <c r="EC185" s="222"/>
      <c r="ED185" s="222"/>
      <c r="EE185" s="222"/>
      <c r="EF185" s="222"/>
      <c r="EG185" s="222"/>
      <c r="EH185" s="222"/>
    </row>
    <row r="186" spans="1:138">
      <c r="A186" s="222"/>
      <c r="B186" s="318"/>
      <c r="C186" s="313" t="s">
        <v>292</v>
      </c>
      <c r="D186" s="322">
        <f>IRR(E184:BX184)*12</f>
        <v>0.42259732866030397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2"/>
      <c r="AX186" s="222"/>
      <c r="AY186" s="222"/>
      <c r="AZ186" s="222"/>
      <c r="BA186" s="222"/>
      <c r="BB186" s="222"/>
      <c r="BC186" s="222"/>
      <c r="BD186" s="222"/>
      <c r="BE186" s="222"/>
      <c r="BF186" s="222"/>
      <c r="BG186" s="222"/>
      <c r="BH186" s="222"/>
      <c r="BI186" s="222"/>
      <c r="BJ186" s="222"/>
      <c r="BK186" s="222"/>
      <c r="BL186" s="222"/>
      <c r="BM186" s="222"/>
      <c r="BN186" s="222"/>
      <c r="BO186" s="222"/>
      <c r="BP186" s="222"/>
      <c r="BQ186" s="222"/>
      <c r="BR186" s="222"/>
      <c r="BS186" s="222"/>
      <c r="BT186" s="222"/>
      <c r="BU186" s="222"/>
      <c r="BV186" s="222"/>
      <c r="BW186" s="222"/>
      <c r="BX186" s="222"/>
      <c r="BY186" s="222"/>
      <c r="BZ186" s="222"/>
      <c r="CA186" s="222"/>
      <c r="CB186" s="222"/>
      <c r="CC186" s="222"/>
      <c r="CD186" s="222"/>
      <c r="CE186" s="222"/>
      <c r="CF186" s="222"/>
      <c r="CG186" s="222"/>
      <c r="CH186" s="222"/>
      <c r="CI186" s="222"/>
      <c r="CJ186" s="222"/>
      <c r="CK186" s="222"/>
      <c r="CL186" s="222"/>
      <c r="CM186" s="222"/>
      <c r="CN186" s="222"/>
      <c r="CO186" s="222"/>
      <c r="CP186" s="222"/>
      <c r="CQ186" s="222"/>
      <c r="CR186" s="222"/>
      <c r="CS186" s="222"/>
      <c r="CT186" s="222"/>
      <c r="CU186" s="222"/>
      <c r="CV186" s="222"/>
      <c r="CW186" s="222"/>
      <c r="CX186" s="222"/>
      <c r="CY186" s="222"/>
      <c r="CZ186" s="222"/>
      <c r="DA186" s="222"/>
      <c r="DB186" s="222"/>
      <c r="DC186" s="222"/>
      <c r="DD186" s="222"/>
      <c r="DE186" s="222"/>
      <c r="DF186" s="222"/>
      <c r="DG186" s="222"/>
      <c r="DH186" s="222"/>
      <c r="DI186" s="222"/>
      <c r="DJ186" s="222"/>
      <c r="DK186" s="222"/>
      <c r="DL186" s="222"/>
      <c r="DM186" s="222"/>
      <c r="DN186" s="222"/>
      <c r="DO186" s="222"/>
      <c r="DP186" s="222"/>
      <c r="DQ186" s="222"/>
      <c r="DR186" s="222"/>
      <c r="DS186" s="222"/>
      <c r="DT186" s="222"/>
      <c r="DU186" s="222"/>
      <c r="DV186" s="222"/>
      <c r="DW186" s="222"/>
      <c r="DX186" s="222"/>
      <c r="DY186" s="222"/>
      <c r="DZ186" s="222"/>
      <c r="EA186" s="222"/>
      <c r="EB186" s="222"/>
      <c r="EC186" s="222"/>
      <c r="ED186" s="222"/>
      <c r="EE186" s="222"/>
      <c r="EF186" s="222"/>
      <c r="EG186" s="222"/>
      <c r="EH186" s="222"/>
    </row>
    <row r="187" spans="1:138">
      <c r="A187" s="222"/>
      <c r="B187" s="318"/>
      <c r="C187" s="323" t="s">
        <v>300</v>
      </c>
      <c r="D187" s="324">
        <f>-MIN(M185:BL185)-D188</f>
        <v>5341205.5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2"/>
      <c r="AX187" s="222"/>
      <c r="AY187" s="222"/>
      <c r="AZ187" s="222"/>
      <c r="BA187" s="222"/>
      <c r="BB187" s="222"/>
      <c r="BC187" s="222"/>
      <c r="BD187" s="222"/>
      <c r="BE187" s="222"/>
      <c r="BF187" s="222"/>
      <c r="BG187" s="222"/>
      <c r="BH187" s="222"/>
      <c r="BI187" s="222"/>
      <c r="BJ187" s="222"/>
      <c r="BK187" s="222"/>
      <c r="BL187" s="222"/>
      <c r="BM187" s="222"/>
      <c r="BN187" s="222"/>
      <c r="BO187" s="222"/>
      <c r="BP187" s="222"/>
      <c r="BQ187" s="222"/>
      <c r="BR187" s="222"/>
      <c r="BS187" s="222"/>
      <c r="BT187" s="222"/>
      <c r="BU187" s="222"/>
      <c r="BV187" s="222"/>
      <c r="BW187" s="222"/>
      <c r="BX187" s="222"/>
      <c r="BY187" s="222"/>
      <c r="BZ187" s="222"/>
      <c r="CA187" s="222"/>
      <c r="CB187" s="222"/>
      <c r="CC187" s="222"/>
      <c r="CD187" s="222"/>
      <c r="CE187" s="222"/>
      <c r="CF187" s="222"/>
      <c r="CG187" s="222"/>
      <c r="CH187" s="222"/>
      <c r="CI187" s="222"/>
      <c r="CJ187" s="222"/>
      <c r="CK187" s="222"/>
      <c r="CL187" s="222"/>
      <c r="CM187" s="222"/>
      <c r="CN187" s="222"/>
      <c r="CO187" s="222"/>
      <c r="CP187" s="222"/>
      <c r="CQ187" s="222"/>
      <c r="CR187" s="222"/>
      <c r="CS187" s="222"/>
      <c r="CT187" s="222"/>
      <c r="CU187" s="222"/>
      <c r="CV187" s="222"/>
      <c r="CW187" s="222"/>
      <c r="CX187" s="222"/>
      <c r="CY187" s="222"/>
      <c r="CZ187" s="222"/>
      <c r="DA187" s="222"/>
      <c r="DB187" s="222"/>
      <c r="DC187" s="222"/>
      <c r="DD187" s="222"/>
      <c r="DE187" s="222"/>
      <c r="DF187" s="222"/>
      <c r="DG187" s="222"/>
      <c r="DH187" s="222"/>
      <c r="DI187" s="222"/>
      <c r="DJ187" s="222"/>
      <c r="DK187" s="222"/>
      <c r="DL187" s="222"/>
      <c r="DM187" s="222"/>
      <c r="DN187" s="222"/>
      <c r="DO187" s="222"/>
      <c r="DP187" s="222"/>
      <c r="DQ187" s="222"/>
      <c r="DR187" s="222"/>
      <c r="DS187" s="222"/>
      <c r="DT187" s="222"/>
      <c r="DU187" s="222"/>
      <c r="DV187" s="222"/>
      <c r="DW187" s="222"/>
      <c r="DX187" s="222"/>
      <c r="DY187" s="222"/>
      <c r="DZ187" s="222"/>
      <c r="EA187" s="222"/>
      <c r="EB187" s="222"/>
      <c r="EC187" s="222"/>
      <c r="ED187" s="222"/>
      <c r="EE187" s="222"/>
      <c r="EF187" s="222"/>
      <c r="EG187" s="222"/>
      <c r="EH187" s="222"/>
    </row>
    <row r="188" spans="1:138">
      <c r="A188" s="222"/>
      <c r="B188" s="318"/>
      <c r="C188" s="323" t="s">
        <v>301</v>
      </c>
      <c r="D188" s="324">
        <f>-SUM(M183:BB183)</f>
        <v>0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2"/>
      <c r="BN188" s="222"/>
      <c r="BO188" s="222"/>
      <c r="BP188" s="222"/>
      <c r="BQ188" s="222"/>
      <c r="BR188" s="222"/>
      <c r="BS188" s="222"/>
      <c r="BT188" s="222"/>
      <c r="BU188" s="222"/>
      <c r="BV188" s="222"/>
      <c r="BW188" s="222"/>
      <c r="BX188" s="222"/>
      <c r="BY188" s="222"/>
      <c r="BZ188" s="222"/>
      <c r="CA188" s="222"/>
      <c r="CB188" s="222"/>
      <c r="CC188" s="222"/>
      <c r="CD188" s="222"/>
      <c r="CE188" s="222"/>
      <c r="CF188" s="222"/>
      <c r="CG188" s="222"/>
      <c r="CH188" s="222"/>
      <c r="CI188" s="222"/>
      <c r="CJ188" s="222"/>
      <c r="CK188" s="222"/>
      <c r="CL188" s="222"/>
      <c r="CM188" s="222"/>
      <c r="CN188" s="222"/>
      <c r="CO188" s="222"/>
      <c r="CP188" s="222"/>
      <c r="CQ188" s="222"/>
      <c r="CR188" s="222"/>
      <c r="CS188" s="222"/>
      <c r="CT188" s="222"/>
      <c r="CU188" s="222"/>
      <c r="CV188" s="222"/>
      <c r="CW188" s="222"/>
      <c r="CX188" s="222"/>
      <c r="CY188" s="222"/>
      <c r="CZ188" s="222"/>
      <c r="DA188" s="222"/>
      <c r="DB188" s="222"/>
      <c r="DC188" s="222"/>
      <c r="DD188" s="222"/>
      <c r="DE188" s="222"/>
      <c r="DF188" s="222"/>
      <c r="DG188" s="222"/>
      <c r="DH188" s="222"/>
      <c r="DI188" s="222"/>
      <c r="DJ188" s="222"/>
      <c r="DK188" s="222"/>
      <c r="DL188" s="222"/>
      <c r="DM188" s="222"/>
      <c r="DN188" s="222"/>
      <c r="DO188" s="222"/>
      <c r="DP188" s="222"/>
      <c r="DQ188" s="222"/>
      <c r="DR188" s="222"/>
      <c r="DS188" s="222"/>
      <c r="DT188" s="222"/>
      <c r="DU188" s="222"/>
      <c r="DV188" s="222"/>
      <c r="DW188" s="222"/>
      <c r="DX188" s="222"/>
      <c r="DY188" s="222"/>
      <c r="DZ188" s="222"/>
      <c r="EA188" s="222"/>
      <c r="EB188" s="222"/>
      <c r="EC188" s="222"/>
      <c r="ED188" s="222"/>
      <c r="EE188" s="222"/>
      <c r="EF188" s="222"/>
      <c r="EG188" s="222"/>
      <c r="EH188" s="222"/>
    </row>
    <row r="189" spans="1:138">
      <c r="A189" s="222"/>
      <c r="B189" s="318"/>
      <c r="C189" s="313" t="s">
        <v>302</v>
      </c>
      <c r="D189" s="326">
        <f>D188+D187</f>
        <v>5341205.5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2"/>
      <c r="BN189" s="222"/>
      <c r="BO189" s="222"/>
      <c r="BP189" s="222"/>
      <c r="BQ189" s="222"/>
      <c r="BR189" s="222"/>
      <c r="BS189" s="222"/>
      <c r="BT189" s="222"/>
      <c r="BU189" s="222"/>
      <c r="BV189" s="222"/>
      <c r="BW189" s="222"/>
      <c r="BX189" s="222"/>
      <c r="BY189" s="222"/>
      <c r="BZ189" s="222"/>
      <c r="CA189" s="222"/>
      <c r="CB189" s="222"/>
      <c r="CC189" s="222"/>
      <c r="CD189" s="222"/>
      <c r="CE189" s="222"/>
      <c r="CF189" s="222"/>
      <c r="CG189" s="222"/>
      <c r="CH189" s="222"/>
      <c r="CI189" s="222"/>
      <c r="CJ189" s="222"/>
      <c r="CK189" s="222"/>
      <c r="CL189" s="222"/>
      <c r="CM189" s="222"/>
      <c r="CN189" s="222"/>
      <c r="CO189" s="222"/>
      <c r="CP189" s="222"/>
      <c r="CQ189" s="222"/>
      <c r="CR189" s="222"/>
      <c r="CS189" s="222"/>
      <c r="CT189" s="222"/>
      <c r="CU189" s="222"/>
      <c r="CV189" s="222"/>
      <c r="CW189" s="222"/>
      <c r="CX189" s="222"/>
      <c r="CY189" s="222"/>
      <c r="CZ189" s="222"/>
      <c r="DA189" s="222"/>
      <c r="DB189" s="222"/>
      <c r="DC189" s="222"/>
      <c r="DD189" s="222"/>
      <c r="DE189" s="222"/>
      <c r="DF189" s="222"/>
      <c r="DG189" s="222"/>
      <c r="DH189" s="222"/>
      <c r="DI189" s="222"/>
      <c r="DJ189" s="222"/>
      <c r="DK189" s="222"/>
      <c r="DL189" s="222"/>
      <c r="DM189" s="222"/>
      <c r="DN189" s="222"/>
      <c r="DO189" s="222"/>
      <c r="DP189" s="222"/>
      <c r="DQ189" s="222"/>
      <c r="DR189" s="222"/>
      <c r="DS189" s="222"/>
      <c r="DT189" s="222"/>
      <c r="DU189" s="222"/>
      <c r="DV189" s="222"/>
      <c r="DW189" s="325"/>
      <c r="DX189" s="325"/>
      <c r="DY189" s="325"/>
      <c r="DZ189" s="325"/>
      <c r="EA189" s="325"/>
      <c r="EB189" s="325"/>
      <c r="EC189" s="325"/>
      <c r="ED189" s="325"/>
      <c r="EE189" s="325"/>
      <c r="EF189" s="325"/>
      <c r="EG189" s="325"/>
      <c r="EH189" s="325"/>
    </row>
    <row r="190" spans="1:138">
      <c r="A190" s="222"/>
      <c r="B190" s="318"/>
      <c r="C190" s="313" t="s">
        <v>303</v>
      </c>
      <c r="D190" s="326">
        <f>BX181+BX182</f>
        <v>0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2"/>
      <c r="BN190" s="222"/>
      <c r="BO190" s="222"/>
      <c r="BP190" s="222"/>
      <c r="BQ190" s="222"/>
      <c r="BR190" s="222"/>
      <c r="BS190" s="222"/>
      <c r="BT190" s="222"/>
      <c r="BU190" s="222"/>
      <c r="BV190" s="222"/>
      <c r="BW190" s="222"/>
      <c r="BX190" s="222"/>
      <c r="BY190" s="222"/>
      <c r="BZ190" s="222"/>
      <c r="CA190" s="222"/>
      <c r="CB190" s="222"/>
      <c r="CC190" s="222"/>
      <c r="CD190" s="222"/>
      <c r="CE190" s="222"/>
      <c r="CF190" s="222"/>
      <c r="CG190" s="222"/>
      <c r="CH190" s="222"/>
      <c r="CI190" s="222"/>
      <c r="CJ190" s="222"/>
      <c r="CK190" s="222"/>
      <c r="CL190" s="222"/>
      <c r="CM190" s="222"/>
      <c r="CN190" s="222"/>
      <c r="CO190" s="222"/>
      <c r="CP190" s="222"/>
      <c r="CQ190" s="222"/>
      <c r="CR190" s="222"/>
      <c r="CS190" s="222"/>
      <c r="CT190" s="222"/>
      <c r="CU190" s="222"/>
      <c r="CV190" s="222"/>
      <c r="CW190" s="222"/>
      <c r="CX190" s="222"/>
      <c r="CY190" s="222"/>
      <c r="CZ190" s="222"/>
      <c r="DA190" s="222"/>
      <c r="DB190" s="222"/>
      <c r="DC190" s="222"/>
      <c r="DD190" s="222"/>
      <c r="DE190" s="222"/>
      <c r="DF190" s="222"/>
      <c r="DG190" s="222"/>
      <c r="DH190" s="222"/>
      <c r="DI190" s="222"/>
      <c r="DJ190" s="222"/>
      <c r="DK190" s="222"/>
      <c r="DL190" s="222"/>
      <c r="DM190" s="222"/>
      <c r="DN190" s="222"/>
      <c r="DO190" s="222"/>
      <c r="DP190" s="222"/>
      <c r="DQ190" s="222"/>
      <c r="DR190" s="222"/>
      <c r="DS190" s="222"/>
      <c r="DT190" s="222"/>
      <c r="DU190" s="222"/>
      <c r="DV190" s="222"/>
      <c r="DW190" s="325"/>
      <c r="DX190" s="325"/>
      <c r="DY190" s="325"/>
      <c r="DZ190" s="325"/>
      <c r="EA190" s="325"/>
      <c r="EB190" s="325"/>
      <c r="EC190" s="325"/>
      <c r="ED190" s="325"/>
      <c r="EE190" s="325"/>
      <c r="EF190" s="325"/>
      <c r="EG190" s="325"/>
      <c r="EH190" s="325"/>
    </row>
    <row r="191" spans="1:138">
      <c r="A191" s="222"/>
      <c r="B191" s="318"/>
      <c r="C191" s="313" t="s">
        <v>147</v>
      </c>
      <c r="D191" s="322">
        <f>T182/T179</f>
        <v>0.51486504310684167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2"/>
      <c r="BN191" s="222"/>
      <c r="BO191" s="222"/>
      <c r="BP191" s="222"/>
      <c r="BQ191" s="222"/>
      <c r="BR191" s="222"/>
      <c r="BS191" s="222"/>
      <c r="BT191" s="222"/>
      <c r="BU191" s="222"/>
      <c r="BV191" s="222"/>
      <c r="BW191" s="222"/>
      <c r="BX191" s="222"/>
      <c r="BY191" s="222"/>
      <c r="BZ191" s="222"/>
      <c r="CA191" s="222"/>
      <c r="CB191" s="222"/>
      <c r="CC191" s="222"/>
      <c r="CD191" s="222"/>
      <c r="CE191" s="222"/>
      <c r="CF191" s="222"/>
      <c r="CG191" s="222"/>
      <c r="CH191" s="222"/>
      <c r="CI191" s="222"/>
      <c r="CJ191" s="222"/>
      <c r="CK191" s="222"/>
      <c r="CL191" s="222"/>
      <c r="CM191" s="222"/>
      <c r="CN191" s="222"/>
      <c r="CO191" s="222"/>
      <c r="CP191" s="222"/>
      <c r="CQ191" s="222"/>
      <c r="CR191" s="222"/>
      <c r="CS191" s="222"/>
      <c r="CT191" s="222"/>
      <c r="CU191" s="222"/>
      <c r="CV191" s="222"/>
      <c r="CW191" s="222"/>
      <c r="CX191" s="222"/>
      <c r="CY191" s="222"/>
      <c r="CZ191" s="222"/>
      <c r="DA191" s="222"/>
      <c r="DB191" s="222"/>
      <c r="DC191" s="222"/>
      <c r="DD191" s="222"/>
      <c r="DE191" s="222"/>
      <c r="DF191" s="222"/>
      <c r="DG191" s="222"/>
      <c r="DH191" s="222"/>
      <c r="DI191" s="222"/>
      <c r="DJ191" s="222"/>
      <c r="DK191" s="222"/>
      <c r="DL191" s="222"/>
      <c r="DM191" s="222"/>
      <c r="DN191" s="222"/>
      <c r="DO191" s="222"/>
      <c r="DP191" s="222"/>
      <c r="DQ191" s="222"/>
      <c r="DR191" s="222"/>
      <c r="DS191" s="222"/>
      <c r="DT191" s="222"/>
      <c r="DU191" s="222"/>
      <c r="DV191" s="222"/>
      <c r="DW191" s="325"/>
      <c r="DX191" s="325"/>
      <c r="DY191" s="325"/>
      <c r="DZ191" s="325"/>
      <c r="EA191" s="325"/>
      <c r="EB191" s="325"/>
      <c r="EC191" s="325"/>
      <c r="ED191" s="325"/>
      <c r="EE191" s="325"/>
      <c r="EF191" s="325"/>
      <c r="EG191" s="325"/>
      <c r="EH191" s="325"/>
    </row>
    <row r="192" spans="1:138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2"/>
      <c r="BN192" s="222"/>
      <c r="BO192" s="222"/>
      <c r="BP192" s="222"/>
      <c r="BQ192" s="222"/>
      <c r="BR192" s="222"/>
      <c r="BS192" s="222"/>
      <c r="BT192" s="222"/>
      <c r="BU192" s="222"/>
      <c r="BV192" s="222"/>
      <c r="BW192" s="222"/>
      <c r="BX192" s="222"/>
      <c r="BY192" s="222"/>
      <c r="BZ192" s="238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325"/>
      <c r="DX192" s="325"/>
      <c r="DY192" s="325"/>
      <c r="DZ192" s="325"/>
      <c r="EA192" s="325"/>
      <c r="EB192" s="325"/>
      <c r="EC192" s="325"/>
      <c r="ED192" s="325"/>
      <c r="EE192" s="325"/>
      <c r="EF192" s="325"/>
      <c r="EG192" s="325"/>
      <c r="EH192" s="325"/>
    </row>
    <row r="198" spans="19:23">
      <c r="S198" s="329">
        <v>700000</v>
      </c>
      <c r="T198" s="330">
        <v>1000000</v>
      </c>
      <c r="U198" s="329">
        <v>5300000</v>
      </c>
      <c r="V198" s="329">
        <v>4750000</v>
      </c>
      <c r="W198" s="329">
        <v>1250000</v>
      </c>
    </row>
    <row r="200" spans="19:23" ht="14.1">
      <c r="S200" s="25">
        <f t="shared" ref="S200:W200" si="72">S198*0.8</f>
        <v>560000</v>
      </c>
      <c r="T200" s="25">
        <f t="shared" si="72"/>
        <v>800000</v>
      </c>
      <c r="U200" s="25">
        <f t="shared" si="72"/>
        <v>4240000</v>
      </c>
      <c r="V200" s="25">
        <f t="shared" si="72"/>
        <v>3800000</v>
      </c>
      <c r="W200" s="25">
        <f t="shared" si="72"/>
        <v>1000000</v>
      </c>
    </row>
  </sheetData>
  <mergeCells count="34">
    <mergeCell ref="S124:T124"/>
    <mergeCell ref="B2:C4"/>
    <mergeCell ref="B5:B8"/>
    <mergeCell ref="B9:B11"/>
    <mergeCell ref="B12:B15"/>
    <mergeCell ref="B16:C16"/>
    <mergeCell ref="B17:B97"/>
    <mergeCell ref="B98:C98"/>
    <mergeCell ref="B100:C100"/>
    <mergeCell ref="B101:C101"/>
    <mergeCell ref="D106:E106"/>
    <mergeCell ref="D109:BW109"/>
    <mergeCell ref="S123:T123"/>
    <mergeCell ref="BM2:BX2"/>
    <mergeCell ref="E2:P2"/>
    <mergeCell ref="Q2:AB2"/>
    <mergeCell ref="BY90:BZ90"/>
    <mergeCell ref="BZ91:BZ97"/>
    <mergeCell ref="BY98:BZ98"/>
    <mergeCell ref="BY100:BZ100"/>
    <mergeCell ref="BZ5:BZ8"/>
    <mergeCell ref="BZ9:BZ11"/>
    <mergeCell ref="BY16:BZ16"/>
    <mergeCell ref="BZ17:BZ89"/>
    <mergeCell ref="CC17:CC89"/>
    <mergeCell ref="CC5:CC8"/>
    <mergeCell ref="CC9:CC11"/>
    <mergeCell ref="CC12:CC15"/>
    <mergeCell ref="CB16:CC16"/>
    <mergeCell ref="AC2:AN2"/>
    <mergeCell ref="AO2:AZ2"/>
    <mergeCell ref="BA2:BL2"/>
    <mergeCell ref="BY2:BZ4"/>
    <mergeCell ref="BZ12:BZ15"/>
  </mergeCells>
  <conditionalFormatting sqref="E17:BX17 E23:BX23 E26:BX26 E34:BX34 E37:BX37 E49:BX49 E55:BX55 E63:BX63 E87:BX87 E90:BX90">
    <cfRule type="cellIs" dxfId="15" priority="1" operator="equal">
      <formula>0</formula>
    </cfRule>
  </conditionalFormatting>
  <conditionalFormatting sqref="F114:BS117 E115 BT115:BX115 E117 BT117:BX117 E131 F131:BX134 E133 E149:BX149 E163 M163:BX163 F163:L166 E165 M165:BX165 M179:T179 H179:L182 E181:G181 M181:BX181">
    <cfRule type="cellIs" dxfId="14" priority="2" operator="equal">
      <formula>0</formula>
    </cfRule>
  </conditionalFormatting>
  <dataValidations count="1">
    <dataValidation type="list" allowBlank="1" showErrorMessage="1" sqref="CB4" xr:uid="{00000000-0002-0000-0F00-000000000000}">
      <formula1>$D$3:$BX$3</formula1>
    </dataValidation>
  </dataValidations>
  <pageMargins left="0" right="0" top="0" bottom="0" header="0" footer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EH200"/>
  <sheetViews>
    <sheetView workbookViewId="0">
      <pane xSplit="3" ySplit="4" topLeftCell="D5" activePane="bottomRight" state="frozen"/>
      <selection pane="bottomRight" activeCell="D5" sqref="D5"/>
      <selection pane="bottomLeft" activeCell="A5" sqref="A5"/>
      <selection pane="topRight" activeCell="D1" sqref="D1"/>
    </sheetView>
  </sheetViews>
  <sheetFormatPr defaultColWidth="12.625" defaultRowHeight="15" customHeight="1" outlineLevelRow="2" outlineLevelCol="2"/>
  <cols>
    <col min="1" max="1" width="2.375" customWidth="1"/>
    <col min="3" max="3" width="40.125" customWidth="1"/>
    <col min="4" max="4" width="12.625" outlineLevel="1"/>
    <col min="5" max="5" width="10.875" customWidth="1" outlineLevel="1"/>
    <col min="6" max="16" width="10.875" customWidth="1" outlineLevel="2"/>
    <col min="17" max="17" width="10.875" customWidth="1" outlineLevel="1"/>
    <col min="18" max="20" width="10.875" customWidth="1" outlineLevel="2"/>
    <col min="21" max="21" width="9.125" customWidth="1" outlineLevel="2"/>
    <col min="22" max="28" width="12.625" customWidth="1" outlineLevel="2"/>
    <col min="29" max="29" width="9.875" customWidth="1" outlineLevel="1" collapsed="1"/>
    <col min="30" max="40" width="6.5" hidden="1" customWidth="1" outlineLevel="2"/>
    <col min="41" max="41" width="6.5" customWidth="1" outlineLevel="1" collapsed="1"/>
    <col min="42" max="52" width="6.5" hidden="1" customWidth="1" outlineLevel="2"/>
    <col min="53" max="53" width="6.5" customWidth="1" outlineLevel="1" collapsed="1"/>
    <col min="54" max="64" width="6.5" hidden="1" customWidth="1" outlineLevel="2"/>
    <col min="65" max="65" width="6.5" customWidth="1" outlineLevel="1" collapsed="1"/>
    <col min="66" max="76" width="6.5" hidden="1" customWidth="1" outlineLevel="2"/>
    <col min="79" max="79" width="12.625" collapsed="1"/>
    <col min="80" max="82" width="12.625" hidden="1" outlineLevel="1"/>
  </cols>
  <sheetData>
    <row r="1" spans="1:138">
      <c r="A1" s="222"/>
      <c r="B1" s="357" t="s">
        <v>199</v>
      </c>
      <c r="C1" s="358">
        <v>45625</v>
      </c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</row>
    <row r="2" spans="1:138">
      <c r="A2" s="505"/>
      <c r="B2" s="567" t="s">
        <v>200</v>
      </c>
      <c r="C2" s="597"/>
      <c r="D2" s="505"/>
      <c r="E2" s="559">
        <v>45292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9"/>
      <c r="Q2" s="558">
        <v>2025</v>
      </c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9"/>
      <c r="AC2" s="558">
        <v>2026</v>
      </c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9"/>
      <c r="AO2" s="559">
        <v>46388</v>
      </c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9"/>
      <c r="BA2" s="559">
        <v>46753</v>
      </c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9"/>
      <c r="BM2" s="559">
        <v>47119</v>
      </c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9"/>
      <c r="BY2" s="560" t="s">
        <v>201</v>
      </c>
      <c r="BZ2" s="597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</row>
    <row r="3" spans="1:138">
      <c r="A3" s="505"/>
      <c r="B3" s="588"/>
      <c r="C3" s="597"/>
      <c r="D3" s="505"/>
      <c r="E3" s="226" t="str">
        <f>IFERROR(VLOOKUP(TEXT(E4,"mm.yyyy"),HMG!$B$2:$C$1001, 2, FALSE),"")</f>
        <v>zapis KS</v>
      </c>
      <c r="F3" s="226" t="str">
        <f>IFERROR(VLOOKUP(TEXT(F4,"mm.yyyy"),HMG!$B$2:$C$1001, 2, FALSE),"")</f>
        <v/>
      </c>
      <c r="G3" s="226" t="str">
        <f>IFERROR(VLOOKUP(TEXT(G4,"mm.yyyy"),HMG!$B$2:$C$1001, 2, FALSE),"")</f>
        <v/>
      </c>
      <c r="H3" s="226" t="str">
        <f>IFERROR(VLOOKUP(TEXT(H4,"mm.yyyy"),HMG!$B$2:$C$1001, 2, FALSE),"")</f>
        <v/>
      </c>
      <c r="I3" s="226" t="str">
        <f>IFERROR(VLOOKUP(TEXT(I4,"mm.yyyy"),HMG!$B$2:$C$1001, 2, FALSE),"")</f>
        <v/>
      </c>
      <c r="J3" s="226" t="str">
        <f>IFERROR(VLOOKUP(TEXT(J4,"mm.yyyy"),HMG!$B$2:$C$1001, 2, FALSE),"")</f>
        <v/>
      </c>
      <c r="K3" s="226" t="str">
        <f>IFERROR(VLOOKUP(TEXT(K4,"mm.yyyy"),HMG!$B$2:$C$1001, 2, FALSE),"")</f>
        <v/>
      </c>
      <c r="L3" s="226" t="str">
        <f>IFERROR(VLOOKUP(TEXT(L4,"mm.yyyy"),HMG!$B$2:$C$1001, 2, FALSE),"")</f>
        <v/>
      </c>
      <c r="M3" s="226" t="str">
        <f>IFERROR(VLOOKUP(TEXT(M4,"mm.yyyy"),HMG!$B$2:$C$1001, 2, FALSE),"")</f>
        <v/>
      </c>
      <c r="N3" s="226" t="str">
        <f>IFERROR(VLOOKUP(TEXT(N4,"mm.yyyy"),HMG!$B$2:$C$1001, 2, FALSE),"")</f>
        <v/>
      </c>
      <c r="O3" s="226" t="str">
        <f>IFERROR(VLOOKUP(TEXT(O4,"mm.yyyy"),HMG!$B$2:$C$1001, 2, FALSE),"")</f>
        <v/>
      </c>
      <c r="P3" s="226" t="str">
        <f>IFERROR(VLOOKUP(TEXT(P4,"mm.yyyy"),HMG!$B$2:$C$1001, 2, FALSE),"")</f>
        <v/>
      </c>
      <c r="Q3" s="226" t="str">
        <f>IFERROR(VLOOKUP(TEXT(Q4,"mm.yyyy"),HMG!$B$2:$C$1001, 2, FALSE),"")</f>
        <v>zapis KS</v>
      </c>
      <c r="R3" s="226" t="str">
        <f>IFERROR(VLOOKUP(TEXT(R4,"mm.yyyy"),HMG!$B$2:$C$1001, 2, FALSE),"")</f>
        <v/>
      </c>
      <c r="S3" s="226" t="str">
        <f>IFERROR(VLOOKUP(TEXT(S4,"mm.yyyy"),HMG!$B$2:$C$1001, 2, FALSE),"")</f>
        <v/>
      </c>
      <c r="T3" s="226" t="str">
        <f>IFERROR(VLOOKUP(TEXT(T4,"mm.yyyy"),HMG!$B$2:$C$1001, 2, FALSE),"")</f>
        <v/>
      </c>
      <c r="U3" s="226" t="str">
        <f>IFERROR(VLOOKUP(TEXT(U4,"mm.yyyy"),HMG!$B$2:$C$1001, 2, FALSE),"")</f>
        <v/>
      </c>
      <c r="V3" s="226" t="str">
        <f>IFERROR(VLOOKUP(TEXT(V4,"mm.yyyy"),HMG!$B$2:$C$1001, 2, FALSE),"")</f>
        <v/>
      </c>
      <c r="W3" s="226" t="str">
        <f>IFERROR(VLOOKUP(TEXT(W4,"mm.yyyy"),HMG!$B$2:$C$1001, 2, FALSE),"")</f>
        <v/>
      </c>
      <c r="X3" s="226" t="str">
        <f>IFERROR(VLOOKUP(TEXT(X4,"mm.yyyy"),HMG!$B$2:$C$1001, 2, FALSE),"")</f>
        <v/>
      </c>
      <c r="Y3" s="226" t="str">
        <f>IFERROR(VLOOKUP(TEXT(Y4,"mm.yyyy"),HMG!$B$2:$C$1001, 2, FALSE),"")</f>
        <v/>
      </c>
      <c r="Z3" s="226" t="str">
        <f>IFERROR(VLOOKUP(TEXT(Z4,"mm.yyyy"),HMG!$B$2:$C$1001, 2, FALSE),"")</f>
        <v/>
      </c>
      <c r="AA3" s="226" t="str">
        <f>IFERROR(VLOOKUP(TEXT(AA4,"mm.yyyy"),HMG!$B$2:$C$1001, 2, FALSE),"")</f>
        <v/>
      </c>
      <c r="AB3" s="226" t="str">
        <f>IFERROR(VLOOKUP(TEXT(AB4,"mm.yyyy"),HMG!$B$2:$C$1001, 2, FALSE),"")</f>
        <v/>
      </c>
      <c r="AC3" s="226" t="str">
        <f>IFERROR(VLOOKUP(TEXT(AC4,"mm.yyyy"),HMG!$B$2:$C$1001, 2, FALSE),"")</f>
        <v>zapis KS</v>
      </c>
      <c r="AD3" s="226" t="str">
        <f>IFERROR(VLOOKUP(TEXT(AD4,"mm.yyyy"),HMG!$B$2:$C$1001, 2, FALSE),"")</f>
        <v/>
      </c>
      <c r="AE3" s="226" t="str">
        <f>IFERROR(VLOOKUP(TEXT(AE4,"mm.yyyy"),HMG!$B$2:$C$1001, 2, FALSE),"")</f>
        <v/>
      </c>
      <c r="AF3" s="226" t="str">
        <f>IFERROR(VLOOKUP(TEXT(AF4,"mm.yyyy"),HMG!$B$2:$C$1001, 2, FALSE),"")</f>
        <v/>
      </c>
      <c r="AG3" s="226" t="str">
        <f>IFERROR(VLOOKUP(TEXT(AG4,"mm.yyyy"),HMG!$B$2:$C$1001, 2, FALSE),"")</f>
        <v/>
      </c>
      <c r="AH3" s="226" t="str">
        <f>IFERROR(VLOOKUP(TEXT(AH4,"mm.yyyy"),HMG!$B$2:$C$1001, 2, FALSE),"")</f>
        <v/>
      </c>
      <c r="AI3" s="226" t="str">
        <f>IFERROR(VLOOKUP(TEXT(AI4,"mm.yyyy"),HMG!$B$2:$C$1001, 2, FALSE),"")</f>
        <v/>
      </c>
      <c r="AJ3" s="226" t="str">
        <f>IFERROR(VLOOKUP(TEXT(AJ4,"mm.yyyy"),HMG!$B$2:$C$1001, 2, FALSE),"")</f>
        <v/>
      </c>
      <c r="AK3" s="226" t="str">
        <f>IFERROR(VLOOKUP(TEXT(AK4,"mm.yyyy"),HMG!$B$2:$C$1001, 2, FALSE),"")</f>
        <v/>
      </c>
      <c r="AL3" s="226" t="str">
        <f>IFERROR(VLOOKUP(TEXT(AL4,"mm.yyyy"),HMG!$B$2:$C$1001, 2, FALSE),"")</f>
        <v/>
      </c>
      <c r="AM3" s="226" t="str">
        <f>IFERROR(VLOOKUP(TEXT(AM4,"mm.yyyy"),HMG!$B$2:$C$1001, 2, FALSE),"")</f>
        <v/>
      </c>
      <c r="AN3" s="226" t="str">
        <f>IFERROR(VLOOKUP(TEXT(AN4,"mm.yyyy"),HMG!$B$2:$C$1001, 2, FALSE),"")</f>
        <v/>
      </c>
      <c r="AO3" s="226" t="str">
        <f>IFERROR(VLOOKUP(TEXT(AO4,"mm.yyyy"),HMG!$B$2:$C$1001, 2, FALSE),"")</f>
        <v>zapis KS</v>
      </c>
      <c r="AP3" s="226" t="str">
        <f>IFERROR(VLOOKUP(TEXT(AP4,"mm.yyyy"),HMG!$B$2:$C$1001, 2, FALSE),"")</f>
        <v/>
      </c>
      <c r="AQ3" s="226" t="str">
        <f>IFERROR(VLOOKUP(TEXT(AQ4,"mm.yyyy"),HMG!$B$2:$C$1001, 2, FALSE),"")</f>
        <v/>
      </c>
      <c r="AR3" s="226" t="str">
        <f>IFERROR(VLOOKUP(TEXT(AR4,"mm.yyyy"),HMG!$B$2:$C$1001, 2, FALSE),"")</f>
        <v/>
      </c>
      <c r="AS3" s="226" t="str">
        <f>IFERROR(VLOOKUP(TEXT(AS4,"mm.yyyy"),HMG!$B$2:$C$1001, 2, FALSE),"")</f>
        <v/>
      </c>
      <c r="AT3" s="226" t="str">
        <f>IFERROR(VLOOKUP(TEXT(AT4,"mm.yyyy"),HMG!$B$2:$C$1001, 2, FALSE),"")</f>
        <v/>
      </c>
      <c r="AU3" s="226" t="str">
        <f>IFERROR(VLOOKUP(TEXT(AU4,"mm.yyyy"),HMG!$B$2:$C$1001, 2, FALSE),"")</f>
        <v/>
      </c>
      <c r="AV3" s="226" t="str">
        <f>IFERROR(VLOOKUP(TEXT(AV4,"mm.yyyy"),HMG!$B$2:$C$1001, 2, FALSE),"")</f>
        <v/>
      </c>
      <c r="AW3" s="226" t="str">
        <f>IFERROR(VLOOKUP(TEXT(AW4,"mm.yyyy"),HMG!$B$2:$C$1001, 2, FALSE),"")</f>
        <v/>
      </c>
      <c r="AX3" s="226" t="str">
        <f>IFERROR(VLOOKUP(TEXT(AX4,"mm.yyyy"),HMG!$B$2:$C$1001, 2, FALSE),"")</f>
        <v/>
      </c>
      <c r="AY3" s="226" t="str">
        <f>IFERROR(VLOOKUP(TEXT(AY4,"mm.yyyy"),HMG!$B$2:$C$1001, 2, FALSE),"")</f>
        <v/>
      </c>
      <c r="AZ3" s="226" t="str">
        <f>IFERROR(VLOOKUP(TEXT(AZ4,"mm.yyyy"),HMG!$B$2:$C$1001, 2, FALSE),"")</f>
        <v/>
      </c>
      <c r="BA3" s="226" t="str">
        <f>IFERROR(VLOOKUP(TEXT(BA4,"mm.yyyy"),HMG!$B$2:$C$1001, 2, FALSE),"")</f>
        <v>zapis KS</v>
      </c>
      <c r="BB3" s="226" t="str">
        <f>IFERROR(VLOOKUP(TEXT(BB4,"mm.yyyy"),HMG!$B$2:$C$1001, 2, FALSE),"")</f>
        <v/>
      </c>
      <c r="BC3" s="226" t="str">
        <f>IFERROR(VLOOKUP(TEXT(BC4,"mm.yyyy"),HMG!$B$2:$C$1001, 2, FALSE),"")</f>
        <v/>
      </c>
      <c r="BD3" s="226" t="str">
        <f>IFERROR(VLOOKUP(TEXT(BD4,"mm.yyyy"),HMG!$B$2:$C$1001, 2, FALSE),"")</f>
        <v/>
      </c>
      <c r="BE3" s="226" t="str">
        <f>IFERROR(VLOOKUP(TEXT(BE4,"mm.yyyy"),HMG!$B$2:$C$1001, 2, FALSE),"")</f>
        <v/>
      </c>
      <c r="BF3" s="226" t="str">
        <f>IFERROR(VLOOKUP(TEXT(BF4,"mm.yyyy"),HMG!$B$2:$C$1001, 2, FALSE),"")</f>
        <v/>
      </c>
      <c r="BG3" s="226" t="str">
        <f>IFERROR(VLOOKUP(TEXT(BG4,"mm.yyyy"),HMG!$B$2:$C$1001, 2, FALSE),"")</f>
        <v/>
      </c>
      <c r="BH3" s="226" t="str">
        <f>IFERROR(VLOOKUP(TEXT(BH4,"mm.yyyy"),HMG!$B$2:$C$1001, 2, FALSE),"")</f>
        <v/>
      </c>
      <c r="BI3" s="226" t="str">
        <f>IFERROR(VLOOKUP(TEXT(BI4,"mm.yyyy"),HMG!$B$2:$C$1001, 2, FALSE),"")</f>
        <v/>
      </c>
      <c r="BJ3" s="226" t="str">
        <f>IFERROR(VLOOKUP(TEXT(BJ4,"mm.yyyy"),HMG!$B$2:$C$1001, 2, FALSE),"")</f>
        <v/>
      </c>
      <c r="BK3" s="226" t="str">
        <f>IFERROR(VLOOKUP(TEXT(BK4,"mm.yyyy"),HMG!$B$2:$C$1001, 2, FALSE),"")</f>
        <v/>
      </c>
      <c r="BL3" s="226" t="str">
        <f>IFERROR(VLOOKUP(TEXT(BL4,"mm.yyyy"),HMG!$B$2:$C$1001, 2, FALSE),"")</f>
        <v/>
      </c>
      <c r="BM3" s="226" t="str">
        <f>IFERROR(VLOOKUP(TEXT(BM4,"mm.yyyy"),HMG!$B$2:$C$1001, 2, FALSE),"")</f>
        <v>zapis KS</v>
      </c>
      <c r="BN3" s="226" t="str">
        <f>IFERROR(VLOOKUP(TEXT(BN4,"mm.yyyy"),HMG!$B$2:$C$1001, 2, FALSE),"")</f>
        <v/>
      </c>
      <c r="BO3" s="226" t="str">
        <f>IFERROR(VLOOKUP(TEXT(BO4,"mm.yyyy"),HMG!$B$2:$C$1001, 2, FALSE),"")</f>
        <v/>
      </c>
      <c r="BP3" s="226" t="str">
        <f>IFERROR(VLOOKUP(TEXT(BP4,"mm.yyyy"),HMG!$B$2:$C$1001, 2, FALSE),"")</f>
        <v/>
      </c>
      <c r="BQ3" s="226" t="str">
        <f>IFERROR(VLOOKUP(TEXT(BQ4,"mm.yyyy"),HMG!$B$2:$C$1001, 2, FALSE),"")</f>
        <v/>
      </c>
      <c r="BR3" s="226" t="str">
        <f>IFERROR(VLOOKUP(TEXT(BR4,"mm.yyyy"),HMG!$B$2:$C$1001, 2, FALSE),"")</f>
        <v/>
      </c>
      <c r="BS3" s="226" t="str">
        <f>IFERROR(VLOOKUP(TEXT(BS4,"mm.yyyy"),HMG!$B$2:$C$1001, 2, FALSE),"")</f>
        <v/>
      </c>
      <c r="BT3" s="226" t="str">
        <f>IFERROR(VLOOKUP(TEXT(BT4,"mm.yyyy"),HMG!$B$2:$C$1001, 2, FALSE),"")</f>
        <v/>
      </c>
      <c r="BU3" s="226" t="str">
        <f>IFERROR(VLOOKUP(TEXT(BU4,"mm.yyyy"),HMG!$B$2:$C$1001, 2, FALSE),"")</f>
        <v/>
      </c>
      <c r="BV3" s="226" t="str">
        <f>IFERROR(VLOOKUP(TEXT(BV4,"mm.yyyy"),HMG!$B$2:$C$1001, 2, FALSE),"")</f>
        <v/>
      </c>
      <c r="BW3" s="226" t="str">
        <f>IFERROR(VLOOKUP(TEXT(BW4,"mm.yyyy"),HMG!$B$2:$C$1001, 2, FALSE),"")</f>
        <v/>
      </c>
      <c r="BX3" s="226" t="str">
        <f>IFERROR(VLOOKUP(TEXT(BX4,"mm.yyyy"),HMG!$B$2:$C$1001, 2, FALSE),"")</f>
        <v/>
      </c>
      <c r="BY3" s="588"/>
      <c r="BZ3" s="597"/>
      <c r="CA3" s="222"/>
      <c r="CB3" s="222" t="s">
        <v>202</v>
      </c>
      <c r="CC3" s="222" t="s">
        <v>203</v>
      </c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2"/>
      <c r="CV3" s="222"/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</row>
    <row r="4" spans="1:138">
      <c r="A4" s="505"/>
      <c r="B4" s="591"/>
      <c r="C4" s="592"/>
      <c r="D4" s="506"/>
      <c r="E4" s="227">
        <v>45292</v>
      </c>
      <c r="F4" s="227">
        <v>45323</v>
      </c>
      <c r="G4" s="227">
        <v>45352</v>
      </c>
      <c r="H4" s="227">
        <v>45383</v>
      </c>
      <c r="I4" s="227">
        <v>45413</v>
      </c>
      <c r="J4" s="227">
        <v>45444</v>
      </c>
      <c r="K4" s="227">
        <v>45474</v>
      </c>
      <c r="L4" s="227">
        <v>45505</v>
      </c>
      <c r="M4" s="227">
        <v>45536</v>
      </c>
      <c r="N4" s="227">
        <v>45566</v>
      </c>
      <c r="O4" s="359">
        <v>45597</v>
      </c>
      <c r="P4" s="227">
        <v>45627</v>
      </c>
      <c r="Q4" s="227">
        <v>45658</v>
      </c>
      <c r="R4" s="227">
        <v>45689</v>
      </c>
      <c r="S4" s="227">
        <v>45717</v>
      </c>
      <c r="T4" s="227">
        <v>45748</v>
      </c>
      <c r="U4" s="227">
        <v>45778</v>
      </c>
      <c r="V4" s="227">
        <v>45809</v>
      </c>
      <c r="W4" s="227">
        <v>45839</v>
      </c>
      <c r="X4" s="227">
        <v>45870</v>
      </c>
      <c r="Y4" s="227">
        <v>45901</v>
      </c>
      <c r="Z4" s="227">
        <v>45931</v>
      </c>
      <c r="AA4" s="227">
        <v>45962</v>
      </c>
      <c r="AB4" s="227">
        <v>45992</v>
      </c>
      <c r="AC4" s="227">
        <v>46023</v>
      </c>
      <c r="AD4" s="227">
        <v>46054</v>
      </c>
      <c r="AE4" s="227">
        <v>46082</v>
      </c>
      <c r="AF4" s="227">
        <v>46113</v>
      </c>
      <c r="AG4" s="227">
        <v>46143</v>
      </c>
      <c r="AH4" s="227">
        <v>46174</v>
      </c>
      <c r="AI4" s="227">
        <v>46204</v>
      </c>
      <c r="AJ4" s="227">
        <v>46235</v>
      </c>
      <c r="AK4" s="227">
        <v>46266</v>
      </c>
      <c r="AL4" s="227">
        <v>46296</v>
      </c>
      <c r="AM4" s="227">
        <v>46327</v>
      </c>
      <c r="AN4" s="227">
        <v>46357</v>
      </c>
      <c r="AO4" s="227">
        <v>46388</v>
      </c>
      <c r="AP4" s="227">
        <v>46419</v>
      </c>
      <c r="AQ4" s="227">
        <v>46447</v>
      </c>
      <c r="AR4" s="227">
        <v>46478</v>
      </c>
      <c r="AS4" s="227">
        <v>46508</v>
      </c>
      <c r="AT4" s="227">
        <v>46539</v>
      </c>
      <c r="AU4" s="227">
        <v>46569</v>
      </c>
      <c r="AV4" s="227">
        <v>46600</v>
      </c>
      <c r="AW4" s="227">
        <v>46631</v>
      </c>
      <c r="AX4" s="227">
        <v>46661</v>
      </c>
      <c r="AY4" s="227">
        <v>46692</v>
      </c>
      <c r="AZ4" s="227">
        <v>46722</v>
      </c>
      <c r="BA4" s="227">
        <v>46753</v>
      </c>
      <c r="BB4" s="227">
        <v>46784</v>
      </c>
      <c r="BC4" s="227">
        <v>46813</v>
      </c>
      <c r="BD4" s="227">
        <v>46844</v>
      </c>
      <c r="BE4" s="227">
        <v>46874</v>
      </c>
      <c r="BF4" s="227">
        <v>46905</v>
      </c>
      <c r="BG4" s="227">
        <v>46935</v>
      </c>
      <c r="BH4" s="227">
        <v>46966</v>
      </c>
      <c r="BI4" s="227">
        <v>46997</v>
      </c>
      <c r="BJ4" s="227">
        <v>47027</v>
      </c>
      <c r="BK4" s="227">
        <v>47058</v>
      </c>
      <c r="BL4" s="227">
        <v>47088</v>
      </c>
      <c r="BM4" s="227">
        <v>47119</v>
      </c>
      <c r="BN4" s="227">
        <v>47150</v>
      </c>
      <c r="BO4" s="227">
        <v>47178</v>
      </c>
      <c r="BP4" s="227">
        <v>47209</v>
      </c>
      <c r="BQ4" s="227">
        <v>47239</v>
      </c>
      <c r="BR4" s="227">
        <v>47270</v>
      </c>
      <c r="BS4" s="227">
        <v>47300</v>
      </c>
      <c r="BT4" s="227">
        <v>47331</v>
      </c>
      <c r="BU4" s="227">
        <v>47362</v>
      </c>
      <c r="BV4" s="227">
        <v>47392</v>
      </c>
      <c r="BW4" s="227">
        <v>47423</v>
      </c>
      <c r="BX4" s="227">
        <v>47453</v>
      </c>
      <c r="BY4" s="591"/>
      <c r="BZ4" s="592"/>
      <c r="CA4" s="222"/>
      <c r="CB4" s="222" t="s">
        <v>63</v>
      </c>
      <c r="CC4" s="222"/>
      <c r="CD4" s="222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2"/>
      <c r="CV4" s="222"/>
      <c r="CW4" s="222"/>
      <c r="CX4" s="222"/>
      <c r="CY4" s="222"/>
      <c r="CZ4" s="222"/>
      <c r="DA4" s="222"/>
      <c r="DB4" s="222"/>
      <c r="DC4" s="222"/>
      <c r="DD4" s="222"/>
      <c r="DE4" s="222"/>
      <c r="DF4" s="222"/>
      <c r="DG4" s="222"/>
      <c r="DH4" s="222"/>
      <c r="DI4" s="222"/>
      <c r="DJ4" s="222"/>
      <c r="DK4" s="222"/>
      <c r="DL4" s="222"/>
      <c r="DM4" s="222"/>
      <c r="DN4" s="222"/>
      <c r="DO4" s="222"/>
      <c r="DP4" s="222"/>
      <c r="DQ4" s="222"/>
      <c r="DR4" s="222"/>
      <c r="DS4" s="222"/>
      <c r="DT4" s="222"/>
      <c r="DU4" s="222"/>
      <c r="DV4" s="222"/>
      <c r="DW4" s="222"/>
      <c r="DX4" s="222"/>
      <c r="DY4" s="222"/>
      <c r="DZ4" s="222"/>
      <c r="EA4" s="222"/>
      <c r="EB4" s="222"/>
      <c r="EC4" s="222"/>
      <c r="ED4" s="222"/>
      <c r="EE4" s="222"/>
      <c r="EF4" s="222"/>
      <c r="EG4" s="222"/>
      <c r="EH4" s="222"/>
    </row>
    <row r="5" spans="1:138">
      <c r="A5" s="505"/>
      <c r="B5" s="568" t="s">
        <v>204</v>
      </c>
      <c r="C5" s="228" t="s">
        <v>205</v>
      </c>
      <c r="D5" s="229" t="s">
        <v>206</v>
      </c>
      <c r="E5" s="230"/>
      <c r="F5" s="231"/>
      <c r="G5" s="231"/>
      <c r="H5" s="231">
        <f>16365002</f>
        <v>16365002</v>
      </c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2"/>
      <c r="BY5" s="233">
        <f t="shared" ref="BY5:BY15" si="0">SUM(E5:BX5)</f>
        <v>16365002</v>
      </c>
      <c r="BZ5" s="561">
        <f>SUM(BY5:BY8)</f>
        <v>42870002</v>
      </c>
      <c r="CA5" s="222"/>
      <c r="CB5" s="233">
        <f t="shared" ref="CB5:CB15" si="1">SUM(H5:CA5)</f>
        <v>75600006</v>
      </c>
      <c r="CC5" s="561">
        <f>SUM(CB5:CB8)</f>
        <v>189930673</v>
      </c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</row>
    <row r="6" spans="1:138">
      <c r="A6" s="505"/>
      <c r="B6" s="600"/>
      <c r="C6" s="228" t="s">
        <v>207</v>
      </c>
      <c r="D6" s="229" t="s">
        <v>206</v>
      </c>
      <c r="E6" s="231"/>
      <c r="F6" s="231"/>
      <c r="G6" s="231"/>
      <c r="H6" s="231"/>
      <c r="I6" s="231"/>
      <c r="J6" s="231"/>
      <c r="K6" s="231">
        <v>885000</v>
      </c>
      <c r="L6" s="231">
        <f>1640000+300000</f>
        <v>1940000</v>
      </c>
      <c r="M6" s="231">
        <f>4260000</f>
        <v>4260000</v>
      </c>
      <c r="N6" s="231"/>
      <c r="O6" s="231">
        <f>50000+270000</f>
        <v>320000</v>
      </c>
      <c r="P6" s="231">
        <v>2000000</v>
      </c>
      <c r="Q6" s="231">
        <v>4550000</v>
      </c>
      <c r="R6" s="231">
        <v>1000000</v>
      </c>
      <c r="S6" s="231">
        <v>5550000</v>
      </c>
      <c r="T6" s="231">
        <v>4900000</v>
      </c>
      <c r="U6" s="231">
        <v>1100000</v>
      </c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28"/>
      <c r="BY6" s="233">
        <f t="shared" si="0"/>
        <v>26505000</v>
      </c>
      <c r="BZ6" s="597"/>
      <c r="CA6" s="222">
        <f>9870667</f>
        <v>9870667</v>
      </c>
      <c r="CB6" s="233">
        <f t="shared" si="1"/>
        <v>62880667</v>
      </c>
      <c r="CC6" s="597"/>
      <c r="CD6" s="222"/>
      <c r="CE6" s="222"/>
      <c r="CF6" s="230">
        <f>SUM(Rentroll!$M$2:$M$4)</f>
        <v>613130.50199999986</v>
      </c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</row>
    <row r="7" spans="1:138">
      <c r="A7" s="505"/>
      <c r="B7" s="600"/>
      <c r="C7" s="234" t="s">
        <v>208</v>
      </c>
      <c r="D7" s="229" t="s">
        <v>206</v>
      </c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28"/>
      <c r="BY7" s="233">
        <f t="shared" si="0"/>
        <v>0</v>
      </c>
      <c r="BZ7" s="597"/>
      <c r="CA7" s="222">
        <f>2100000*24.5</f>
        <v>51450000</v>
      </c>
      <c r="CB7" s="233">
        <f t="shared" si="1"/>
        <v>51450000</v>
      </c>
      <c r="CC7" s="597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</row>
    <row r="8" spans="1:138">
      <c r="A8" s="505"/>
      <c r="B8" s="601"/>
      <c r="C8" s="234" t="s">
        <v>209</v>
      </c>
      <c r="D8" s="235" t="s">
        <v>206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4"/>
      <c r="BY8" s="237">
        <f t="shared" si="0"/>
        <v>0</v>
      </c>
      <c r="BZ8" s="592"/>
      <c r="CA8" s="222"/>
      <c r="CB8" s="237">
        <f t="shared" si="1"/>
        <v>0</v>
      </c>
      <c r="CC8" s="592"/>
      <c r="CD8" s="222"/>
      <c r="CE8" s="222"/>
      <c r="CF8" s="222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</row>
    <row r="9" spans="1:138">
      <c r="A9" s="505"/>
      <c r="B9" s="568" t="s">
        <v>210</v>
      </c>
      <c r="C9" s="232" t="s">
        <v>211</v>
      </c>
      <c r="D9" s="229" t="s">
        <v>206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>
        <f t="shared" ref="U9:Z9" si="2">-U61</f>
        <v>0</v>
      </c>
      <c r="V9" s="230">
        <f t="shared" si="2"/>
        <v>24888</v>
      </c>
      <c r="W9" s="230">
        <f t="shared" si="2"/>
        <v>49776</v>
      </c>
      <c r="X9" s="230">
        <f t="shared" si="2"/>
        <v>74664</v>
      </c>
      <c r="Y9" s="230">
        <f t="shared" si="2"/>
        <v>99552</v>
      </c>
      <c r="Z9" s="230">
        <f t="shared" si="2"/>
        <v>124440</v>
      </c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2"/>
      <c r="BY9" s="233">
        <f t="shared" si="0"/>
        <v>373320</v>
      </c>
      <c r="BZ9" s="561">
        <f>SUM(BY9:BY11)</f>
        <v>76273320.000000015</v>
      </c>
      <c r="CA9" s="222"/>
      <c r="CB9" s="233">
        <f t="shared" si="1"/>
        <v>77019960.000000015</v>
      </c>
      <c r="CC9" s="561">
        <f>SUM(CB9:CB11)</f>
        <v>228819960.00000006</v>
      </c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</row>
    <row r="10" spans="1:138">
      <c r="A10" s="505"/>
      <c r="B10" s="600"/>
      <c r="C10" s="232" t="s">
        <v>212</v>
      </c>
      <c r="D10" s="229" t="s">
        <v>206</v>
      </c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>
        <f t="shared" ref="V10:Z10" si="3">24400000/5</f>
        <v>4880000</v>
      </c>
      <c r="W10" s="231">
        <f t="shared" si="3"/>
        <v>4880000</v>
      </c>
      <c r="X10" s="231">
        <f t="shared" si="3"/>
        <v>4880000</v>
      </c>
      <c r="Y10" s="231">
        <f t="shared" si="3"/>
        <v>4880000</v>
      </c>
      <c r="Z10" s="231">
        <f t="shared" si="3"/>
        <v>4880000</v>
      </c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28"/>
      <c r="BY10" s="233">
        <f t="shared" si="0"/>
        <v>24400000</v>
      </c>
      <c r="BZ10" s="597"/>
      <c r="CA10" s="222"/>
      <c r="CB10" s="233">
        <f t="shared" si="1"/>
        <v>48800000</v>
      </c>
      <c r="CC10" s="597"/>
      <c r="CD10" s="222"/>
      <c r="CE10" s="222">
        <f>BY5+BY11</f>
        <v>67865002.000000015</v>
      </c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</row>
    <row r="11" spans="1:138">
      <c r="A11" s="505"/>
      <c r="B11" s="599"/>
      <c r="C11" s="234" t="s">
        <v>213</v>
      </c>
      <c r="D11" s="235" t="s">
        <v>206</v>
      </c>
      <c r="E11" s="236"/>
      <c r="F11" s="236"/>
      <c r="G11" s="236"/>
      <c r="H11" s="236"/>
      <c r="I11" s="236"/>
      <c r="J11" s="236"/>
      <c r="K11" s="236"/>
      <c r="L11" s="236"/>
      <c r="M11" s="236">
        <f>6449487.53+48944.52</f>
        <v>6498432.0499999998</v>
      </c>
      <c r="N11" s="236">
        <f>19937831.95</f>
        <v>19937831.949999999</v>
      </c>
      <c r="O11" s="236">
        <f>133478.48+9278006.75</f>
        <v>9411485.2300000004</v>
      </c>
      <c r="P11" s="236">
        <f>1400000+280000+3170000+50000+4644652+P27</f>
        <v>430036.48699999973</v>
      </c>
      <c r="Q11" s="236">
        <f>51500000-M11-N11-O11-P11</f>
        <v>15222214.283000004</v>
      </c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9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4"/>
      <c r="BY11" s="237">
        <f t="shared" si="0"/>
        <v>51500000.000000015</v>
      </c>
      <c r="BZ11" s="602"/>
      <c r="CA11" s="241"/>
      <c r="CB11" s="237">
        <f t="shared" si="1"/>
        <v>103000000.00000003</v>
      </c>
      <c r="CC11" s="602"/>
      <c r="CD11" s="241"/>
      <c r="CE11" s="241">
        <f>BY11/CE10</f>
        <v>0.7588594781150968</v>
      </c>
      <c r="CF11" s="241">
        <f>BY11/2100000</f>
        <v>24.523809523809533</v>
      </c>
      <c r="CG11" s="241"/>
      <c r="CH11" s="241" t="e">
        <f ca="1">su</f>
        <v>#NAME?</v>
      </c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</row>
    <row r="12" spans="1:138">
      <c r="A12" s="505"/>
      <c r="B12" s="568" t="s">
        <v>214</v>
      </c>
      <c r="C12" s="228" t="s">
        <v>215</v>
      </c>
      <c r="D12" s="229" t="s">
        <v>206</v>
      </c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>
        <f>SUM(Rentroll!$M$2:$M$10)</f>
        <v>1065607.4044666667</v>
      </c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2"/>
      <c r="BY12" s="233">
        <f t="shared" si="0"/>
        <v>1065607.4044666667</v>
      </c>
      <c r="BZ12" s="561">
        <f>SUM(BY12:BY15)</f>
        <v>150819763.53831619</v>
      </c>
      <c r="CA12" s="222"/>
      <c r="CB12" s="233">
        <f t="shared" si="1"/>
        <v>152950978.34724954</v>
      </c>
      <c r="CC12" s="561">
        <f>SUM(CB12:CB15)</f>
        <v>452459290.61494863</v>
      </c>
      <c r="CD12" s="222"/>
      <c r="CE12" s="238">
        <f>BY5/CE10</f>
        <v>0.24114052188490315</v>
      </c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</row>
    <row r="13" spans="1:138">
      <c r="A13" s="505"/>
      <c r="B13" s="600"/>
      <c r="C13" s="228" t="s">
        <v>216</v>
      </c>
      <c r="D13" s="229" t="s">
        <v>206</v>
      </c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>
        <f>Businessplan_prodej!J25</f>
        <v>138882598.15999994</v>
      </c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2"/>
      <c r="BY13" s="233">
        <f t="shared" si="0"/>
        <v>138882598.15999994</v>
      </c>
      <c r="BZ13" s="597"/>
      <c r="CA13" s="222"/>
      <c r="CB13" s="233">
        <f t="shared" si="1"/>
        <v>277765196.31999987</v>
      </c>
      <c r="CC13" s="597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</row>
    <row r="14" spans="1:138">
      <c r="A14" s="505"/>
      <c r="B14" s="600"/>
      <c r="C14" s="228" t="s">
        <v>7</v>
      </c>
      <c r="D14" s="229" t="s">
        <v>217</v>
      </c>
      <c r="E14" s="231"/>
      <c r="F14" s="231"/>
      <c r="G14" s="231"/>
      <c r="H14" s="231"/>
      <c r="I14" s="231">
        <v>6227</v>
      </c>
      <c r="J14" s="231">
        <v>14588</v>
      </c>
      <c r="K14" s="231">
        <f>457468</f>
        <v>457468</v>
      </c>
      <c r="L14" s="231">
        <v>57517</v>
      </c>
      <c r="M14" s="231">
        <f>60362</f>
        <v>60362</v>
      </c>
      <c r="N14" s="231">
        <v>56101</v>
      </c>
      <c r="O14" s="231">
        <f>59696</f>
        <v>59696</v>
      </c>
      <c r="P14" s="231">
        <f t="shared" ref="P14:Q14" si="4">-(SUM(N23,N37)-SUM(N23,N37)/1.21)</f>
        <v>4397.6776859504134</v>
      </c>
      <c r="Q14" s="231">
        <f t="shared" si="4"/>
        <v>129167.81008264457</v>
      </c>
      <c r="R14" s="231">
        <f>IF(P12&gt;0,-(SUM(Rentroll!$H$2:$H$4)+Rentroll!$K$2),0)-(SUM(P23,P37)-SUM(P23,P37)/1.21)</f>
        <v>198858.94867768593</v>
      </c>
      <c r="S14" s="231">
        <f>IF(Q12&gt;0,-(SUM(Rentroll!$H$2:$H$4)+Rentroll!$K$2),0)-(SUM(Q23,Q37)-SUM(Q23,Q37)/1.21)</f>
        <v>105011.65413223137</v>
      </c>
      <c r="T14" s="231">
        <f>IF(R12&gt;0,-(SUM(Rentroll!$H$2:$H$4)+Rentroll!$K$2),0)-(SUM(R23,R37)-SUM(R23,R37)/1.21)</f>
        <v>175862.37379338837</v>
      </c>
      <c r="U14" s="231">
        <f>IF(S12&gt;0,-(SUM(Rentroll!$H$2:$H$4)+Rentroll!$K$2),0)-(SUM(S23,S37)-SUM(S23,S37)/1.21)</f>
        <v>135144.1229900826</v>
      </c>
      <c r="V14" s="231">
        <f>IF(T12&gt;0,-(SUM(Rentroll!$H$2:$H$4)+Rentroll!$K$2),0)-(SUM(T23,T37)-SUM(T23,T37)/1.21)</f>
        <v>51078.250537190062</v>
      </c>
      <c r="W14" s="231">
        <f>IF(U12&gt;0,-(SUM(Rentroll!$H$2:$H$4)+Rentroll!$K$2),0)-(SUM(U23,U37)-SUM(U23,U37)/1.21)</f>
        <v>45967.627190082625</v>
      </c>
      <c r="X14" s="231">
        <f>IF(V12&gt;0,-(SUM(Rentroll!$H$2:$H$4)+Rentroll!$K$2),0)-(SUM(V23,V37)-SUM(V23,V37)/1.21)</f>
        <v>45967.627190082625</v>
      </c>
      <c r="Y14" s="231">
        <f>IF(W12&gt;0,-(SUM(Rentroll!$H$2:$H$4)+Rentroll!$K$2),0)-(SUM(W23,W37)-SUM(W23,W37)/1.21)</f>
        <v>57307.627190082625</v>
      </c>
      <c r="Z14" s="231">
        <f>IF(X12&gt;0,-(SUM(Rentroll!$H$2:$H$4)+Rentroll!$K$2),0)-(SUM(X23,X37)-SUM(X23,X37)/1.21)</f>
        <v>45967.627190082625</v>
      </c>
      <c r="AA14" s="231">
        <f>IF(Y12&gt;0,-(SUM(Rentroll!$H$2:$H$4)+Rentroll!$K$2),0)-(SUM(Y23,Y37)-SUM(Y23,Y37)/1.21)</f>
        <v>64867.627190082625</v>
      </c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28"/>
      <c r="BY14" s="233">
        <f t="shared" si="0"/>
        <v>1771557.973849586</v>
      </c>
      <c r="BZ14" s="597"/>
      <c r="CA14" s="222"/>
      <c r="CB14" s="233">
        <f t="shared" si="1"/>
        <v>3543115.947699172</v>
      </c>
      <c r="CC14" s="597"/>
      <c r="CD14" s="222"/>
      <c r="CE14" s="222">
        <f>51450000</f>
        <v>51450000</v>
      </c>
      <c r="CF14" s="222">
        <f>BY11/24.5</f>
        <v>2102040.8163265311</v>
      </c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</row>
    <row r="15" spans="1:138">
      <c r="A15" s="505"/>
      <c r="B15" s="599"/>
      <c r="C15" s="234" t="s">
        <v>218</v>
      </c>
      <c r="D15" s="235" t="s">
        <v>217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360">
        <f>9100000</f>
        <v>9100000</v>
      </c>
      <c r="Q15" s="236"/>
      <c r="R15" s="360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4"/>
      <c r="BY15" s="237">
        <f t="shared" si="0"/>
        <v>9100000</v>
      </c>
      <c r="BZ15" s="602"/>
      <c r="CA15" s="222"/>
      <c r="CB15" s="237">
        <f t="shared" si="1"/>
        <v>18200000</v>
      </c>
      <c r="CC15" s="602"/>
      <c r="CD15" s="222"/>
      <c r="CE15" s="222">
        <f>CE14/24.5</f>
        <v>2100000</v>
      </c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</row>
    <row r="16" spans="1:138" ht="15.95">
      <c r="A16" s="505"/>
      <c r="B16" s="569" t="s">
        <v>219</v>
      </c>
      <c r="C16" s="592"/>
      <c r="D16" s="242"/>
      <c r="E16" s="243">
        <f t="shared" ref="E16:BX16" si="5">SUM(E5:E15)</f>
        <v>0</v>
      </c>
      <c r="F16" s="243">
        <f t="shared" si="5"/>
        <v>0</v>
      </c>
      <c r="G16" s="243">
        <f t="shared" si="5"/>
        <v>0</v>
      </c>
      <c r="H16" s="243">
        <f t="shared" si="5"/>
        <v>16365002</v>
      </c>
      <c r="I16" s="243">
        <f t="shared" si="5"/>
        <v>6227</v>
      </c>
      <c r="J16" s="243">
        <f t="shared" si="5"/>
        <v>14588</v>
      </c>
      <c r="K16" s="243">
        <f t="shared" si="5"/>
        <v>1342468</v>
      </c>
      <c r="L16" s="243">
        <f t="shared" si="5"/>
        <v>1997517</v>
      </c>
      <c r="M16" s="243">
        <f t="shared" si="5"/>
        <v>10818794.050000001</v>
      </c>
      <c r="N16" s="243">
        <f t="shared" si="5"/>
        <v>19993932.949999999</v>
      </c>
      <c r="O16" s="243">
        <f t="shared" si="5"/>
        <v>9791181.2300000004</v>
      </c>
      <c r="P16" s="243">
        <f t="shared" si="5"/>
        <v>11534434.16468595</v>
      </c>
      <c r="Q16" s="243">
        <f t="shared" si="5"/>
        <v>19901382.093082648</v>
      </c>
      <c r="R16" s="243">
        <f t="shared" si="5"/>
        <v>1198858.948677686</v>
      </c>
      <c r="S16" s="243">
        <f t="shared" si="5"/>
        <v>5655011.6541322311</v>
      </c>
      <c r="T16" s="243">
        <f t="shared" si="5"/>
        <v>5075862.3737933887</v>
      </c>
      <c r="U16" s="243">
        <f t="shared" si="5"/>
        <v>1235144.1229900825</v>
      </c>
      <c r="V16" s="243">
        <f t="shared" si="5"/>
        <v>4955966.2505371897</v>
      </c>
      <c r="W16" s="243">
        <f t="shared" si="5"/>
        <v>4975743.6271900823</v>
      </c>
      <c r="X16" s="243">
        <f t="shared" si="5"/>
        <v>5000631.6271900823</v>
      </c>
      <c r="Y16" s="243">
        <f t="shared" si="5"/>
        <v>5036859.6271900823</v>
      </c>
      <c r="Z16" s="243">
        <f t="shared" si="5"/>
        <v>5050407.6271900823</v>
      </c>
      <c r="AA16" s="243">
        <f t="shared" si="5"/>
        <v>140013073.19165668</v>
      </c>
      <c r="AB16" s="243">
        <f t="shared" si="5"/>
        <v>0</v>
      </c>
      <c r="AC16" s="243">
        <f t="shared" si="5"/>
        <v>0</v>
      </c>
      <c r="AD16" s="243">
        <f t="shared" si="5"/>
        <v>0</v>
      </c>
      <c r="AE16" s="243">
        <f t="shared" si="5"/>
        <v>0</v>
      </c>
      <c r="AF16" s="243">
        <f t="shared" si="5"/>
        <v>0</v>
      </c>
      <c r="AG16" s="243">
        <f t="shared" si="5"/>
        <v>0</v>
      </c>
      <c r="AH16" s="243">
        <f t="shared" si="5"/>
        <v>0</v>
      </c>
      <c r="AI16" s="243">
        <f t="shared" si="5"/>
        <v>0</v>
      </c>
      <c r="AJ16" s="243">
        <f t="shared" si="5"/>
        <v>0</v>
      </c>
      <c r="AK16" s="243">
        <f t="shared" si="5"/>
        <v>0</v>
      </c>
      <c r="AL16" s="243">
        <f t="shared" si="5"/>
        <v>0</v>
      </c>
      <c r="AM16" s="243">
        <f t="shared" si="5"/>
        <v>0</v>
      </c>
      <c r="AN16" s="243">
        <f t="shared" si="5"/>
        <v>0</v>
      </c>
      <c r="AO16" s="243">
        <f t="shared" si="5"/>
        <v>0</v>
      </c>
      <c r="AP16" s="243">
        <f t="shared" si="5"/>
        <v>0</v>
      </c>
      <c r="AQ16" s="243">
        <f t="shared" si="5"/>
        <v>0</v>
      </c>
      <c r="AR16" s="243">
        <f t="shared" si="5"/>
        <v>0</v>
      </c>
      <c r="AS16" s="243">
        <f t="shared" si="5"/>
        <v>0</v>
      </c>
      <c r="AT16" s="243">
        <f t="shared" si="5"/>
        <v>0</v>
      </c>
      <c r="AU16" s="243">
        <f t="shared" si="5"/>
        <v>0</v>
      </c>
      <c r="AV16" s="243">
        <f t="shared" si="5"/>
        <v>0</v>
      </c>
      <c r="AW16" s="243">
        <f t="shared" si="5"/>
        <v>0</v>
      </c>
      <c r="AX16" s="243">
        <f t="shared" si="5"/>
        <v>0</v>
      </c>
      <c r="AY16" s="243">
        <f t="shared" si="5"/>
        <v>0</v>
      </c>
      <c r="AZ16" s="243">
        <f t="shared" si="5"/>
        <v>0</v>
      </c>
      <c r="BA16" s="243">
        <f t="shared" si="5"/>
        <v>0</v>
      </c>
      <c r="BB16" s="243">
        <f t="shared" si="5"/>
        <v>0</v>
      </c>
      <c r="BC16" s="243">
        <f t="shared" si="5"/>
        <v>0</v>
      </c>
      <c r="BD16" s="243">
        <f t="shared" si="5"/>
        <v>0</v>
      </c>
      <c r="BE16" s="243">
        <f t="shared" si="5"/>
        <v>0</v>
      </c>
      <c r="BF16" s="243">
        <f t="shared" si="5"/>
        <v>0</v>
      </c>
      <c r="BG16" s="243">
        <f t="shared" si="5"/>
        <v>0</v>
      </c>
      <c r="BH16" s="243">
        <f t="shared" si="5"/>
        <v>0</v>
      </c>
      <c r="BI16" s="243">
        <f t="shared" si="5"/>
        <v>0</v>
      </c>
      <c r="BJ16" s="243">
        <f t="shared" si="5"/>
        <v>0</v>
      </c>
      <c r="BK16" s="243">
        <f t="shared" si="5"/>
        <v>0</v>
      </c>
      <c r="BL16" s="243">
        <f t="shared" si="5"/>
        <v>0</v>
      </c>
      <c r="BM16" s="243">
        <f t="shared" si="5"/>
        <v>0</v>
      </c>
      <c r="BN16" s="243">
        <f t="shared" si="5"/>
        <v>0</v>
      </c>
      <c r="BO16" s="243">
        <f t="shared" si="5"/>
        <v>0</v>
      </c>
      <c r="BP16" s="243">
        <f t="shared" si="5"/>
        <v>0</v>
      </c>
      <c r="BQ16" s="243">
        <f t="shared" si="5"/>
        <v>0</v>
      </c>
      <c r="BR16" s="243">
        <f t="shared" si="5"/>
        <v>0</v>
      </c>
      <c r="BS16" s="243">
        <f t="shared" si="5"/>
        <v>0</v>
      </c>
      <c r="BT16" s="243">
        <f t="shared" si="5"/>
        <v>0</v>
      </c>
      <c r="BU16" s="243">
        <f t="shared" si="5"/>
        <v>0</v>
      </c>
      <c r="BV16" s="243">
        <f t="shared" si="5"/>
        <v>0</v>
      </c>
      <c r="BW16" s="243">
        <f t="shared" si="5"/>
        <v>0</v>
      </c>
      <c r="BX16" s="243">
        <f t="shared" si="5"/>
        <v>0</v>
      </c>
      <c r="BY16" s="563">
        <f>BZ5+BZ9+BZ12</f>
        <v>269963085.53831619</v>
      </c>
      <c r="BZ16" s="592"/>
      <c r="CA16" s="222"/>
      <c r="CB16" s="563">
        <f>CC5+CC9+CC12</f>
        <v>871209923.61494875</v>
      </c>
      <c r="CC16" s="59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</row>
    <row r="17" spans="1:138" ht="15.95" collapsed="1">
      <c r="A17" s="505"/>
      <c r="B17" s="570" t="s">
        <v>220</v>
      </c>
      <c r="C17" s="244" t="s">
        <v>221</v>
      </c>
      <c r="D17" s="245"/>
      <c r="E17" s="246">
        <f t="shared" ref="E17:BY17" si="6">SUM(E18:E22)</f>
        <v>0</v>
      </c>
      <c r="F17" s="246">
        <f t="shared" si="6"/>
        <v>0</v>
      </c>
      <c r="G17" s="246">
        <f t="shared" si="6"/>
        <v>0</v>
      </c>
      <c r="H17" s="246">
        <f t="shared" si="6"/>
        <v>-10620712</v>
      </c>
      <c r="I17" s="246">
        <f t="shared" si="6"/>
        <v>0</v>
      </c>
      <c r="J17" s="246">
        <f t="shared" si="6"/>
        <v>-808333</v>
      </c>
      <c r="K17" s="246">
        <f t="shared" si="6"/>
        <v>0</v>
      </c>
      <c r="L17" s="246">
        <f t="shared" si="6"/>
        <v>0</v>
      </c>
      <c r="M17" s="246">
        <f t="shared" si="6"/>
        <v>0</v>
      </c>
      <c r="N17" s="246">
        <f t="shared" si="6"/>
        <v>0</v>
      </c>
      <c r="O17" s="246">
        <f t="shared" si="6"/>
        <v>0</v>
      </c>
      <c r="P17" s="246">
        <f t="shared" si="6"/>
        <v>0</v>
      </c>
      <c r="Q17" s="246">
        <f t="shared" si="6"/>
        <v>0</v>
      </c>
      <c r="R17" s="246">
        <f t="shared" si="6"/>
        <v>0</v>
      </c>
      <c r="S17" s="246">
        <f t="shared" si="6"/>
        <v>0</v>
      </c>
      <c r="T17" s="246">
        <f t="shared" si="6"/>
        <v>0</v>
      </c>
      <c r="U17" s="246">
        <f t="shared" si="6"/>
        <v>0</v>
      </c>
      <c r="V17" s="246">
        <f t="shared" si="6"/>
        <v>0</v>
      </c>
      <c r="W17" s="246">
        <f t="shared" si="6"/>
        <v>0</v>
      </c>
      <c r="X17" s="246">
        <f t="shared" si="6"/>
        <v>0</v>
      </c>
      <c r="Y17" s="246">
        <f t="shared" si="6"/>
        <v>0</v>
      </c>
      <c r="Z17" s="246">
        <f t="shared" si="6"/>
        <v>0</v>
      </c>
      <c r="AA17" s="246">
        <f t="shared" si="6"/>
        <v>0</v>
      </c>
      <c r="AB17" s="246">
        <f t="shared" si="6"/>
        <v>0</v>
      </c>
      <c r="AC17" s="246">
        <f t="shared" si="6"/>
        <v>0</v>
      </c>
      <c r="AD17" s="246">
        <f t="shared" si="6"/>
        <v>0</v>
      </c>
      <c r="AE17" s="246">
        <f t="shared" si="6"/>
        <v>0</v>
      </c>
      <c r="AF17" s="246">
        <f t="shared" si="6"/>
        <v>0</v>
      </c>
      <c r="AG17" s="246">
        <f t="shared" si="6"/>
        <v>0</v>
      </c>
      <c r="AH17" s="246">
        <f t="shared" si="6"/>
        <v>0</v>
      </c>
      <c r="AI17" s="246">
        <f t="shared" si="6"/>
        <v>0</v>
      </c>
      <c r="AJ17" s="246">
        <f t="shared" si="6"/>
        <v>0</v>
      </c>
      <c r="AK17" s="246">
        <f t="shared" si="6"/>
        <v>0</v>
      </c>
      <c r="AL17" s="246">
        <f t="shared" si="6"/>
        <v>0</v>
      </c>
      <c r="AM17" s="246">
        <f t="shared" si="6"/>
        <v>0</v>
      </c>
      <c r="AN17" s="246">
        <f t="shared" si="6"/>
        <v>0</v>
      </c>
      <c r="AO17" s="246">
        <f t="shared" si="6"/>
        <v>0</v>
      </c>
      <c r="AP17" s="246">
        <f t="shared" si="6"/>
        <v>0</v>
      </c>
      <c r="AQ17" s="246">
        <f t="shared" si="6"/>
        <v>0</v>
      </c>
      <c r="AR17" s="246">
        <f t="shared" si="6"/>
        <v>0</v>
      </c>
      <c r="AS17" s="246">
        <f t="shared" si="6"/>
        <v>0</v>
      </c>
      <c r="AT17" s="246">
        <f t="shared" si="6"/>
        <v>0</v>
      </c>
      <c r="AU17" s="246">
        <f t="shared" si="6"/>
        <v>0</v>
      </c>
      <c r="AV17" s="246">
        <f t="shared" si="6"/>
        <v>0</v>
      </c>
      <c r="AW17" s="246">
        <f t="shared" si="6"/>
        <v>0</v>
      </c>
      <c r="AX17" s="246">
        <f t="shared" si="6"/>
        <v>0</v>
      </c>
      <c r="AY17" s="246">
        <f t="shared" si="6"/>
        <v>0</v>
      </c>
      <c r="AZ17" s="246">
        <f t="shared" si="6"/>
        <v>0</v>
      </c>
      <c r="BA17" s="246">
        <f t="shared" si="6"/>
        <v>0</v>
      </c>
      <c r="BB17" s="246">
        <f t="shared" si="6"/>
        <v>0</v>
      </c>
      <c r="BC17" s="246">
        <f t="shared" si="6"/>
        <v>0</v>
      </c>
      <c r="BD17" s="246">
        <f t="shared" si="6"/>
        <v>0</v>
      </c>
      <c r="BE17" s="246">
        <f t="shared" si="6"/>
        <v>0</v>
      </c>
      <c r="BF17" s="246">
        <f t="shared" si="6"/>
        <v>0</v>
      </c>
      <c r="BG17" s="246">
        <f t="shared" si="6"/>
        <v>0</v>
      </c>
      <c r="BH17" s="246">
        <f t="shared" si="6"/>
        <v>0</v>
      </c>
      <c r="BI17" s="246">
        <f t="shared" si="6"/>
        <v>0</v>
      </c>
      <c r="BJ17" s="246">
        <f t="shared" si="6"/>
        <v>0</v>
      </c>
      <c r="BK17" s="246">
        <f t="shared" si="6"/>
        <v>0</v>
      </c>
      <c r="BL17" s="246">
        <f t="shared" si="6"/>
        <v>0</v>
      </c>
      <c r="BM17" s="246">
        <f t="shared" si="6"/>
        <v>0</v>
      </c>
      <c r="BN17" s="246">
        <f t="shared" si="6"/>
        <v>0</v>
      </c>
      <c r="BO17" s="246">
        <f t="shared" si="6"/>
        <v>0</v>
      </c>
      <c r="BP17" s="246">
        <f t="shared" si="6"/>
        <v>0</v>
      </c>
      <c r="BQ17" s="246">
        <f t="shared" si="6"/>
        <v>0</v>
      </c>
      <c r="BR17" s="246">
        <f t="shared" si="6"/>
        <v>0</v>
      </c>
      <c r="BS17" s="246">
        <f t="shared" si="6"/>
        <v>0</v>
      </c>
      <c r="BT17" s="246">
        <f t="shared" si="6"/>
        <v>0</v>
      </c>
      <c r="BU17" s="246">
        <f t="shared" si="6"/>
        <v>0</v>
      </c>
      <c r="BV17" s="246">
        <f t="shared" si="6"/>
        <v>0</v>
      </c>
      <c r="BW17" s="246">
        <f t="shared" si="6"/>
        <v>0</v>
      </c>
      <c r="BX17" s="246">
        <f t="shared" si="6"/>
        <v>0</v>
      </c>
      <c r="BY17" s="247">
        <f t="shared" si="6"/>
        <v>-11429045</v>
      </c>
      <c r="BZ17" s="562">
        <f>BY17+BY23+BY26+BY34+BY37+BY49+BY55+BY63+BY87</f>
        <v>-122544835.30406666</v>
      </c>
      <c r="CA17" s="222"/>
      <c r="CB17" s="248"/>
      <c r="CC17" s="56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</row>
    <row r="18" spans="1:138" ht="15.95" hidden="1" outlineLevel="1">
      <c r="A18" s="505"/>
      <c r="B18" s="600"/>
      <c r="C18" s="249" t="s">
        <v>222</v>
      </c>
      <c r="D18" s="250" t="s">
        <v>223</v>
      </c>
      <c r="E18" s="251"/>
      <c r="F18" s="251"/>
      <c r="G18" s="251"/>
      <c r="H18" s="252">
        <f>-8458812-2161900</f>
        <v>-10620712</v>
      </c>
      <c r="I18" s="252"/>
      <c r="J18" s="252">
        <f>-657296-151037</f>
        <v>-808333</v>
      </c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3">
        <f t="shared" ref="BY18:BY22" si="7">SUM(E18:BX18)</f>
        <v>-11429045</v>
      </c>
      <c r="BZ18" s="597"/>
      <c r="CA18" s="222"/>
      <c r="CB18" s="248"/>
      <c r="CC18" s="597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</row>
    <row r="19" spans="1:138" ht="15.95" hidden="1" outlineLevel="1">
      <c r="A19" s="505"/>
      <c r="B19" s="600"/>
      <c r="C19" s="249" t="s">
        <v>224</v>
      </c>
      <c r="D19" s="250" t="s">
        <v>223</v>
      </c>
      <c r="E19" s="251"/>
      <c r="F19" s="251"/>
      <c r="G19" s="251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3">
        <f t="shared" si="7"/>
        <v>0</v>
      </c>
      <c r="BZ19" s="597"/>
      <c r="CA19" s="222"/>
      <c r="CB19" s="248"/>
      <c r="CC19" s="597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</row>
    <row r="20" spans="1:138" ht="15.95" hidden="1" outlineLevel="1">
      <c r="A20" s="505"/>
      <c r="B20" s="600"/>
      <c r="C20" s="249" t="s">
        <v>225</v>
      </c>
      <c r="D20" s="250" t="s">
        <v>223</v>
      </c>
      <c r="E20" s="251"/>
      <c r="F20" s="251"/>
      <c r="G20" s="251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3">
        <f t="shared" si="7"/>
        <v>0</v>
      </c>
      <c r="BZ20" s="597"/>
      <c r="CA20" s="222"/>
      <c r="CB20" s="248"/>
      <c r="CC20" s="597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</row>
    <row r="21" spans="1:138" ht="15.95" hidden="1" outlineLevel="1">
      <c r="A21" s="505"/>
      <c r="B21" s="600"/>
      <c r="C21" s="249" t="s">
        <v>226</v>
      </c>
      <c r="D21" s="250" t="s">
        <v>223</v>
      </c>
      <c r="E21" s="251"/>
      <c r="F21" s="251"/>
      <c r="G21" s="251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3">
        <f t="shared" si="7"/>
        <v>0</v>
      </c>
      <c r="BZ21" s="597"/>
      <c r="CA21" s="222"/>
      <c r="CB21" s="248"/>
      <c r="CC21" s="597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</row>
    <row r="22" spans="1:138" ht="15.95" hidden="1" outlineLevel="1">
      <c r="A22" s="505"/>
      <c r="B22" s="600"/>
      <c r="C22" s="249" t="s">
        <v>227</v>
      </c>
      <c r="D22" s="254" t="s">
        <v>223</v>
      </c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3">
        <f t="shared" si="7"/>
        <v>0</v>
      </c>
      <c r="BZ22" s="597"/>
      <c r="CA22" s="222"/>
      <c r="CB22" s="248"/>
      <c r="CC22" s="597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</row>
    <row r="23" spans="1:138" ht="15.95">
      <c r="A23" s="505"/>
      <c r="B23" s="600"/>
      <c r="C23" s="244" t="s">
        <v>228</v>
      </c>
      <c r="D23" s="245"/>
      <c r="E23" s="246">
        <f t="shared" ref="E23:BY23" si="8">SUM(E24:E25)</f>
        <v>0</v>
      </c>
      <c r="F23" s="246">
        <f t="shared" si="8"/>
        <v>0</v>
      </c>
      <c r="G23" s="246">
        <f t="shared" si="8"/>
        <v>0</v>
      </c>
      <c r="H23" s="246">
        <f t="shared" si="8"/>
        <v>0</v>
      </c>
      <c r="I23" s="246">
        <f t="shared" si="8"/>
        <v>-366025</v>
      </c>
      <c r="J23" s="246">
        <f t="shared" si="8"/>
        <v>0</v>
      </c>
      <c r="K23" s="246">
        <f t="shared" si="8"/>
        <v>0</v>
      </c>
      <c r="L23" s="246">
        <f t="shared" si="8"/>
        <v>-15913.92</v>
      </c>
      <c r="M23" s="246">
        <f t="shared" si="8"/>
        <v>0</v>
      </c>
      <c r="N23" s="246">
        <f t="shared" si="8"/>
        <v>0</v>
      </c>
      <c r="O23" s="246">
        <f t="shared" si="8"/>
        <v>0</v>
      </c>
      <c r="P23" s="246">
        <f t="shared" si="8"/>
        <v>-802360.68</v>
      </c>
      <c r="Q23" s="246">
        <f t="shared" si="8"/>
        <v>-393250</v>
      </c>
      <c r="R23" s="246">
        <f t="shared" si="8"/>
        <v>-393250</v>
      </c>
      <c r="S23" s="246">
        <f t="shared" si="8"/>
        <v>0</v>
      </c>
      <c r="T23" s="246">
        <f t="shared" si="8"/>
        <v>0</v>
      </c>
      <c r="U23" s="246">
        <f t="shared" si="8"/>
        <v>0</v>
      </c>
      <c r="V23" s="246">
        <f t="shared" si="8"/>
        <v>0</v>
      </c>
      <c r="W23" s="246">
        <f t="shared" si="8"/>
        <v>0</v>
      </c>
      <c r="X23" s="246">
        <f t="shared" si="8"/>
        <v>0</v>
      </c>
      <c r="Y23" s="246">
        <f t="shared" si="8"/>
        <v>0</v>
      </c>
      <c r="Z23" s="246">
        <f t="shared" si="8"/>
        <v>0</v>
      </c>
      <c r="AA23" s="246">
        <f t="shared" si="8"/>
        <v>0</v>
      </c>
      <c r="AB23" s="246">
        <f t="shared" si="8"/>
        <v>0</v>
      </c>
      <c r="AC23" s="246">
        <f t="shared" si="8"/>
        <v>0</v>
      </c>
      <c r="AD23" s="246">
        <f t="shared" si="8"/>
        <v>0</v>
      </c>
      <c r="AE23" s="246">
        <f t="shared" si="8"/>
        <v>0</v>
      </c>
      <c r="AF23" s="246">
        <f t="shared" si="8"/>
        <v>0</v>
      </c>
      <c r="AG23" s="246">
        <f t="shared" si="8"/>
        <v>0</v>
      </c>
      <c r="AH23" s="246">
        <f t="shared" si="8"/>
        <v>0</v>
      </c>
      <c r="AI23" s="246">
        <f t="shared" si="8"/>
        <v>0</v>
      </c>
      <c r="AJ23" s="246">
        <f t="shared" si="8"/>
        <v>0</v>
      </c>
      <c r="AK23" s="246">
        <f t="shared" si="8"/>
        <v>0</v>
      </c>
      <c r="AL23" s="246">
        <f t="shared" si="8"/>
        <v>0</v>
      </c>
      <c r="AM23" s="246">
        <f t="shared" si="8"/>
        <v>0</v>
      </c>
      <c r="AN23" s="246">
        <f t="shared" si="8"/>
        <v>0</v>
      </c>
      <c r="AO23" s="246">
        <f t="shared" si="8"/>
        <v>0</v>
      </c>
      <c r="AP23" s="246">
        <f t="shared" si="8"/>
        <v>0</v>
      </c>
      <c r="AQ23" s="246">
        <f t="shared" si="8"/>
        <v>0</v>
      </c>
      <c r="AR23" s="246">
        <f t="shared" si="8"/>
        <v>0</v>
      </c>
      <c r="AS23" s="246">
        <f t="shared" si="8"/>
        <v>0</v>
      </c>
      <c r="AT23" s="246">
        <f t="shared" si="8"/>
        <v>0</v>
      </c>
      <c r="AU23" s="246">
        <f t="shared" si="8"/>
        <v>0</v>
      </c>
      <c r="AV23" s="246">
        <f t="shared" si="8"/>
        <v>0</v>
      </c>
      <c r="AW23" s="246">
        <f t="shared" si="8"/>
        <v>0</v>
      </c>
      <c r="AX23" s="246">
        <f t="shared" si="8"/>
        <v>0</v>
      </c>
      <c r="AY23" s="246">
        <f t="shared" si="8"/>
        <v>0</v>
      </c>
      <c r="AZ23" s="246">
        <f t="shared" si="8"/>
        <v>0</v>
      </c>
      <c r="BA23" s="246">
        <f t="shared" si="8"/>
        <v>0</v>
      </c>
      <c r="BB23" s="246">
        <f t="shared" si="8"/>
        <v>0</v>
      </c>
      <c r="BC23" s="246">
        <f t="shared" si="8"/>
        <v>0</v>
      </c>
      <c r="BD23" s="246">
        <f t="shared" si="8"/>
        <v>0</v>
      </c>
      <c r="BE23" s="246">
        <f t="shared" si="8"/>
        <v>0</v>
      </c>
      <c r="BF23" s="246">
        <f t="shared" si="8"/>
        <v>0</v>
      </c>
      <c r="BG23" s="246">
        <f t="shared" si="8"/>
        <v>0</v>
      </c>
      <c r="BH23" s="246">
        <f t="shared" si="8"/>
        <v>0</v>
      </c>
      <c r="BI23" s="246">
        <f t="shared" si="8"/>
        <v>0</v>
      </c>
      <c r="BJ23" s="246">
        <f t="shared" si="8"/>
        <v>0</v>
      </c>
      <c r="BK23" s="246">
        <f t="shared" si="8"/>
        <v>0</v>
      </c>
      <c r="BL23" s="246">
        <f t="shared" si="8"/>
        <v>0</v>
      </c>
      <c r="BM23" s="246">
        <f t="shared" si="8"/>
        <v>0</v>
      </c>
      <c r="BN23" s="246">
        <f t="shared" si="8"/>
        <v>0</v>
      </c>
      <c r="BO23" s="246">
        <f t="shared" si="8"/>
        <v>0</v>
      </c>
      <c r="BP23" s="246">
        <f t="shared" si="8"/>
        <v>0</v>
      </c>
      <c r="BQ23" s="246">
        <f t="shared" si="8"/>
        <v>0</v>
      </c>
      <c r="BR23" s="246">
        <f t="shared" si="8"/>
        <v>0</v>
      </c>
      <c r="BS23" s="246">
        <f t="shared" si="8"/>
        <v>0</v>
      </c>
      <c r="BT23" s="246">
        <f t="shared" si="8"/>
        <v>0</v>
      </c>
      <c r="BU23" s="246">
        <f t="shared" si="8"/>
        <v>0</v>
      </c>
      <c r="BV23" s="246">
        <f t="shared" si="8"/>
        <v>0</v>
      </c>
      <c r="BW23" s="246">
        <f t="shared" si="8"/>
        <v>0</v>
      </c>
      <c r="BX23" s="246">
        <f t="shared" si="8"/>
        <v>0</v>
      </c>
      <c r="BY23" s="247">
        <f t="shared" si="8"/>
        <v>-1970799.6</v>
      </c>
      <c r="BZ23" s="597"/>
      <c r="CA23" s="222">
        <f>BY23/1.21</f>
        <v>-1628760.0000000002</v>
      </c>
      <c r="CB23" s="248"/>
      <c r="CC23" s="597"/>
      <c r="CD23" s="222"/>
      <c r="CE23" s="222">
        <f>7000000*1.21</f>
        <v>8470000</v>
      </c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</row>
    <row r="24" spans="1:138" ht="15.95" outlineLevel="1">
      <c r="A24" s="505"/>
      <c r="B24" s="600"/>
      <c r="C24" s="249" t="s">
        <v>229</v>
      </c>
      <c r="D24" s="254" t="s">
        <v>223</v>
      </c>
      <c r="E24" s="255"/>
      <c r="F24" s="255"/>
      <c r="G24" s="255"/>
      <c r="H24" s="256"/>
      <c r="I24" s="256">
        <f>-302500*1.21</f>
        <v>-366025</v>
      </c>
      <c r="J24" s="256"/>
      <c r="K24" s="256"/>
      <c r="L24" s="256">
        <f>-15913.92</f>
        <v>-15913.92</v>
      </c>
      <c r="M24" s="256"/>
      <c r="N24" s="256"/>
      <c r="O24" s="256"/>
      <c r="P24" s="256">
        <f>(-675000-SUM(I24:O24)/1.21)*1.21-152500*1.21</f>
        <v>-619336.08000000007</v>
      </c>
      <c r="Q24" s="256">
        <f>-Businessplan_prodej!$F$21*0.5*1.21</f>
        <v>-393250</v>
      </c>
      <c r="R24" s="256">
        <f>-Businessplan_prodej!$F$21*0.5*1.21</f>
        <v>-393250</v>
      </c>
      <c r="S24" s="256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7">
        <f t="shared" ref="BY24:BY25" si="9">SUM(E24:BX24)</f>
        <v>-1787775</v>
      </c>
      <c r="BZ24" s="597"/>
      <c r="CA24" s="222"/>
      <c r="CB24" s="248"/>
      <c r="CC24" s="597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</row>
    <row r="25" spans="1:138" ht="15.95" outlineLevel="1">
      <c r="A25" s="505"/>
      <c r="B25" s="600"/>
      <c r="C25" s="249" t="s">
        <v>230</v>
      </c>
      <c r="D25" s="254" t="s">
        <v>223</v>
      </c>
      <c r="E25" s="255"/>
      <c r="F25" s="255"/>
      <c r="G25" s="255"/>
      <c r="H25" s="256"/>
      <c r="I25" s="256"/>
      <c r="J25" s="256"/>
      <c r="K25" s="256"/>
      <c r="L25" s="256"/>
      <c r="M25" s="256"/>
      <c r="N25" s="256"/>
      <c r="O25" s="256"/>
      <c r="P25" s="256">
        <f>-Businessplan_prodej!$F$22*1.21</f>
        <v>-183024.6</v>
      </c>
      <c r="Q25" s="256"/>
      <c r="R25" s="256"/>
      <c r="S25" s="256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7">
        <f t="shared" si="9"/>
        <v>-183024.6</v>
      </c>
      <c r="BZ25" s="597"/>
      <c r="CA25" s="222"/>
      <c r="CB25" s="248"/>
      <c r="CC25" s="597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</row>
    <row r="26" spans="1:138" ht="15.95">
      <c r="A26" s="505"/>
      <c r="B26" s="600"/>
      <c r="C26" s="244" t="s">
        <v>231</v>
      </c>
      <c r="D26" s="245"/>
      <c r="E26" s="246">
        <f t="shared" ref="E26:BX26" si="10">SUM(E27:E33)</f>
        <v>0</v>
      </c>
      <c r="F26" s="246">
        <f t="shared" si="10"/>
        <v>0</v>
      </c>
      <c r="G26" s="246">
        <f t="shared" si="10"/>
        <v>0</v>
      </c>
      <c r="H26" s="246">
        <f t="shared" si="10"/>
        <v>-2420</v>
      </c>
      <c r="I26" s="246">
        <f t="shared" si="10"/>
        <v>-1081909</v>
      </c>
      <c r="J26" s="246">
        <f t="shared" si="10"/>
        <v>0</v>
      </c>
      <c r="K26" s="246">
        <f t="shared" si="10"/>
        <v>0</v>
      </c>
      <c r="L26" s="246">
        <f t="shared" si="10"/>
        <v>-4688041</v>
      </c>
      <c r="M26" s="246">
        <f t="shared" si="10"/>
        <v>-10044501.530000001</v>
      </c>
      <c r="N26" s="246">
        <f t="shared" si="10"/>
        <v>-19919080.57</v>
      </c>
      <c r="O26" s="246">
        <f t="shared" si="10"/>
        <v>-9000862.4199999999</v>
      </c>
      <c r="P26" s="246">
        <f t="shared" si="10"/>
        <v>-9114615.5130000003</v>
      </c>
      <c r="Q26" s="246">
        <f t="shared" si="10"/>
        <v>-6727817.9669999927</v>
      </c>
      <c r="R26" s="246">
        <f t="shared" si="10"/>
        <v>-1500000</v>
      </c>
      <c r="S26" s="246">
        <f t="shared" si="10"/>
        <v>-3274700</v>
      </c>
      <c r="T26" s="246">
        <f t="shared" si="10"/>
        <v>-3274700</v>
      </c>
      <c r="U26" s="246">
        <f t="shared" si="10"/>
        <v>-3274700</v>
      </c>
      <c r="V26" s="246">
        <f t="shared" si="10"/>
        <v>-3274700</v>
      </c>
      <c r="W26" s="246">
        <f t="shared" si="10"/>
        <v>-3274700</v>
      </c>
      <c r="X26" s="246">
        <f t="shared" si="10"/>
        <v>-3274700</v>
      </c>
      <c r="Y26" s="246">
        <f t="shared" si="10"/>
        <v>-3274700</v>
      </c>
      <c r="Z26" s="246">
        <f t="shared" si="10"/>
        <v>-3274700</v>
      </c>
      <c r="AA26" s="246">
        <f t="shared" si="10"/>
        <v>0</v>
      </c>
      <c r="AB26" s="246">
        <f t="shared" si="10"/>
        <v>0</v>
      </c>
      <c r="AC26" s="246">
        <f t="shared" si="10"/>
        <v>0</v>
      </c>
      <c r="AD26" s="246">
        <f t="shared" si="10"/>
        <v>0</v>
      </c>
      <c r="AE26" s="246">
        <f t="shared" si="10"/>
        <v>0</v>
      </c>
      <c r="AF26" s="246">
        <f t="shared" si="10"/>
        <v>0</v>
      </c>
      <c r="AG26" s="246">
        <f t="shared" si="10"/>
        <v>0</v>
      </c>
      <c r="AH26" s="246">
        <f t="shared" si="10"/>
        <v>0</v>
      </c>
      <c r="AI26" s="246">
        <f t="shared" si="10"/>
        <v>0</v>
      </c>
      <c r="AJ26" s="246">
        <f t="shared" si="10"/>
        <v>0</v>
      </c>
      <c r="AK26" s="246">
        <f t="shared" si="10"/>
        <v>0</v>
      </c>
      <c r="AL26" s="246">
        <f t="shared" si="10"/>
        <v>0</v>
      </c>
      <c r="AM26" s="246">
        <f t="shared" si="10"/>
        <v>0</v>
      </c>
      <c r="AN26" s="246">
        <f t="shared" si="10"/>
        <v>0</v>
      </c>
      <c r="AO26" s="246">
        <f t="shared" si="10"/>
        <v>0</v>
      </c>
      <c r="AP26" s="246">
        <f t="shared" si="10"/>
        <v>0</v>
      </c>
      <c r="AQ26" s="246">
        <f t="shared" si="10"/>
        <v>0</v>
      </c>
      <c r="AR26" s="246">
        <f t="shared" si="10"/>
        <v>0</v>
      </c>
      <c r="AS26" s="246">
        <f t="shared" si="10"/>
        <v>0</v>
      </c>
      <c r="AT26" s="246">
        <f t="shared" si="10"/>
        <v>0</v>
      </c>
      <c r="AU26" s="246">
        <f t="shared" si="10"/>
        <v>0</v>
      </c>
      <c r="AV26" s="246">
        <f t="shared" si="10"/>
        <v>0</v>
      </c>
      <c r="AW26" s="246">
        <f t="shared" si="10"/>
        <v>0</v>
      </c>
      <c r="AX26" s="246">
        <f t="shared" si="10"/>
        <v>0</v>
      </c>
      <c r="AY26" s="246">
        <f t="shared" si="10"/>
        <v>0</v>
      </c>
      <c r="AZ26" s="246">
        <f t="shared" si="10"/>
        <v>0</v>
      </c>
      <c r="BA26" s="246">
        <f t="shared" si="10"/>
        <v>0</v>
      </c>
      <c r="BB26" s="246">
        <f t="shared" si="10"/>
        <v>0</v>
      </c>
      <c r="BC26" s="246">
        <f t="shared" si="10"/>
        <v>0</v>
      </c>
      <c r="BD26" s="246">
        <f t="shared" si="10"/>
        <v>0</v>
      </c>
      <c r="BE26" s="246">
        <f t="shared" si="10"/>
        <v>0</v>
      </c>
      <c r="BF26" s="246">
        <f t="shared" si="10"/>
        <v>0</v>
      </c>
      <c r="BG26" s="246">
        <f t="shared" si="10"/>
        <v>0</v>
      </c>
      <c r="BH26" s="246">
        <f t="shared" si="10"/>
        <v>0</v>
      </c>
      <c r="BI26" s="246">
        <f t="shared" si="10"/>
        <v>0</v>
      </c>
      <c r="BJ26" s="246">
        <f t="shared" si="10"/>
        <v>0</v>
      </c>
      <c r="BK26" s="246">
        <f t="shared" si="10"/>
        <v>0</v>
      </c>
      <c r="BL26" s="246">
        <f t="shared" si="10"/>
        <v>0</v>
      </c>
      <c r="BM26" s="246">
        <f t="shared" si="10"/>
        <v>0</v>
      </c>
      <c r="BN26" s="246">
        <f t="shared" si="10"/>
        <v>0</v>
      </c>
      <c r="BO26" s="246">
        <f t="shared" si="10"/>
        <v>0</v>
      </c>
      <c r="BP26" s="246">
        <f t="shared" si="10"/>
        <v>0</v>
      </c>
      <c r="BQ26" s="246">
        <f t="shared" si="10"/>
        <v>0</v>
      </c>
      <c r="BR26" s="246">
        <f t="shared" si="10"/>
        <v>0</v>
      </c>
      <c r="BS26" s="246">
        <f t="shared" si="10"/>
        <v>0</v>
      </c>
      <c r="BT26" s="246">
        <f t="shared" si="10"/>
        <v>0</v>
      </c>
      <c r="BU26" s="246">
        <f t="shared" si="10"/>
        <v>0</v>
      </c>
      <c r="BV26" s="246">
        <f t="shared" si="10"/>
        <v>0</v>
      </c>
      <c r="BW26" s="246">
        <f t="shared" si="10"/>
        <v>0</v>
      </c>
      <c r="BX26" s="246">
        <f t="shared" si="10"/>
        <v>0</v>
      </c>
      <c r="BY26" s="248">
        <f>SUM(BY27:BY33)</f>
        <v>-88276848</v>
      </c>
      <c r="BZ26" s="597"/>
      <c r="CA26" s="222"/>
      <c r="CB26" s="248"/>
      <c r="CC26" s="597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</row>
    <row r="27" spans="1:138" ht="15.95" outlineLevel="1">
      <c r="A27" s="505"/>
      <c r="B27" s="600"/>
      <c r="C27" s="249" t="s">
        <v>232</v>
      </c>
      <c r="D27" s="250" t="s">
        <v>223</v>
      </c>
      <c r="E27" s="251"/>
      <c r="F27" s="251"/>
      <c r="G27" s="251"/>
      <c r="H27" s="252"/>
      <c r="I27" s="252"/>
      <c r="J27" s="252"/>
      <c r="K27" s="252"/>
      <c r="L27" s="252">
        <f>-4688041</f>
        <v>-4688041</v>
      </c>
      <c r="M27" s="252">
        <f>-3615000-6429501.53</f>
        <v>-10044501.530000001</v>
      </c>
      <c r="N27" s="252">
        <f>-19909473.57</f>
        <v>-19909473.57</v>
      </c>
      <c r="O27" s="252">
        <f>-8977222.42</f>
        <v>-8977222.4199999999</v>
      </c>
      <c r="P27" s="252">
        <f>-10127350.57*0.9</f>
        <v>-9114615.5130000003</v>
      </c>
      <c r="Q27" s="252">
        <f>-(58593172+SUM($L$27:P27))</f>
        <v>-5859317.9669999927</v>
      </c>
      <c r="R27" s="252">
        <f>-1500000</f>
        <v>-1500000</v>
      </c>
      <c r="S27" s="252">
        <f>-(Businessplan_prodej!$F$31)/8</f>
        <v>-2960750</v>
      </c>
      <c r="T27" s="252">
        <f>-(Businessplan_prodej!$F$31)/8</f>
        <v>-2960750</v>
      </c>
      <c r="U27" s="252">
        <f>-(Businessplan_prodej!$F$31)/8</f>
        <v>-2960750</v>
      </c>
      <c r="V27" s="252">
        <f>-(Businessplan_prodej!$F$31)/8</f>
        <v>-2960750</v>
      </c>
      <c r="W27" s="252">
        <f>-(Businessplan_prodej!$F$31)/8</f>
        <v>-2960750</v>
      </c>
      <c r="X27" s="252">
        <f>-(Businessplan_prodej!$F$31)/8</f>
        <v>-2960750</v>
      </c>
      <c r="Y27" s="252">
        <f>-(Businessplan_prodej!$F$31)/8</f>
        <v>-2960750</v>
      </c>
      <c r="Z27" s="252">
        <f>-(Businessplan_prodej!$F$31)/8</f>
        <v>-2960750</v>
      </c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60"/>
      <c r="BY27" s="261">
        <f t="shared" ref="BY27:BY33" si="11">SUM(E27:BX27)</f>
        <v>-83779172</v>
      </c>
      <c r="BZ27" s="597"/>
      <c r="CA27" s="222"/>
      <c r="CB27" s="248"/>
      <c r="CC27" s="597"/>
      <c r="CD27" s="222"/>
      <c r="CE27" s="222"/>
      <c r="CF27" s="222"/>
      <c r="CG27" s="222"/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</row>
    <row r="28" spans="1:138" ht="15.95" outlineLevel="1">
      <c r="A28" s="505"/>
      <c r="B28" s="600"/>
      <c r="C28" s="249" t="s">
        <v>233</v>
      </c>
      <c r="D28" s="250" t="s">
        <v>223</v>
      </c>
      <c r="E28" s="251"/>
      <c r="F28" s="251"/>
      <c r="G28" s="251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60"/>
      <c r="BY28" s="262">
        <f t="shared" si="11"/>
        <v>0</v>
      </c>
      <c r="BZ28" s="597"/>
      <c r="CA28" s="222"/>
      <c r="CB28" s="248"/>
      <c r="CC28" s="597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</row>
    <row r="29" spans="1:138" ht="15.95" outlineLevel="1">
      <c r="A29" s="505"/>
      <c r="B29" s="600"/>
      <c r="C29" s="249" t="s">
        <v>234</v>
      </c>
      <c r="D29" s="250" t="s">
        <v>223</v>
      </c>
      <c r="E29" s="251"/>
      <c r="F29" s="251"/>
      <c r="G29" s="251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60"/>
      <c r="BY29" s="262">
        <f t="shared" si="11"/>
        <v>0</v>
      </c>
      <c r="BZ29" s="597"/>
      <c r="CA29" s="222"/>
      <c r="CB29" s="248"/>
      <c r="CC29" s="597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</row>
    <row r="30" spans="1:138" ht="15.95" outlineLevel="1">
      <c r="A30" s="505"/>
      <c r="B30" s="600"/>
      <c r="C30" s="249" t="s">
        <v>235</v>
      </c>
      <c r="D30" s="250" t="s">
        <v>223</v>
      </c>
      <c r="E30" s="251"/>
      <c r="F30" s="251"/>
      <c r="G30" s="251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>
        <f>-Businessplan_prodej!$F$37*0.5</f>
        <v>0</v>
      </c>
      <c r="S30" s="252">
        <f>-Businessplan_prodej!$F$37*0.3</f>
        <v>0</v>
      </c>
      <c r="T30" s="252">
        <f>-Businessplan_prodej!$F$37*0.2</f>
        <v>0</v>
      </c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60"/>
      <c r="BY30" s="262">
        <f t="shared" si="11"/>
        <v>0</v>
      </c>
      <c r="BZ30" s="597"/>
      <c r="CA30" s="222"/>
      <c r="CB30" s="248"/>
      <c r="CC30" s="597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</row>
    <row r="31" spans="1:138" ht="15.95" outlineLevel="1">
      <c r="A31" s="505"/>
      <c r="B31" s="600"/>
      <c r="C31" s="249" t="s">
        <v>236</v>
      </c>
      <c r="D31" s="250" t="s">
        <v>223</v>
      </c>
      <c r="E31" s="251"/>
      <c r="F31" s="251"/>
      <c r="G31" s="251"/>
      <c r="H31" s="252">
        <f>-2420</f>
        <v>-2420</v>
      </c>
      <c r="I31" s="252"/>
      <c r="J31" s="252"/>
      <c r="K31" s="252"/>
      <c r="L31" s="252"/>
      <c r="M31" s="252"/>
      <c r="N31" s="252">
        <f>-500-9107</f>
        <v>-9607</v>
      </c>
      <c r="O31" s="252">
        <f>-18750-2420-2470</f>
        <v>-23640</v>
      </c>
      <c r="P31" s="252"/>
      <c r="Q31" s="252"/>
      <c r="R31" s="252"/>
      <c r="S31" s="252">
        <f>-Businessplan_prodej!$F$38/8</f>
        <v>-16250</v>
      </c>
      <c r="T31" s="252">
        <f>-Businessplan_prodej!$F$38/8</f>
        <v>-16250</v>
      </c>
      <c r="U31" s="252">
        <f>-Businessplan_prodej!$F$38/8</f>
        <v>-16250</v>
      </c>
      <c r="V31" s="252">
        <f>-Businessplan_prodej!$F$38/8</f>
        <v>-16250</v>
      </c>
      <c r="W31" s="252">
        <f>-Businessplan_prodej!$F$38/8</f>
        <v>-16250</v>
      </c>
      <c r="X31" s="252">
        <f>-Businessplan_prodej!$F$38/8</f>
        <v>-16250</v>
      </c>
      <c r="Y31" s="252">
        <f>-Businessplan_prodej!$F$38/8</f>
        <v>-16250</v>
      </c>
      <c r="Z31" s="252">
        <f>-Businessplan_prodej!$F$38/8</f>
        <v>-16250</v>
      </c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60"/>
      <c r="BY31" s="262">
        <f t="shared" si="11"/>
        <v>-165667</v>
      </c>
      <c r="BZ31" s="597"/>
      <c r="CA31" s="222"/>
      <c r="CB31" s="248"/>
      <c r="CC31" s="597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</row>
    <row r="32" spans="1:138" ht="15.95" outlineLevel="1">
      <c r="A32" s="505"/>
      <c r="B32" s="600"/>
      <c r="C32" s="263" t="s">
        <v>237</v>
      </c>
      <c r="D32" s="250" t="s">
        <v>223</v>
      </c>
      <c r="E32" s="251"/>
      <c r="F32" s="251"/>
      <c r="G32" s="251"/>
      <c r="H32" s="252"/>
      <c r="I32" s="252">
        <f>-1081909</f>
        <v>-1081909</v>
      </c>
      <c r="J32" s="252"/>
      <c r="K32" s="252"/>
      <c r="L32" s="252"/>
      <c r="M32" s="252"/>
      <c r="N32" s="252"/>
      <c r="O32" s="252"/>
      <c r="P32" s="252"/>
      <c r="Q32" s="252">
        <f>-868500</f>
        <v>-868500</v>
      </c>
      <c r="R32" s="252"/>
      <c r="S32" s="252"/>
      <c r="T32" s="252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60"/>
      <c r="BY32" s="262">
        <f t="shared" si="11"/>
        <v>-1950409</v>
      </c>
      <c r="BZ32" s="597"/>
      <c r="CA32" s="222"/>
      <c r="CB32" s="248"/>
      <c r="CC32" s="597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</row>
    <row r="33" spans="1:138" ht="15.95" outlineLevel="1">
      <c r="A33" s="505"/>
      <c r="B33" s="600"/>
      <c r="C33" s="249" t="s">
        <v>238</v>
      </c>
      <c r="D33" s="254" t="s">
        <v>223</v>
      </c>
      <c r="E33" s="251"/>
      <c r="F33" s="251"/>
      <c r="G33" s="251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>
        <f>-Businessplan_prodej!$F$41/8</f>
        <v>-297700</v>
      </c>
      <c r="T33" s="252">
        <f>-Businessplan_prodej!$F$41/8</f>
        <v>-297700</v>
      </c>
      <c r="U33" s="252">
        <f>-Businessplan_prodej!$F$41/8</f>
        <v>-297700</v>
      </c>
      <c r="V33" s="252">
        <f>-Businessplan_prodej!$F$41/8</f>
        <v>-297700</v>
      </c>
      <c r="W33" s="252">
        <f>-Businessplan_prodej!$F$41/8</f>
        <v>-297700</v>
      </c>
      <c r="X33" s="252">
        <f>-Businessplan_prodej!$F$41/8</f>
        <v>-297700</v>
      </c>
      <c r="Y33" s="252">
        <f>-Businessplan_prodej!$F$41/8</f>
        <v>-297700</v>
      </c>
      <c r="Z33" s="252">
        <f>-Businessplan_prodej!$F$41/8</f>
        <v>-297700</v>
      </c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60"/>
      <c r="BY33" s="264">
        <f t="shared" si="11"/>
        <v>-2381600</v>
      </c>
      <c r="BZ33" s="597"/>
      <c r="CA33" s="222"/>
      <c r="CB33" s="248"/>
      <c r="CC33" s="597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</row>
    <row r="34" spans="1:138" ht="15.95" collapsed="1">
      <c r="A34" s="505"/>
      <c r="B34" s="600"/>
      <c r="C34" s="244" t="s">
        <v>239</v>
      </c>
      <c r="D34" s="245"/>
      <c r="E34" s="246">
        <f t="shared" ref="E34:BX34" si="12">SUM(E35:E36)</f>
        <v>0</v>
      </c>
      <c r="F34" s="246">
        <f t="shared" si="12"/>
        <v>0</v>
      </c>
      <c r="G34" s="246">
        <f t="shared" si="12"/>
        <v>0</v>
      </c>
      <c r="H34" s="246">
        <f t="shared" si="12"/>
        <v>0</v>
      </c>
      <c r="I34" s="246">
        <f t="shared" si="12"/>
        <v>0</v>
      </c>
      <c r="J34" s="246">
        <f t="shared" si="12"/>
        <v>0</v>
      </c>
      <c r="K34" s="246">
        <f t="shared" si="12"/>
        <v>0</v>
      </c>
      <c r="L34" s="246">
        <f t="shared" si="12"/>
        <v>0</v>
      </c>
      <c r="M34" s="246">
        <f t="shared" si="12"/>
        <v>0</v>
      </c>
      <c r="N34" s="246">
        <f t="shared" si="12"/>
        <v>0</v>
      </c>
      <c r="O34" s="246">
        <f t="shared" si="12"/>
        <v>0</v>
      </c>
      <c r="P34" s="246">
        <f t="shared" si="12"/>
        <v>0</v>
      </c>
      <c r="Q34" s="246">
        <f t="shared" si="12"/>
        <v>0</v>
      </c>
      <c r="R34" s="246">
        <f t="shared" si="12"/>
        <v>0</v>
      </c>
      <c r="S34" s="246">
        <f t="shared" si="12"/>
        <v>-539250</v>
      </c>
      <c r="T34" s="246">
        <f t="shared" si="12"/>
        <v>-539250</v>
      </c>
      <c r="U34" s="246">
        <f t="shared" si="12"/>
        <v>-539250</v>
      </c>
      <c r="V34" s="246">
        <f t="shared" si="12"/>
        <v>-539250</v>
      </c>
      <c r="W34" s="246">
        <f t="shared" si="12"/>
        <v>-539250</v>
      </c>
      <c r="X34" s="246">
        <f t="shared" si="12"/>
        <v>-539250</v>
      </c>
      <c r="Y34" s="246">
        <f t="shared" si="12"/>
        <v>-539250</v>
      </c>
      <c r="Z34" s="246">
        <f t="shared" si="12"/>
        <v>-539250</v>
      </c>
      <c r="AA34" s="246">
        <f t="shared" si="12"/>
        <v>0</v>
      </c>
      <c r="AB34" s="246">
        <f t="shared" si="12"/>
        <v>0</v>
      </c>
      <c r="AC34" s="246">
        <f t="shared" si="12"/>
        <v>0</v>
      </c>
      <c r="AD34" s="246">
        <f t="shared" si="12"/>
        <v>0</v>
      </c>
      <c r="AE34" s="246">
        <f t="shared" si="12"/>
        <v>0</v>
      </c>
      <c r="AF34" s="246">
        <f t="shared" si="12"/>
        <v>0</v>
      </c>
      <c r="AG34" s="246">
        <f t="shared" si="12"/>
        <v>0</v>
      </c>
      <c r="AH34" s="246">
        <f t="shared" si="12"/>
        <v>0</v>
      </c>
      <c r="AI34" s="246">
        <f t="shared" si="12"/>
        <v>0</v>
      </c>
      <c r="AJ34" s="246">
        <f t="shared" si="12"/>
        <v>0</v>
      </c>
      <c r="AK34" s="246">
        <f t="shared" si="12"/>
        <v>0</v>
      </c>
      <c r="AL34" s="246">
        <f t="shared" si="12"/>
        <v>0</v>
      </c>
      <c r="AM34" s="246">
        <f t="shared" si="12"/>
        <v>0</v>
      </c>
      <c r="AN34" s="246">
        <f t="shared" si="12"/>
        <v>0</v>
      </c>
      <c r="AO34" s="246">
        <f t="shared" si="12"/>
        <v>0</v>
      </c>
      <c r="AP34" s="246">
        <f t="shared" si="12"/>
        <v>0</v>
      </c>
      <c r="AQ34" s="246">
        <f t="shared" si="12"/>
        <v>0</v>
      </c>
      <c r="AR34" s="246">
        <f t="shared" si="12"/>
        <v>0</v>
      </c>
      <c r="AS34" s="246">
        <f t="shared" si="12"/>
        <v>0</v>
      </c>
      <c r="AT34" s="246">
        <f t="shared" si="12"/>
        <v>0</v>
      </c>
      <c r="AU34" s="246">
        <f t="shared" si="12"/>
        <v>0</v>
      </c>
      <c r="AV34" s="246">
        <f t="shared" si="12"/>
        <v>0</v>
      </c>
      <c r="AW34" s="246">
        <f t="shared" si="12"/>
        <v>0</v>
      </c>
      <c r="AX34" s="246">
        <f t="shared" si="12"/>
        <v>0</v>
      </c>
      <c r="AY34" s="246">
        <f t="shared" si="12"/>
        <v>0</v>
      </c>
      <c r="AZ34" s="246">
        <f t="shared" si="12"/>
        <v>0</v>
      </c>
      <c r="BA34" s="246">
        <f t="shared" si="12"/>
        <v>0</v>
      </c>
      <c r="BB34" s="246">
        <f t="shared" si="12"/>
        <v>0</v>
      </c>
      <c r="BC34" s="246">
        <f t="shared" si="12"/>
        <v>0</v>
      </c>
      <c r="BD34" s="246">
        <f t="shared" si="12"/>
        <v>0</v>
      </c>
      <c r="BE34" s="246">
        <f t="shared" si="12"/>
        <v>0</v>
      </c>
      <c r="BF34" s="246">
        <f t="shared" si="12"/>
        <v>0</v>
      </c>
      <c r="BG34" s="246">
        <f t="shared" si="12"/>
        <v>0</v>
      </c>
      <c r="BH34" s="246">
        <f t="shared" si="12"/>
        <v>0</v>
      </c>
      <c r="BI34" s="246">
        <f t="shared" si="12"/>
        <v>0</v>
      </c>
      <c r="BJ34" s="246">
        <f t="shared" si="12"/>
        <v>0</v>
      </c>
      <c r="BK34" s="246">
        <f t="shared" si="12"/>
        <v>0</v>
      </c>
      <c r="BL34" s="246">
        <f t="shared" si="12"/>
        <v>0</v>
      </c>
      <c r="BM34" s="246">
        <f t="shared" si="12"/>
        <v>0</v>
      </c>
      <c r="BN34" s="246">
        <f t="shared" si="12"/>
        <v>0</v>
      </c>
      <c r="BO34" s="246">
        <f t="shared" si="12"/>
        <v>0</v>
      </c>
      <c r="BP34" s="246">
        <f t="shared" si="12"/>
        <v>0</v>
      </c>
      <c r="BQ34" s="246">
        <f t="shared" si="12"/>
        <v>0</v>
      </c>
      <c r="BR34" s="246">
        <f t="shared" si="12"/>
        <v>0</v>
      </c>
      <c r="BS34" s="246">
        <f t="shared" si="12"/>
        <v>0</v>
      </c>
      <c r="BT34" s="246">
        <f t="shared" si="12"/>
        <v>0</v>
      </c>
      <c r="BU34" s="246">
        <f t="shared" si="12"/>
        <v>0</v>
      </c>
      <c r="BV34" s="246">
        <f t="shared" si="12"/>
        <v>0</v>
      </c>
      <c r="BW34" s="246">
        <f t="shared" si="12"/>
        <v>0</v>
      </c>
      <c r="BX34" s="246">
        <f t="shared" si="12"/>
        <v>0</v>
      </c>
      <c r="BY34" s="248">
        <f>SUM(BY35:BY36)</f>
        <v>-4314000</v>
      </c>
      <c r="BZ34" s="597"/>
      <c r="CA34" s="222"/>
      <c r="CB34" s="248"/>
      <c r="CC34" s="597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</row>
    <row r="35" spans="1:138" ht="15.95" hidden="1" outlineLevel="1">
      <c r="A35" s="505"/>
      <c r="B35" s="600"/>
      <c r="C35" s="249" t="s">
        <v>240</v>
      </c>
      <c r="D35" s="250" t="s">
        <v>223</v>
      </c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66">
        <f>-Businessplan_prodej!$C$51/8</f>
        <v>-539250</v>
      </c>
      <c r="T35" s="266">
        <f>-Businessplan_prodej!$C$51/8</f>
        <v>-539250</v>
      </c>
      <c r="U35" s="266">
        <f>-Businessplan_prodej!$C$51/8</f>
        <v>-539250</v>
      </c>
      <c r="V35" s="266">
        <f>-Businessplan_prodej!$C$51/8</f>
        <v>-539250</v>
      </c>
      <c r="W35" s="266">
        <f>-Businessplan_prodej!$C$51/8</f>
        <v>-539250</v>
      </c>
      <c r="X35" s="266">
        <f>-Businessplan_prodej!$C$51/8</f>
        <v>-539250</v>
      </c>
      <c r="Y35" s="266">
        <f>-Businessplan_prodej!$C$51/8</f>
        <v>-539250</v>
      </c>
      <c r="Z35" s="266">
        <f>-Businessplan_prodej!$C$51/8</f>
        <v>-539250</v>
      </c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60"/>
      <c r="BY35" s="261">
        <f t="shared" ref="BY35:BY36" si="13">SUM(E35:BX35)</f>
        <v>-4314000</v>
      </c>
      <c r="BZ35" s="597"/>
      <c r="CA35" s="222"/>
      <c r="CB35" s="248"/>
      <c r="CC35" s="597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</row>
    <row r="36" spans="1:138" ht="15.95" hidden="1" outlineLevel="1">
      <c r="A36" s="505"/>
      <c r="B36" s="600"/>
      <c r="C36" s="249" t="s">
        <v>241</v>
      </c>
      <c r="D36" s="254" t="s">
        <v>223</v>
      </c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66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60"/>
      <c r="BY36" s="264">
        <f t="shared" si="13"/>
        <v>0</v>
      </c>
      <c r="BZ36" s="597"/>
      <c r="CA36" s="222"/>
      <c r="CB36" s="248"/>
      <c r="CC36" s="597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</row>
    <row r="37" spans="1:138" ht="15.95">
      <c r="A37" s="505"/>
      <c r="B37" s="600"/>
      <c r="C37" s="244" t="s">
        <v>242</v>
      </c>
      <c r="D37" s="245"/>
      <c r="E37" s="246">
        <f t="shared" ref="E37:G37" si="14">SUM(E38:E48)</f>
        <v>0</v>
      </c>
      <c r="F37" s="246">
        <f t="shared" si="14"/>
        <v>0</v>
      </c>
      <c r="G37" s="246">
        <f t="shared" si="14"/>
        <v>0</v>
      </c>
      <c r="H37" s="246">
        <f t="shared" ref="H37:BM37" si="15">SUM(H38:H41,H42,H45,H46:H48)</f>
        <v>-113225.2</v>
      </c>
      <c r="I37" s="246">
        <f t="shared" si="15"/>
        <v>-414970</v>
      </c>
      <c r="J37" s="246">
        <f t="shared" si="15"/>
        <v>-1007845.81</v>
      </c>
      <c r="K37" s="246">
        <f t="shared" si="15"/>
        <v>-901583.60700000008</v>
      </c>
      <c r="L37" s="246">
        <f t="shared" si="15"/>
        <v>-332396.81</v>
      </c>
      <c r="M37" s="246">
        <f t="shared" si="15"/>
        <v>-666968.62</v>
      </c>
      <c r="N37" s="246">
        <f t="shared" si="15"/>
        <v>-25339</v>
      </c>
      <c r="O37" s="246">
        <f t="shared" si="15"/>
        <v>-744252.62</v>
      </c>
      <c r="P37" s="246">
        <f t="shared" si="15"/>
        <v>-343445.64333333331</v>
      </c>
      <c r="Q37" s="246">
        <f t="shared" si="15"/>
        <v>-211817.15</v>
      </c>
      <c r="R37" s="246">
        <f t="shared" si="15"/>
        <v>-620052.24899999995</v>
      </c>
      <c r="S37" s="246">
        <f t="shared" si="15"/>
        <v>-778687.56579999987</v>
      </c>
      <c r="T37" s="246">
        <f t="shared" si="15"/>
        <v>-294308.01499999996</v>
      </c>
      <c r="U37" s="246">
        <f t="shared" si="15"/>
        <v>-264861.08999999997</v>
      </c>
      <c r="V37" s="246">
        <f t="shared" si="15"/>
        <v>-264861.08999999997</v>
      </c>
      <c r="W37" s="246">
        <f t="shared" si="15"/>
        <v>-330201.08999999997</v>
      </c>
      <c r="X37" s="246">
        <f t="shared" si="15"/>
        <v>-264861.08999999997</v>
      </c>
      <c r="Y37" s="246">
        <f t="shared" si="15"/>
        <v>-373761.08999999997</v>
      </c>
      <c r="Z37" s="246">
        <f t="shared" si="15"/>
        <v>-864574.4907999998</v>
      </c>
      <c r="AA37" s="246">
        <f t="shared" si="15"/>
        <v>-14235</v>
      </c>
      <c r="AB37" s="246">
        <f t="shared" si="15"/>
        <v>0</v>
      </c>
      <c r="AC37" s="246">
        <f t="shared" si="15"/>
        <v>0</v>
      </c>
      <c r="AD37" s="246">
        <f t="shared" si="15"/>
        <v>0</v>
      </c>
      <c r="AE37" s="246">
        <f t="shared" si="15"/>
        <v>0</v>
      </c>
      <c r="AF37" s="246">
        <f t="shared" si="15"/>
        <v>0</v>
      </c>
      <c r="AG37" s="246">
        <f t="shared" si="15"/>
        <v>0</v>
      </c>
      <c r="AH37" s="246">
        <f t="shared" si="15"/>
        <v>0</v>
      </c>
      <c r="AI37" s="246">
        <f t="shared" si="15"/>
        <v>0</v>
      </c>
      <c r="AJ37" s="246">
        <f t="shared" si="15"/>
        <v>0</v>
      </c>
      <c r="AK37" s="246">
        <f t="shared" si="15"/>
        <v>0</v>
      </c>
      <c r="AL37" s="246">
        <f t="shared" si="15"/>
        <v>0</v>
      </c>
      <c r="AM37" s="246">
        <f t="shared" si="15"/>
        <v>0</v>
      </c>
      <c r="AN37" s="246">
        <f t="shared" si="15"/>
        <v>0</v>
      </c>
      <c r="AO37" s="246">
        <f t="shared" si="15"/>
        <v>0</v>
      </c>
      <c r="AP37" s="246">
        <f t="shared" si="15"/>
        <v>0</v>
      </c>
      <c r="AQ37" s="246">
        <f t="shared" si="15"/>
        <v>0</v>
      </c>
      <c r="AR37" s="246">
        <f t="shared" si="15"/>
        <v>0</v>
      </c>
      <c r="AS37" s="246">
        <f t="shared" si="15"/>
        <v>0</v>
      </c>
      <c r="AT37" s="246">
        <f t="shared" si="15"/>
        <v>0</v>
      </c>
      <c r="AU37" s="246">
        <f t="shared" si="15"/>
        <v>0</v>
      </c>
      <c r="AV37" s="246">
        <f t="shared" si="15"/>
        <v>0</v>
      </c>
      <c r="AW37" s="246">
        <f t="shared" si="15"/>
        <v>0</v>
      </c>
      <c r="AX37" s="246">
        <f t="shared" si="15"/>
        <v>0</v>
      </c>
      <c r="AY37" s="246">
        <f t="shared" si="15"/>
        <v>0</v>
      </c>
      <c r="AZ37" s="246">
        <f t="shared" si="15"/>
        <v>0</v>
      </c>
      <c r="BA37" s="246">
        <f t="shared" si="15"/>
        <v>0</v>
      </c>
      <c r="BB37" s="246">
        <f t="shared" si="15"/>
        <v>0</v>
      </c>
      <c r="BC37" s="246">
        <f t="shared" si="15"/>
        <v>0</v>
      </c>
      <c r="BD37" s="246">
        <f t="shared" si="15"/>
        <v>0</v>
      </c>
      <c r="BE37" s="246">
        <f t="shared" si="15"/>
        <v>0</v>
      </c>
      <c r="BF37" s="246">
        <f t="shared" si="15"/>
        <v>0</v>
      </c>
      <c r="BG37" s="246">
        <f t="shared" si="15"/>
        <v>0</v>
      </c>
      <c r="BH37" s="246">
        <f t="shared" si="15"/>
        <v>0</v>
      </c>
      <c r="BI37" s="246">
        <f t="shared" si="15"/>
        <v>0</v>
      </c>
      <c r="BJ37" s="246">
        <f t="shared" si="15"/>
        <v>0</v>
      </c>
      <c r="BK37" s="246">
        <f t="shared" si="15"/>
        <v>0</v>
      </c>
      <c r="BL37" s="246">
        <f t="shared" si="15"/>
        <v>0</v>
      </c>
      <c r="BM37" s="246">
        <f t="shared" si="15"/>
        <v>0</v>
      </c>
      <c r="BN37" s="246">
        <f t="shared" ref="BN37:BX37" si="16">SUM(BN38:BN48)</f>
        <v>0</v>
      </c>
      <c r="BO37" s="246">
        <f t="shared" si="16"/>
        <v>0</v>
      </c>
      <c r="BP37" s="246">
        <f t="shared" si="16"/>
        <v>0</v>
      </c>
      <c r="BQ37" s="246">
        <f t="shared" si="16"/>
        <v>0</v>
      </c>
      <c r="BR37" s="246">
        <f t="shared" si="16"/>
        <v>0</v>
      </c>
      <c r="BS37" s="246">
        <f t="shared" si="16"/>
        <v>0</v>
      </c>
      <c r="BT37" s="246">
        <f t="shared" si="16"/>
        <v>0</v>
      </c>
      <c r="BU37" s="246">
        <f t="shared" si="16"/>
        <v>0</v>
      </c>
      <c r="BV37" s="246">
        <f t="shared" si="16"/>
        <v>0</v>
      </c>
      <c r="BW37" s="246">
        <f t="shared" si="16"/>
        <v>0</v>
      </c>
      <c r="BX37" s="246">
        <f t="shared" si="16"/>
        <v>0</v>
      </c>
      <c r="BY37" s="248">
        <f>SUM(BY38:BY48)</f>
        <v>-9295233.2309333328</v>
      </c>
      <c r="BZ37" s="597"/>
      <c r="CA37" s="222"/>
      <c r="CB37" s="248"/>
      <c r="CC37" s="597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</row>
    <row r="38" spans="1:138" ht="15.95" outlineLevel="1">
      <c r="A38" s="505"/>
      <c r="B38" s="600"/>
      <c r="C38" s="263" t="s">
        <v>170</v>
      </c>
      <c r="D38" s="250" t="s">
        <v>223</v>
      </c>
      <c r="E38" s="255"/>
      <c r="F38" s="255"/>
      <c r="G38" s="255"/>
      <c r="H38" s="256"/>
      <c r="I38" s="256">
        <f>-400000</f>
        <v>-400000</v>
      </c>
      <c r="J38" s="256">
        <f>-661353-(23520+28160+192281+20000)*1.21</f>
        <v>-980745.81</v>
      </c>
      <c r="K38" s="256"/>
      <c r="L38" s="256">
        <f>-(23520+28160+192281+20000)*1.21</f>
        <v>-319392.81</v>
      </c>
      <c r="M38" s="256">
        <f>-(23520+28160+192281+20000)*1.21-(23520+28160+192281+20000)*1.21</f>
        <v>-638785.62</v>
      </c>
      <c r="N38" s="256"/>
      <c r="O38" s="256">
        <f>-(23520+28160+192281+20000)*1.21*2</f>
        <v>-638785.62</v>
      </c>
      <c r="P38" s="256">
        <f>-(23520+28160+192281+20000)*1.21</f>
        <v>-319392.81</v>
      </c>
      <c r="Q38" s="256">
        <f>-Businessplan_prodej!$F$78/10*1.21</f>
        <v>-92146.34</v>
      </c>
      <c r="R38" s="256">
        <f>-Businessplan_prodej!$F$78/10*1.21</f>
        <v>-92146.34</v>
      </c>
      <c r="S38" s="256">
        <f>-Businessplan_prodej!$F$78/10*1.21</f>
        <v>-92146.34</v>
      </c>
      <c r="T38" s="256">
        <f>-Businessplan_prodej!$F$78/10*1.21</f>
        <v>-92146.34</v>
      </c>
      <c r="U38" s="256">
        <f>-Businessplan_prodej!$F$78/10*1.21</f>
        <v>-92146.34</v>
      </c>
      <c r="V38" s="256">
        <f>-Businessplan_prodej!$F$78/10*1.21</f>
        <v>-92146.34</v>
      </c>
      <c r="W38" s="256">
        <f>-Businessplan_prodej!$F$78/10*1.21</f>
        <v>-92146.34</v>
      </c>
      <c r="X38" s="256">
        <f>-Businessplan_prodej!$F$78/10*1.21</f>
        <v>-92146.34</v>
      </c>
      <c r="Y38" s="256">
        <f>-Businessplan_prodej!$F$78/10*1.21</f>
        <v>-92146.34</v>
      </c>
      <c r="Z38" s="256">
        <f>-Businessplan_prodej!$F$78/10*1.21</f>
        <v>-92146.34</v>
      </c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67"/>
      <c r="BY38" s="261">
        <f t="shared" ref="BY38:BY48" si="17">SUM(E38:BX38)</f>
        <v>-4218566.0699999994</v>
      </c>
      <c r="BZ38" s="597"/>
      <c r="CA38" s="222"/>
      <c r="CB38" s="248"/>
      <c r="CC38" s="597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</row>
    <row r="39" spans="1:138" ht="15.95" outlineLevel="1">
      <c r="A39" s="505"/>
      <c r="B39" s="600"/>
      <c r="C39" s="263" t="s">
        <v>171</v>
      </c>
      <c r="D39" s="250" t="s">
        <v>223</v>
      </c>
      <c r="E39" s="255"/>
      <c r="F39" s="255"/>
      <c r="G39" s="255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>
        <f>-100000*1.21</f>
        <v>-121000</v>
      </c>
      <c r="S39" s="256">
        <f>-Businessplan_prodej!$F$82/8*1.21</f>
        <v>-139119.75</v>
      </c>
      <c r="T39" s="256">
        <f>-Businessplan_prodej!$F$82/8*1.21</f>
        <v>-139119.75</v>
      </c>
      <c r="U39" s="256">
        <f>-Businessplan_prodej!$F$82/8*1.21</f>
        <v>-139119.75</v>
      </c>
      <c r="V39" s="256">
        <f>-Businessplan_prodej!$F$82/8*1.21</f>
        <v>-139119.75</v>
      </c>
      <c r="W39" s="256">
        <f>-Businessplan_prodej!$F$82/8*1.21</f>
        <v>-139119.75</v>
      </c>
      <c r="X39" s="256">
        <f>-Businessplan_prodej!$F$82/8*1.21</f>
        <v>-139119.75</v>
      </c>
      <c r="Y39" s="256">
        <f>-Businessplan_prodej!$F$82/8*1.21</f>
        <v>-139119.75</v>
      </c>
      <c r="Z39" s="256">
        <f>-Businessplan_prodej!$F$82/8*1.21</f>
        <v>-139119.75</v>
      </c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67"/>
      <c r="BY39" s="262">
        <f t="shared" si="17"/>
        <v>-1233958</v>
      </c>
      <c r="BZ39" s="597"/>
      <c r="CA39" s="222"/>
      <c r="CB39" s="248"/>
      <c r="CC39" s="597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</row>
    <row r="40" spans="1:138" ht="15.95" outlineLevel="1">
      <c r="A40" s="505"/>
      <c r="B40" s="600"/>
      <c r="C40" s="263" t="s">
        <v>172</v>
      </c>
      <c r="D40" s="250" t="s">
        <v>223</v>
      </c>
      <c r="E40" s="255"/>
      <c r="F40" s="255"/>
      <c r="G40" s="255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68"/>
      <c r="T40" s="256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67"/>
      <c r="BY40" s="262">
        <f t="shared" si="17"/>
        <v>0</v>
      </c>
      <c r="BZ40" s="597"/>
      <c r="CA40" s="222"/>
      <c r="CB40" s="248"/>
      <c r="CC40" s="597"/>
      <c r="CD40" s="222"/>
      <c r="CE40" s="238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</row>
    <row r="41" spans="1:138" ht="15.95" outlineLevel="1">
      <c r="A41" s="505"/>
      <c r="B41" s="600"/>
      <c r="C41" s="263" t="s">
        <v>176</v>
      </c>
      <c r="D41" s="250" t="s">
        <v>223</v>
      </c>
      <c r="E41" s="255"/>
      <c r="F41" s="255"/>
      <c r="G41" s="255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68">
        <f>-Businessplan_prodej!$F$87/9*1.21</f>
        <v>0</v>
      </c>
      <c r="S41" s="268">
        <f>-Businessplan_prodej!$F$87/9*1.21</f>
        <v>0</v>
      </c>
      <c r="T41" s="268">
        <f>-Businessplan_prodej!$F$87/9*1.21</f>
        <v>0</v>
      </c>
      <c r="U41" s="268">
        <f>-Businessplan_prodej!$F$87/9*1.21</f>
        <v>0</v>
      </c>
      <c r="V41" s="268">
        <f>-Businessplan_prodej!$F$87/9*1.21</f>
        <v>0</v>
      </c>
      <c r="W41" s="268">
        <f>-Businessplan_prodej!$F$87/9*1.21</f>
        <v>0</v>
      </c>
      <c r="X41" s="268">
        <f>-Businessplan_prodej!$F$87/9*1.21</f>
        <v>0</v>
      </c>
      <c r="Y41" s="268">
        <f>-Businessplan_prodej!$F$87/9*1.21</f>
        <v>0</v>
      </c>
      <c r="Z41" s="268">
        <f>-Businessplan_prodej!$F$87/9*1.21</f>
        <v>0</v>
      </c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67"/>
      <c r="BY41" s="262">
        <f t="shared" si="17"/>
        <v>0</v>
      </c>
      <c r="BZ41" s="597"/>
      <c r="CA41" s="222"/>
      <c r="CB41" s="248"/>
      <c r="CC41" s="597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</row>
    <row r="42" spans="1:138" ht="15.95" outlineLevel="1">
      <c r="A42" s="505"/>
      <c r="B42" s="600"/>
      <c r="C42" s="249" t="s">
        <v>177</v>
      </c>
      <c r="D42" s="269" t="s">
        <v>223</v>
      </c>
      <c r="E42" s="270"/>
      <c r="F42" s="271"/>
      <c r="G42" s="271"/>
      <c r="H42" s="271">
        <f t="shared" ref="H42:AA42" si="18">SUM(H43:H44)</f>
        <v>-36364</v>
      </c>
      <c r="I42" s="271">
        <f t="shared" si="18"/>
        <v>-8194</v>
      </c>
      <c r="J42" s="271">
        <f t="shared" si="18"/>
        <v>-27000</v>
      </c>
      <c r="K42" s="271">
        <f t="shared" si="18"/>
        <v>-7113</v>
      </c>
      <c r="L42" s="271">
        <f t="shared" si="18"/>
        <v>-5262</v>
      </c>
      <c r="M42" s="271">
        <f t="shared" si="18"/>
        <v>-3613</v>
      </c>
      <c r="N42" s="271">
        <f t="shared" si="18"/>
        <v>-3999</v>
      </c>
      <c r="O42" s="271">
        <f t="shared" si="18"/>
        <v>-6441</v>
      </c>
      <c r="P42" s="271">
        <f t="shared" si="18"/>
        <v>-5000</v>
      </c>
      <c r="Q42" s="271">
        <f t="shared" si="18"/>
        <v>-85000</v>
      </c>
      <c r="R42" s="271">
        <f t="shared" si="18"/>
        <v>-85000</v>
      </c>
      <c r="S42" s="271">
        <f t="shared" si="18"/>
        <v>-10000</v>
      </c>
      <c r="T42" s="271">
        <f t="shared" si="18"/>
        <v>-10000</v>
      </c>
      <c r="U42" s="271">
        <f t="shared" si="18"/>
        <v>-10000</v>
      </c>
      <c r="V42" s="271">
        <f t="shared" si="18"/>
        <v>-10000</v>
      </c>
      <c r="W42" s="271">
        <f t="shared" si="18"/>
        <v>-10000</v>
      </c>
      <c r="X42" s="271">
        <f t="shared" si="18"/>
        <v>-10000</v>
      </c>
      <c r="Y42" s="271">
        <f t="shared" si="18"/>
        <v>-10000</v>
      </c>
      <c r="Z42" s="271">
        <f t="shared" si="18"/>
        <v>-110000</v>
      </c>
      <c r="AA42" s="271">
        <f t="shared" si="18"/>
        <v>-10000</v>
      </c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2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60"/>
      <c r="BY42" s="262">
        <f t="shared" si="17"/>
        <v>-462986</v>
      </c>
      <c r="BZ42" s="597"/>
      <c r="CA42" s="222"/>
      <c r="CB42" s="248"/>
      <c r="CC42" s="597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</row>
    <row r="43" spans="1:138" ht="15.95" outlineLevel="2">
      <c r="A43" s="505"/>
      <c r="B43" s="600"/>
      <c r="C43" s="273" t="s">
        <v>243</v>
      </c>
      <c r="D43" s="250" t="s">
        <v>223</v>
      </c>
      <c r="E43" s="251"/>
      <c r="F43" s="251"/>
      <c r="G43" s="251"/>
      <c r="H43" s="274">
        <f>-11364</f>
        <v>-11364</v>
      </c>
      <c r="I43" s="274">
        <f>-8194</f>
        <v>-8194</v>
      </c>
      <c r="J43" s="274"/>
      <c r="K43" s="274">
        <f>-3219-3894</f>
        <v>-7113</v>
      </c>
      <c r="L43" s="274">
        <f>-5262</f>
        <v>-5262</v>
      </c>
      <c r="M43" s="274">
        <f>-3613</f>
        <v>-3613</v>
      </c>
      <c r="N43" s="274">
        <f>-3999</f>
        <v>-3999</v>
      </c>
      <c r="O43" s="274">
        <f>-6441</f>
        <v>-6441</v>
      </c>
      <c r="P43" s="274">
        <f>-5000</f>
        <v>-5000</v>
      </c>
      <c r="Q43" s="274">
        <f>-(Businessplan_prodej!$F$88-3000*25)/11</f>
        <v>-10000</v>
      </c>
      <c r="R43" s="274">
        <f>-(Businessplan_prodej!$F$88-3000*25)/11</f>
        <v>-10000</v>
      </c>
      <c r="S43" s="274">
        <f>-(Businessplan_prodej!$F$88-3000*25)/11</f>
        <v>-10000</v>
      </c>
      <c r="T43" s="274">
        <f>-(Businessplan_prodej!$F$88-3000*25)/11</f>
        <v>-10000</v>
      </c>
      <c r="U43" s="274">
        <f>-(Businessplan_prodej!$F$88-3000*25)/11</f>
        <v>-10000</v>
      </c>
      <c r="V43" s="274">
        <f>-(Businessplan_prodej!$F$88-3000*25)/11</f>
        <v>-10000</v>
      </c>
      <c r="W43" s="274">
        <f>-(Businessplan_prodej!$F$88-3000*25)/11</f>
        <v>-10000</v>
      </c>
      <c r="X43" s="274">
        <f>-(Businessplan_prodej!$F$88-3000*25)/11</f>
        <v>-10000</v>
      </c>
      <c r="Y43" s="274">
        <f>-(Businessplan_prodej!$F$88-3000*25)/11</f>
        <v>-10000</v>
      </c>
      <c r="Z43" s="274">
        <f>-(Businessplan_prodej!$F$88-3000*25)/11</f>
        <v>-10000</v>
      </c>
      <c r="AA43" s="274">
        <f>-(Businessplan_prodej!$F$88-3000*25)/11</f>
        <v>-10000</v>
      </c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60"/>
      <c r="BY43" s="262">
        <f t="shared" si="17"/>
        <v>-160986</v>
      </c>
      <c r="BZ43" s="597"/>
      <c r="CA43" s="222"/>
      <c r="CB43" s="248"/>
      <c r="CC43" s="597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</row>
    <row r="44" spans="1:138" ht="15.95" outlineLevel="2">
      <c r="A44" s="505"/>
      <c r="B44" s="600"/>
      <c r="C44" s="273" t="s">
        <v>244</v>
      </c>
      <c r="D44" s="250" t="s">
        <v>223</v>
      </c>
      <c r="E44" s="251"/>
      <c r="F44" s="251"/>
      <c r="G44" s="251"/>
      <c r="H44" s="274">
        <f>-25000</f>
        <v>-25000</v>
      </c>
      <c r="I44" s="274"/>
      <c r="J44" s="274">
        <f>-27000</f>
        <v>-27000</v>
      </c>
      <c r="K44" s="274"/>
      <c r="L44" s="274"/>
      <c r="M44" s="274"/>
      <c r="N44" s="274"/>
      <c r="O44" s="274"/>
      <c r="P44" s="274"/>
      <c r="Q44" s="274">
        <f t="shared" ref="Q44:R44" si="19">-3000*25</f>
        <v>-75000</v>
      </c>
      <c r="R44" s="274">
        <f t="shared" si="19"/>
        <v>-75000</v>
      </c>
      <c r="S44" s="274"/>
      <c r="T44" s="274"/>
      <c r="U44" s="274"/>
      <c r="V44" s="274"/>
      <c r="W44" s="274"/>
      <c r="X44" s="274"/>
      <c r="Y44" s="274"/>
      <c r="Z44" s="274">
        <f>-50000*2</f>
        <v>-100000</v>
      </c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60"/>
      <c r="BY44" s="262">
        <f t="shared" si="17"/>
        <v>-302000</v>
      </c>
      <c r="BZ44" s="597"/>
      <c r="CA44" s="222"/>
      <c r="CB44" s="248"/>
      <c r="CC44" s="597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</row>
    <row r="45" spans="1:138" ht="15.95" outlineLevel="1">
      <c r="A45" s="505"/>
      <c r="B45" s="600"/>
      <c r="C45" s="249" t="s">
        <v>178</v>
      </c>
      <c r="D45" s="250" t="s">
        <v>223</v>
      </c>
      <c r="E45" s="251"/>
      <c r="F45" s="251"/>
      <c r="G45" s="251"/>
      <c r="H45" s="252">
        <f>-1000</f>
        <v>-1000</v>
      </c>
      <c r="I45" s="252"/>
      <c r="J45" s="252">
        <f>-100</f>
        <v>-100</v>
      </c>
      <c r="K45" s="252">
        <f>-7230</f>
        <v>-7230</v>
      </c>
      <c r="L45" s="252">
        <f>-1000-6742</f>
        <v>-7742</v>
      </c>
      <c r="M45" s="252">
        <f>-2000-20570-2000</f>
        <v>-24570</v>
      </c>
      <c r="N45" s="252">
        <f>-19360-1980</f>
        <v>-21340</v>
      </c>
      <c r="O45" s="252">
        <f>-7865-7000-19360-21780-43021</f>
        <v>-99026</v>
      </c>
      <c r="P45" s="252">
        <f>-Businessplan_prodej!$F$68/12*1.21</f>
        <v>-19052.833333333336</v>
      </c>
      <c r="Q45" s="252">
        <f t="shared" ref="Q45:R45" si="20">-3500*1.21</f>
        <v>-4235</v>
      </c>
      <c r="R45" s="252">
        <f t="shared" si="20"/>
        <v>-4235</v>
      </c>
      <c r="S45" s="252">
        <f t="shared" ref="S45:Z45" si="21">-3500*1.21-19360</f>
        <v>-23595</v>
      </c>
      <c r="T45" s="252">
        <f t="shared" si="21"/>
        <v>-23595</v>
      </c>
      <c r="U45" s="252">
        <f t="shared" si="21"/>
        <v>-23595</v>
      </c>
      <c r="V45" s="252">
        <f t="shared" si="21"/>
        <v>-23595</v>
      </c>
      <c r="W45" s="252">
        <f t="shared" si="21"/>
        <v>-23595</v>
      </c>
      <c r="X45" s="252">
        <f t="shared" si="21"/>
        <v>-23595</v>
      </c>
      <c r="Y45" s="252">
        <f t="shared" si="21"/>
        <v>-23595</v>
      </c>
      <c r="Z45" s="252">
        <f t="shared" si="21"/>
        <v>-23595</v>
      </c>
      <c r="AA45" s="252">
        <f>-3500*1.21</f>
        <v>-4235</v>
      </c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60"/>
      <c r="BY45" s="262">
        <f t="shared" si="17"/>
        <v>-381525.83333333337</v>
      </c>
      <c r="BZ45" s="597"/>
      <c r="CA45" s="222"/>
      <c r="CB45" s="248"/>
      <c r="CC45" s="597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</row>
    <row r="46" spans="1:138" ht="14.25" customHeight="1" outlineLevel="1">
      <c r="A46" s="505"/>
      <c r="B46" s="600"/>
      <c r="C46" s="249" t="s">
        <v>179</v>
      </c>
      <c r="D46" s="250" t="s">
        <v>223</v>
      </c>
      <c r="E46" s="251"/>
      <c r="F46" s="251"/>
      <c r="G46" s="251"/>
      <c r="H46" s="252">
        <f>-10188.2-65673</f>
        <v>-75861.2</v>
      </c>
      <c r="I46" s="252">
        <f>-6776</f>
        <v>-6776</v>
      </c>
      <c r="J46" s="252"/>
      <c r="K46" s="252">
        <f>-4900.5</f>
        <v>-4900.5</v>
      </c>
      <c r="L46" s="252"/>
      <c r="M46" s="252"/>
      <c r="N46" s="252"/>
      <c r="O46" s="252"/>
      <c r="P46" s="252"/>
      <c r="Q46" s="252">
        <f>-Businessplan_prodej!$F$69*0.3*1.21-$K$46</f>
        <v>-30435.809999999998</v>
      </c>
      <c r="R46" s="252">
        <f>-Businessplan_prodej!$F$69*0.2*1.21</f>
        <v>-23557.54</v>
      </c>
      <c r="S46" s="252"/>
      <c r="T46" s="252">
        <f>-Businessplan_prodej!$F$69*0.25*1.21</f>
        <v>-29446.924999999999</v>
      </c>
      <c r="U46" s="251"/>
      <c r="V46" s="251"/>
      <c r="W46" s="251"/>
      <c r="X46" s="251"/>
      <c r="Y46" s="251"/>
      <c r="Z46" s="252">
        <f>-Businessplan_prodej!$F$69*0.25*1.21</f>
        <v>-29446.924999999999</v>
      </c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60"/>
      <c r="BY46" s="262">
        <f t="shared" si="17"/>
        <v>-200424.89999999997</v>
      </c>
      <c r="BZ46" s="597"/>
      <c r="CA46" s="222"/>
      <c r="CB46" s="248"/>
      <c r="CC46" s="597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22"/>
      <c r="DJ46" s="222"/>
      <c r="DK46" s="222"/>
      <c r="DL46" s="222"/>
      <c r="DM46" s="222"/>
      <c r="DN46" s="222"/>
      <c r="DO46" s="222"/>
      <c r="DP46" s="222"/>
      <c r="DQ46" s="222"/>
      <c r="DR46" s="222"/>
      <c r="DS46" s="222"/>
      <c r="DT46" s="222"/>
      <c r="DU46" s="222"/>
      <c r="DV46" s="222"/>
      <c r="DW46" s="222"/>
      <c r="DX46" s="222"/>
      <c r="DY46" s="222"/>
      <c r="DZ46" s="222"/>
      <c r="EA46" s="222"/>
      <c r="EB46" s="222"/>
      <c r="EC46" s="222"/>
      <c r="ED46" s="222"/>
      <c r="EE46" s="222"/>
      <c r="EF46" s="222"/>
      <c r="EG46" s="222"/>
      <c r="EH46" s="222"/>
    </row>
    <row r="47" spans="1:138" ht="14.25" customHeight="1" outlineLevel="1">
      <c r="A47" s="505"/>
      <c r="B47" s="600"/>
      <c r="C47" s="249" t="s">
        <v>180</v>
      </c>
      <c r="D47" s="250" t="s">
        <v>223</v>
      </c>
      <c r="E47" s="251"/>
      <c r="F47" s="251"/>
      <c r="G47" s="251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>
        <f>-Businessplan_prodej!$F$91*0.2*1.21</f>
        <v>-43560</v>
      </c>
      <c r="T47" s="252"/>
      <c r="U47" s="251"/>
      <c r="V47" s="251"/>
      <c r="W47" s="252">
        <f>-Businessplan_prodej!$F$91*0.3*1.21</f>
        <v>-65340</v>
      </c>
      <c r="X47" s="251"/>
      <c r="Y47" s="252">
        <f>-Businessplan_prodej!$F$91*0.5*1.21</f>
        <v>-108900</v>
      </c>
      <c r="Z47" s="252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60"/>
      <c r="BY47" s="262">
        <f t="shared" si="17"/>
        <v>-217800</v>
      </c>
      <c r="BZ47" s="597"/>
      <c r="CA47" s="222"/>
      <c r="CB47" s="248"/>
      <c r="CC47" s="597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/>
      <c r="DU47" s="222"/>
      <c r="DV47" s="222"/>
      <c r="DW47" s="222"/>
      <c r="DX47" s="222"/>
      <c r="DY47" s="222"/>
      <c r="DZ47" s="222"/>
      <c r="EA47" s="222"/>
      <c r="EB47" s="222"/>
      <c r="EC47" s="222"/>
      <c r="ED47" s="222"/>
      <c r="EE47" s="222"/>
      <c r="EF47" s="222"/>
      <c r="EG47" s="222"/>
      <c r="EH47" s="222"/>
    </row>
    <row r="48" spans="1:138" ht="14.25" customHeight="1" outlineLevel="1">
      <c r="A48" s="505"/>
      <c r="B48" s="600"/>
      <c r="C48" s="249" t="s">
        <v>181</v>
      </c>
      <c r="D48" s="254" t="s">
        <v>223</v>
      </c>
      <c r="E48" s="251"/>
      <c r="F48" s="251"/>
      <c r="G48" s="251"/>
      <c r="H48" s="252"/>
      <c r="I48" s="252"/>
      <c r="J48" s="252"/>
      <c r="K48" s="252">
        <f>-((17529*2*25.2+44407*2)*1.21)*75%</f>
        <v>-882340.10700000008</v>
      </c>
      <c r="L48" s="252"/>
      <c r="M48" s="252"/>
      <c r="N48" s="252"/>
      <c r="O48" s="252"/>
      <c r="P48" s="252"/>
      <c r="Q48" s="252"/>
      <c r="R48" s="252">
        <f>-((17529*2*25.2+44407*2)*1.21)*25%</f>
        <v>-294113.36900000001</v>
      </c>
      <c r="S48" s="252">
        <f>-Businessplan_prodej!$F$92*0.5*1.21</f>
        <v>-470266.4757999999</v>
      </c>
      <c r="T48" s="252"/>
      <c r="U48" s="251"/>
      <c r="V48" s="251"/>
      <c r="W48" s="251"/>
      <c r="X48" s="251"/>
      <c r="Y48" s="251"/>
      <c r="Z48" s="252">
        <f>-Businessplan_prodej!$F$92*0.5*1.21</f>
        <v>-470266.4757999999</v>
      </c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60"/>
      <c r="BY48" s="262">
        <f t="shared" si="17"/>
        <v>-2116986.4276000001</v>
      </c>
      <c r="BZ48" s="597"/>
      <c r="CA48" s="222"/>
      <c r="CB48" s="248"/>
      <c r="CC48" s="597"/>
      <c r="CD48" s="222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2"/>
      <c r="CV48" s="222"/>
      <c r="CW48" s="222"/>
      <c r="CX48" s="222"/>
      <c r="CY48" s="222"/>
      <c r="CZ48" s="222"/>
      <c r="DA48" s="222"/>
      <c r="DB48" s="222"/>
      <c r="DC48" s="222"/>
      <c r="DD48" s="222"/>
      <c r="DE48" s="222"/>
      <c r="DF48" s="222"/>
      <c r="DG48" s="222"/>
      <c r="DH48" s="222"/>
      <c r="DI48" s="222"/>
      <c r="DJ48" s="222"/>
      <c r="DK48" s="222"/>
      <c r="DL48" s="222"/>
      <c r="DM48" s="222"/>
      <c r="DN48" s="222"/>
      <c r="DO48" s="222"/>
      <c r="DP48" s="222"/>
      <c r="DQ48" s="222"/>
      <c r="DR48" s="222"/>
      <c r="DS48" s="222"/>
      <c r="DT48" s="222"/>
      <c r="DU48" s="222"/>
      <c r="DV48" s="222"/>
      <c r="DW48" s="222"/>
      <c r="DX48" s="222"/>
      <c r="DY48" s="222"/>
      <c r="DZ48" s="222"/>
      <c r="EA48" s="222"/>
      <c r="EB48" s="222"/>
      <c r="EC48" s="222"/>
      <c r="ED48" s="222"/>
      <c r="EE48" s="222"/>
      <c r="EF48" s="222"/>
      <c r="EG48" s="222"/>
      <c r="EH48" s="222"/>
    </row>
    <row r="49" spans="1:138" ht="15.95" collapsed="1">
      <c r="A49" s="505"/>
      <c r="B49" s="600"/>
      <c r="C49" s="244" t="s">
        <v>245</v>
      </c>
      <c r="D49" s="245"/>
      <c r="E49" s="246">
        <f t="shared" ref="E49:BX49" si="22">SUM(E50:E54)</f>
        <v>0</v>
      </c>
      <c r="F49" s="246">
        <f t="shared" si="22"/>
        <v>0</v>
      </c>
      <c r="G49" s="246">
        <f t="shared" si="22"/>
        <v>0</v>
      </c>
      <c r="H49" s="246">
        <f t="shared" si="22"/>
        <v>-1442.155</v>
      </c>
      <c r="I49" s="246">
        <f t="shared" si="22"/>
        <v>-4792.1949999999997</v>
      </c>
      <c r="J49" s="246">
        <f t="shared" si="22"/>
        <v>-1444.855</v>
      </c>
      <c r="K49" s="246">
        <f t="shared" si="22"/>
        <v>-1290.27</v>
      </c>
      <c r="L49" s="246">
        <f t="shared" si="22"/>
        <v>-1842.35</v>
      </c>
      <c r="M49" s="246">
        <f t="shared" si="22"/>
        <v>-1088.2900000000002</v>
      </c>
      <c r="N49" s="246">
        <f t="shared" si="22"/>
        <v>-1844.5900000000001</v>
      </c>
      <c r="O49" s="246">
        <f t="shared" si="22"/>
        <v>-3360</v>
      </c>
      <c r="P49" s="246">
        <f t="shared" si="22"/>
        <v>-1290.27</v>
      </c>
      <c r="Q49" s="246">
        <f t="shared" si="22"/>
        <v>-1290.27</v>
      </c>
      <c r="R49" s="246">
        <f t="shared" si="22"/>
        <v>-1290.27</v>
      </c>
      <c r="S49" s="246">
        <f t="shared" si="22"/>
        <v>-1290.27</v>
      </c>
      <c r="T49" s="246">
        <f t="shared" si="22"/>
        <v>-1290.27</v>
      </c>
      <c r="U49" s="246">
        <f t="shared" si="22"/>
        <v>-1290.27</v>
      </c>
      <c r="V49" s="246">
        <f t="shared" si="22"/>
        <v>-1290.27</v>
      </c>
      <c r="W49" s="246">
        <f t="shared" si="22"/>
        <v>-1290.27</v>
      </c>
      <c r="X49" s="246">
        <f t="shared" si="22"/>
        <v>-1290.27</v>
      </c>
      <c r="Y49" s="246">
        <f t="shared" si="22"/>
        <v>-1290.27</v>
      </c>
      <c r="Z49" s="246">
        <f t="shared" si="22"/>
        <v>-1290.27</v>
      </c>
      <c r="AA49" s="246">
        <f t="shared" si="22"/>
        <v>-1290.27</v>
      </c>
      <c r="AB49" s="246">
        <f t="shared" si="22"/>
        <v>0</v>
      </c>
      <c r="AC49" s="246">
        <f t="shared" si="22"/>
        <v>0</v>
      </c>
      <c r="AD49" s="246">
        <f t="shared" si="22"/>
        <v>0</v>
      </c>
      <c r="AE49" s="246">
        <f t="shared" si="22"/>
        <v>0</v>
      </c>
      <c r="AF49" s="246">
        <f t="shared" si="22"/>
        <v>0</v>
      </c>
      <c r="AG49" s="246">
        <f t="shared" si="22"/>
        <v>0</v>
      </c>
      <c r="AH49" s="246">
        <f t="shared" si="22"/>
        <v>0</v>
      </c>
      <c r="AI49" s="246">
        <f t="shared" si="22"/>
        <v>0</v>
      </c>
      <c r="AJ49" s="246">
        <f t="shared" si="22"/>
        <v>0</v>
      </c>
      <c r="AK49" s="246">
        <f t="shared" si="22"/>
        <v>0</v>
      </c>
      <c r="AL49" s="246">
        <f t="shared" si="22"/>
        <v>0</v>
      </c>
      <c r="AM49" s="246">
        <f t="shared" si="22"/>
        <v>0</v>
      </c>
      <c r="AN49" s="246">
        <f t="shared" si="22"/>
        <v>0</v>
      </c>
      <c r="AO49" s="246">
        <f t="shared" si="22"/>
        <v>0</v>
      </c>
      <c r="AP49" s="246">
        <f t="shared" si="22"/>
        <v>0</v>
      </c>
      <c r="AQ49" s="246">
        <f t="shared" si="22"/>
        <v>0</v>
      </c>
      <c r="AR49" s="246">
        <f t="shared" si="22"/>
        <v>0</v>
      </c>
      <c r="AS49" s="246">
        <f t="shared" si="22"/>
        <v>0</v>
      </c>
      <c r="AT49" s="246">
        <f t="shared" si="22"/>
        <v>0</v>
      </c>
      <c r="AU49" s="246">
        <f t="shared" si="22"/>
        <v>0</v>
      </c>
      <c r="AV49" s="246">
        <f t="shared" si="22"/>
        <v>0</v>
      </c>
      <c r="AW49" s="246">
        <f t="shared" si="22"/>
        <v>0</v>
      </c>
      <c r="AX49" s="246">
        <f t="shared" si="22"/>
        <v>0</v>
      </c>
      <c r="AY49" s="246">
        <f t="shared" si="22"/>
        <v>0</v>
      </c>
      <c r="AZ49" s="246">
        <f t="shared" si="22"/>
        <v>0</v>
      </c>
      <c r="BA49" s="246">
        <f t="shared" si="22"/>
        <v>0</v>
      </c>
      <c r="BB49" s="246">
        <f t="shared" si="22"/>
        <v>0</v>
      </c>
      <c r="BC49" s="246">
        <f t="shared" si="22"/>
        <v>0</v>
      </c>
      <c r="BD49" s="246">
        <f t="shared" si="22"/>
        <v>0</v>
      </c>
      <c r="BE49" s="246">
        <f t="shared" si="22"/>
        <v>0</v>
      </c>
      <c r="BF49" s="246">
        <f t="shared" si="22"/>
        <v>0</v>
      </c>
      <c r="BG49" s="246">
        <f t="shared" si="22"/>
        <v>0</v>
      </c>
      <c r="BH49" s="246">
        <f t="shared" si="22"/>
        <v>0</v>
      </c>
      <c r="BI49" s="246">
        <f t="shared" si="22"/>
        <v>0</v>
      </c>
      <c r="BJ49" s="246">
        <f t="shared" si="22"/>
        <v>0</v>
      </c>
      <c r="BK49" s="246">
        <f t="shared" si="22"/>
        <v>0</v>
      </c>
      <c r="BL49" s="246">
        <f t="shared" si="22"/>
        <v>0</v>
      </c>
      <c r="BM49" s="246">
        <f t="shared" si="22"/>
        <v>0</v>
      </c>
      <c r="BN49" s="246">
        <f t="shared" si="22"/>
        <v>0</v>
      </c>
      <c r="BO49" s="246">
        <f t="shared" si="22"/>
        <v>0</v>
      </c>
      <c r="BP49" s="246">
        <f t="shared" si="22"/>
        <v>0</v>
      </c>
      <c r="BQ49" s="246">
        <f t="shared" si="22"/>
        <v>0</v>
      </c>
      <c r="BR49" s="246">
        <f t="shared" si="22"/>
        <v>0</v>
      </c>
      <c r="BS49" s="246">
        <f t="shared" si="22"/>
        <v>0</v>
      </c>
      <c r="BT49" s="246">
        <f t="shared" si="22"/>
        <v>0</v>
      </c>
      <c r="BU49" s="246">
        <f t="shared" si="22"/>
        <v>0</v>
      </c>
      <c r="BV49" s="246">
        <f t="shared" si="22"/>
        <v>0</v>
      </c>
      <c r="BW49" s="246">
        <f t="shared" si="22"/>
        <v>0</v>
      </c>
      <c r="BX49" s="246">
        <f t="shared" si="22"/>
        <v>0</v>
      </c>
      <c r="BY49" s="248">
        <f>SUM(BY50:BY54)</f>
        <v>-32587.945000000007</v>
      </c>
      <c r="BZ49" s="597"/>
      <c r="CA49" s="222"/>
      <c r="CB49" s="248"/>
      <c r="CC49" s="597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2"/>
      <c r="DE49" s="222"/>
      <c r="DF49" s="222"/>
      <c r="DG49" s="222"/>
      <c r="DH49" s="222"/>
      <c r="DI49" s="222"/>
      <c r="DJ49" s="222"/>
      <c r="DK49" s="222"/>
      <c r="DL49" s="222"/>
      <c r="DM49" s="222"/>
      <c r="DN49" s="222"/>
      <c r="DO49" s="222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2"/>
      <c r="EA49" s="222"/>
      <c r="EB49" s="222"/>
      <c r="EC49" s="222"/>
      <c r="ED49" s="222"/>
      <c r="EE49" s="222"/>
      <c r="EF49" s="222"/>
      <c r="EG49" s="222"/>
      <c r="EH49" s="222"/>
    </row>
    <row r="50" spans="1:138" ht="15.95" hidden="1" outlineLevel="1">
      <c r="A50" s="505"/>
      <c r="B50" s="600"/>
      <c r="C50" s="249" t="s">
        <v>183</v>
      </c>
      <c r="D50" s="250" t="s">
        <v>223</v>
      </c>
      <c r="E50" s="251"/>
      <c r="F50" s="251"/>
      <c r="G50" s="251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60"/>
      <c r="BY50" s="261">
        <f t="shared" ref="BY50:BY54" si="23">SUM(E50:BX50)</f>
        <v>0</v>
      </c>
      <c r="BZ50" s="597"/>
      <c r="CA50" s="222"/>
      <c r="CB50" s="248"/>
      <c r="CC50" s="597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22"/>
      <c r="DH50" s="222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</row>
    <row r="51" spans="1:138" ht="15.95" hidden="1" outlineLevel="1">
      <c r="A51" s="505"/>
      <c r="B51" s="600"/>
      <c r="C51" s="249" t="s">
        <v>246</v>
      </c>
      <c r="D51" s="250" t="s">
        <v>223</v>
      </c>
      <c r="E51" s="251"/>
      <c r="F51" s="251"/>
      <c r="G51" s="251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60"/>
      <c r="BY51" s="261">
        <f t="shared" si="23"/>
        <v>0</v>
      </c>
      <c r="BZ51" s="597"/>
      <c r="CA51" s="222"/>
      <c r="CB51" s="248"/>
      <c r="CC51" s="597"/>
      <c r="CD51" s="222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222"/>
      <c r="DJ51" s="222"/>
      <c r="DK51" s="222"/>
      <c r="DL51" s="222"/>
      <c r="DM51" s="222"/>
      <c r="DN51" s="222"/>
      <c r="DO51" s="222"/>
      <c r="DP51" s="222"/>
      <c r="DQ51" s="222"/>
      <c r="DR51" s="222"/>
      <c r="DS51" s="222"/>
      <c r="DT51" s="222"/>
      <c r="DU51" s="222"/>
      <c r="DV51" s="222"/>
      <c r="DW51" s="222"/>
      <c r="DX51" s="222"/>
      <c r="DY51" s="222"/>
      <c r="DZ51" s="222"/>
      <c r="EA51" s="222"/>
      <c r="EB51" s="222"/>
      <c r="EC51" s="222"/>
      <c r="ED51" s="222"/>
      <c r="EE51" s="222"/>
      <c r="EF51" s="222"/>
      <c r="EG51" s="222"/>
      <c r="EH51" s="222"/>
    </row>
    <row r="52" spans="1:138" ht="15.95" hidden="1" outlineLevel="1">
      <c r="A52" s="505"/>
      <c r="B52" s="600"/>
      <c r="C52" s="249" t="s">
        <v>247</v>
      </c>
      <c r="D52" s="250" t="s">
        <v>223</v>
      </c>
      <c r="E52" s="251"/>
      <c r="F52" s="251"/>
      <c r="G52" s="251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60"/>
      <c r="BY52" s="261">
        <f t="shared" si="23"/>
        <v>0</v>
      </c>
      <c r="BZ52" s="597"/>
      <c r="CA52" s="222"/>
      <c r="CB52" s="248"/>
      <c r="CC52" s="597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</row>
    <row r="53" spans="1:138" ht="15.95" hidden="1" outlineLevel="1">
      <c r="A53" s="505"/>
      <c r="B53" s="600"/>
      <c r="C53" s="249" t="s">
        <v>189</v>
      </c>
      <c r="D53" s="250" t="s">
        <v>223</v>
      </c>
      <c r="E53" s="251"/>
      <c r="F53" s="251"/>
      <c r="G53" s="251"/>
      <c r="H53" s="252">
        <f>-3-12-5-200-2-12-400-36-(0.02+0.09+0.21+17.06)*22-15.91*24.5</f>
        <v>-1442.155</v>
      </c>
      <c r="I53" s="252">
        <f>-6-5-200-12-400-24-2-16.19*24.5-17.57*22</f>
        <v>-1432.1949999999999</v>
      </c>
      <c r="J53" s="252">
        <f>-3-32-5-6-200-15-400-2-(0.01+0.08+15.98+0.2)*24.5-(0.02+0.09+0.21+17.1)*22</f>
        <v>-1444.855</v>
      </c>
      <c r="K53" s="252">
        <f>-20-12-3-200-2-400-10-2-10.9*24.5-17.01*22</f>
        <v>-1290.27</v>
      </c>
      <c r="L53" s="252">
        <f>-12-4-6-200-15-400-24-400-15.98*24.5-17.72*22</f>
        <v>-1842.35</v>
      </c>
      <c r="M53" s="252">
        <f>-40-200-15-2-12-400-10-2-400.11-(0.01+0.08+0.2+15.89)*25-(0.03-0.09-17.78-0.22)*22</f>
        <v>-1088.2900000000002</v>
      </c>
      <c r="N53" s="252">
        <f>-9-9-5-200-400-24-3-399.88-15.79*25-18.18*22</f>
        <v>-1844.5900000000001</v>
      </c>
      <c r="O53" s="252"/>
      <c r="P53" s="252">
        <f t="shared" ref="P53:AA53" si="24">-20-12-3-200-2-400-10-2-10.9*24.5-17.01*22</f>
        <v>-1290.27</v>
      </c>
      <c r="Q53" s="252">
        <f t="shared" si="24"/>
        <v>-1290.27</v>
      </c>
      <c r="R53" s="252">
        <f t="shared" si="24"/>
        <v>-1290.27</v>
      </c>
      <c r="S53" s="252">
        <f t="shared" si="24"/>
        <v>-1290.27</v>
      </c>
      <c r="T53" s="252">
        <f t="shared" si="24"/>
        <v>-1290.27</v>
      </c>
      <c r="U53" s="252">
        <f t="shared" si="24"/>
        <v>-1290.27</v>
      </c>
      <c r="V53" s="252">
        <f t="shared" si="24"/>
        <v>-1290.27</v>
      </c>
      <c r="W53" s="252">
        <f t="shared" si="24"/>
        <v>-1290.27</v>
      </c>
      <c r="X53" s="252">
        <f t="shared" si="24"/>
        <v>-1290.27</v>
      </c>
      <c r="Y53" s="252">
        <f t="shared" si="24"/>
        <v>-1290.27</v>
      </c>
      <c r="Z53" s="252">
        <f t="shared" si="24"/>
        <v>-1290.27</v>
      </c>
      <c r="AA53" s="252">
        <f t="shared" si="24"/>
        <v>-1290.27</v>
      </c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60"/>
      <c r="BY53" s="262">
        <f t="shared" si="23"/>
        <v>-25867.945000000007</v>
      </c>
      <c r="BZ53" s="597"/>
      <c r="CA53" s="222"/>
      <c r="CB53" s="248"/>
      <c r="CC53" s="597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</row>
    <row r="54" spans="1:138" ht="15.95" hidden="1" outlineLevel="1">
      <c r="A54" s="505"/>
      <c r="B54" s="600"/>
      <c r="C54" s="249" t="s">
        <v>190</v>
      </c>
      <c r="D54" s="254" t="s">
        <v>223</v>
      </c>
      <c r="E54" s="255"/>
      <c r="F54" s="255"/>
      <c r="G54" s="251"/>
      <c r="H54" s="252"/>
      <c r="I54" s="252">
        <f>-3360</f>
        <v>-3360</v>
      </c>
      <c r="J54" s="252"/>
      <c r="K54" s="252"/>
      <c r="L54" s="252"/>
      <c r="M54" s="252"/>
      <c r="N54" s="252"/>
      <c r="O54" s="252">
        <f>-3360</f>
        <v>-3360</v>
      </c>
      <c r="P54" s="252"/>
      <c r="Q54" s="252"/>
      <c r="R54" s="252"/>
      <c r="S54" s="252"/>
      <c r="T54" s="252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60"/>
      <c r="BY54" s="264">
        <f t="shared" si="23"/>
        <v>-6720</v>
      </c>
      <c r="BZ54" s="597"/>
      <c r="CA54" s="222"/>
      <c r="CB54" s="248"/>
      <c r="CC54" s="597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</row>
    <row r="55" spans="1:138" ht="15.95">
      <c r="A55" s="505"/>
      <c r="B55" s="600"/>
      <c r="C55" s="244" t="s">
        <v>248</v>
      </c>
      <c r="D55" s="245"/>
      <c r="E55" s="246">
        <f t="shared" ref="E55:BX55" si="25">SUM(E56:E62)</f>
        <v>0</v>
      </c>
      <c r="F55" s="246">
        <f t="shared" si="25"/>
        <v>0</v>
      </c>
      <c r="G55" s="246">
        <f t="shared" si="25"/>
        <v>0</v>
      </c>
      <c r="H55" s="246">
        <f t="shared" si="25"/>
        <v>0</v>
      </c>
      <c r="I55" s="246">
        <f t="shared" si="25"/>
        <v>0</v>
      </c>
      <c r="J55" s="246">
        <f t="shared" si="25"/>
        <v>0</v>
      </c>
      <c r="K55" s="246">
        <f t="shared" si="25"/>
        <v>0</v>
      </c>
      <c r="L55" s="246">
        <f t="shared" si="25"/>
        <v>0</v>
      </c>
      <c r="M55" s="246">
        <f t="shared" si="25"/>
        <v>-48944.520000000004</v>
      </c>
      <c r="N55" s="246">
        <f t="shared" si="25"/>
        <v>-123582.04</v>
      </c>
      <c r="O55" s="246">
        <f t="shared" si="25"/>
        <v>-10395.44</v>
      </c>
      <c r="P55" s="246">
        <f t="shared" si="25"/>
        <v>-280000.00000000006</v>
      </c>
      <c r="Q55" s="246">
        <f t="shared" si="25"/>
        <v>-300416.6666666668</v>
      </c>
      <c r="R55" s="246">
        <f t="shared" si="25"/>
        <v>-300416.6666666668</v>
      </c>
      <c r="S55" s="246">
        <f t="shared" si="25"/>
        <v>-259583.33333333346</v>
      </c>
      <c r="T55" s="246">
        <f t="shared" si="25"/>
        <v>-259583.33333333346</v>
      </c>
      <c r="U55" s="246">
        <f t="shared" si="25"/>
        <v>-259583.33333333346</v>
      </c>
      <c r="V55" s="246">
        <f t="shared" si="25"/>
        <v>-284471.33333333349</v>
      </c>
      <c r="W55" s="246">
        <f t="shared" si="25"/>
        <v>-309359.33333333349</v>
      </c>
      <c r="X55" s="246">
        <f t="shared" si="25"/>
        <v>-334247.33333333349</v>
      </c>
      <c r="Y55" s="246">
        <f t="shared" si="25"/>
        <v>-359135.33333333349</v>
      </c>
      <c r="Z55" s="246">
        <f t="shared" si="25"/>
        <v>-384023.33333333349</v>
      </c>
      <c r="AA55" s="246">
        <f t="shared" si="25"/>
        <v>-2919935.8333333335</v>
      </c>
      <c r="AB55" s="246">
        <f t="shared" si="25"/>
        <v>0</v>
      </c>
      <c r="AC55" s="246">
        <f t="shared" si="25"/>
        <v>0</v>
      </c>
      <c r="AD55" s="246">
        <f t="shared" si="25"/>
        <v>0</v>
      </c>
      <c r="AE55" s="246">
        <f t="shared" si="25"/>
        <v>0</v>
      </c>
      <c r="AF55" s="246">
        <f t="shared" si="25"/>
        <v>0</v>
      </c>
      <c r="AG55" s="246">
        <f t="shared" si="25"/>
        <v>0</v>
      </c>
      <c r="AH55" s="246">
        <f t="shared" si="25"/>
        <v>0</v>
      </c>
      <c r="AI55" s="246">
        <f t="shared" si="25"/>
        <v>0</v>
      </c>
      <c r="AJ55" s="246">
        <f t="shared" si="25"/>
        <v>0</v>
      </c>
      <c r="AK55" s="246">
        <f t="shared" si="25"/>
        <v>0</v>
      </c>
      <c r="AL55" s="246">
        <f t="shared" si="25"/>
        <v>0</v>
      </c>
      <c r="AM55" s="246">
        <f t="shared" si="25"/>
        <v>0</v>
      </c>
      <c r="AN55" s="246">
        <f t="shared" si="25"/>
        <v>0</v>
      </c>
      <c r="AO55" s="246">
        <f t="shared" si="25"/>
        <v>0</v>
      </c>
      <c r="AP55" s="246">
        <f t="shared" si="25"/>
        <v>0</v>
      </c>
      <c r="AQ55" s="246">
        <f t="shared" si="25"/>
        <v>0</v>
      </c>
      <c r="AR55" s="246">
        <f t="shared" si="25"/>
        <v>0</v>
      </c>
      <c r="AS55" s="246">
        <f t="shared" si="25"/>
        <v>0</v>
      </c>
      <c r="AT55" s="246">
        <f t="shared" si="25"/>
        <v>0</v>
      </c>
      <c r="AU55" s="246">
        <f t="shared" si="25"/>
        <v>0</v>
      </c>
      <c r="AV55" s="246">
        <f t="shared" si="25"/>
        <v>0</v>
      </c>
      <c r="AW55" s="246">
        <f t="shared" si="25"/>
        <v>0</v>
      </c>
      <c r="AX55" s="246">
        <f t="shared" si="25"/>
        <v>0</v>
      </c>
      <c r="AY55" s="246">
        <f t="shared" si="25"/>
        <v>0</v>
      </c>
      <c r="AZ55" s="246">
        <f t="shared" si="25"/>
        <v>0</v>
      </c>
      <c r="BA55" s="246">
        <f t="shared" si="25"/>
        <v>0</v>
      </c>
      <c r="BB55" s="246">
        <f t="shared" si="25"/>
        <v>0</v>
      </c>
      <c r="BC55" s="246">
        <f t="shared" si="25"/>
        <v>0</v>
      </c>
      <c r="BD55" s="246">
        <f t="shared" si="25"/>
        <v>0</v>
      </c>
      <c r="BE55" s="246">
        <f t="shared" si="25"/>
        <v>0</v>
      </c>
      <c r="BF55" s="246">
        <f t="shared" si="25"/>
        <v>0</v>
      </c>
      <c r="BG55" s="246">
        <f t="shared" si="25"/>
        <v>0</v>
      </c>
      <c r="BH55" s="246">
        <f t="shared" si="25"/>
        <v>0</v>
      </c>
      <c r="BI55" s="246">
        <f t="shared" si="25"/>
        <v>0</v>
      </c>
      <c r="BJ55" s="246">
        <f t="shared" si="25"/>
        <v>0</v>
      </c>
      <c r="BK55" s="246">
        <f t="shared" si="25"/>
        <v>0</v>
      </c>
      <c r="BL55" s="246">
        <f t="shared" si="25"/>
        <v>0</v>
      </c>
      <c r="BM55" s="246">
        <f t="shared" si="25"/>
        <v>0</v>
      </c>
      <c r="BN55" s="246">
        <f t="shared" si="25"/>
        <v>0</v>
      </c>
      <c r="BO55" s="246">
        <f t="shared" si="25"/>
        <v>0</v>
      </c>
      <c r="BP55" s="246">
        <f t="shared" si="25"/>
        <v>0</v>
      </c>
      <c r="BQ55" s="246">
        <f t="shared" si="25"/>
        <v>0</v>
      </c>
      <c r="BR55" s="246">
        <f t="shared" si="25"/>
        <v>0</v>
      </c>
      <c r="BS55" s="246">
        <f t="shared" si="25"/>
        <v>0</v>
      </c>
      <c r="BT55" s="246">
        <f t="shared" si="25"/>
        <v>0</v>
      </c>
      <c r="BU55" s="246">
        <f t="shared" si="25"/>
        <v>0</v>
      </c>
      <c r="BV55" s="246">
        <f t="shared" si="25"/>
        <v>0</v>
      </c>
      <c r="BW55" s="246">
        <f t="shared" si="25"/>
        <v>0</v>
      </c>
      <c r="BX55" s="246">
        <f t="shared" si="25"/>
        <v>0</v>
      </c>
      <c r="BY55" s="248">
        <f>SUM(BY56:BY62)</f>
        <v>-6433677.8333333349</v>
      </c>
      <c r="BZ55" s="597"/>
      <c r="CA55" s="222"/>
      <c r="CB55" s="248"/>
      <c r="CC55" s="597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222"/>
      <c r="DJ55" s="222"/>
      <c r="DK55" s="222"/>
      <c r="DL55" s="222"/>
      <c r="DM55" s="222"/>
      <c r="DN55" s="222"/>
      <c r="DO55" s="222"/>
      <c r="DP55" s="222"/>
      <c r="DQ55" s="222"/>
      <c r="DR55" s="222"/>
      <c r="DS55" s="222"/>
      <c r="DT55" s="222"/>
      <c r="DU55" s="222"/>
      <c r="DV55" s="222"/>
      <c r="DW55" s="222"/>
      <c r="DX55" s="222"/>
      <c r="DY55" s="222"/>
      <c r="DZ55" s="222"/>
      <c r="EA55" s="222"/>
      <c r="EB55" s="222"/>
      <c r="EC55" s="222"/>
      <c r="ED55" s="222"/>
      <c r="EE55" s="222"/>
      <c r="EF55" s="222"/>
      <c r="EG55" s="222"/>
      <c r="EH55" s="222"/>
    </row>
    <row r="56" spans="1:138" ht="15.95" outlineLevel="1">
      <c r="A56" s="505"/>
      <c r="B56" s="600"/>
      <c r="C56" s="249" t="s">
        <v>249</v>
      </c>
      <c r="D56" s="275">
        <v>0</v>
      </c>
      <c r="E56" s="251"/>
      <c r="F56" s="251"/>
      <c r="G56" s="251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1"/>
      <c r="V56" s="251"/>
      <c r="W56" s="251"/>
      <c r="X56" s="251"/>
      <c r="Y56" s="251"/>
      <c r="Z56" s="251"/>
      <c r="AA56" s="265">
        <f>-SUM(' Interest Calc Cash-flow Plan v'!E8:E23)-' Interest Calc Cash-flow Plan v'!E23</f>
        <v>-2535912.5</v>
      </c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76">
        <f t="shared" ref="BY56:BY62" si="26">SUM(E56:BX56)</f>
        <v>-2535912.5</v>
      </c>
      <c r="BZ56" s="597"/>
      <c r="CA56" s="222"/>
      <c r="CB56" s="248"/>
      <c r="CC56" s="597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</row>
    <row r="57" spans="1:138" ht="15.95" outlineLevel="1">
      <c r="A57" s="505"/>
      <c r="B57" s="600"/>
      <c r="C57" s="249" t="s">
        <v>250</v>
      </c>
      <c r="D57" s="275">
        <v>0.11</v>
      </c>
      <c r="E57" s="251"/>
      <c r="F57" s="251"/>
      <c r="G57" s="251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1"/>
      <c r="V57" s="251"/>
      <c r="W57" s="251"/>
      <c r="X57" s="251"/>
      <c r="Y57" s="251"/>
      <c r="Z57" s="251"/>
      <c r="AA57" s="265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76">
        <f t="shared" si="26"/>
        <v>0</v>
      </c>
      <c r="BZ57" s="597"/>
      <c r="CA57" s="222"/>
      <c r="CB57" s="248"/>
      <c r="CC57" s="597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</row>
    <row r="58" spans="1:138" ht="15.95" outlineLevel="1">
      <c r="A58" s="505"/>
      <c r="B58" s="600"/>
      <c r="C58" s="249" t="s">
        <v>251</v>
      </c>
      <c r="D58" s="275">
        <v>0.11</v>
      </c>
      <c r="E58" s="251"/>
      <c r="F58" s="251"/>
      <c r="G58" s="251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76">
        <f t="shared" si="26"/>
        <v>0</v>
      </c>
      <c r="BZ58" s="597"/>
      <c r="CA58" s="222"/>
      <c r="CB58" s="248"/>
      <c r="CC58" s="597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</row>
    <row r="59" spans="1:138" ht="15.95" outlineLevel="1">
      <c r="A59" s="505"/>
      <c r="B59" s="600"/>
      <c r="C59" s="249" t="s">
        <v>252</v>
      </c>
      <c r="D59" s="275">
        <v>0.105</v>
      </c>
      <c r="E59" s="251"/>
      <c r="F59" s="251"/>
      <c r="G59" s="251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77">
        <f t="shared" si="26"/>
        <v>0</v>
      </c>
      <c r="BZ59" s="597"/>
      <c r="CA59" s="222"/>
      <c r="CB59" s="248"/>
      <c r="CC59" s="597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</row>
    <row r="60" spans="1:138" ht="15.95" outlineLevel="1">
      <c r="A60" s="505"/>
      <c r="B60" s="600"/>
      <c r="C60" s="249" t="s">
        <v>253</v>
      </c>
      <c r="D60" s="275">
        <v>0.15</v>
      </c>
      <c r="E60" s="251"/>
      <c r="F60" s="251"/>
      <c r="G60" s="251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78">
        <f t="shared" si="26"/>
        <v>0</v>
      </c>
      <c r="BZ60" s="597"/>
      <c r="CA60" s="222"/>
      <c r="CB60" s="248"/>
      <c r="CC60" s="597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</row>
    <row r="61" spans="1:138" ht="15.95" outlineLevel="1">
      <c r="A61" s="505"/>
      <c r="B61" s="600"/>
      <c r="C61" s="249" t="s">
        <v>254</v>
      </c>
      <c r="D61" s="279">
        <v>6.1199999999999997E-2</v>
      </c>
      <c r="E61" s="255"/>
      <c r="F61" s="255"/>
      <c r="G61" s="255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>
        <f>-U10*D61/12</f>
        <v>0</v>
      </c>
      <c r="V61" s="256">
        <f t="shared" ref="V61:AA61" si="27">-SUM($U$10:V10)*$D$61/12</f>
        <v>-24888</v>
      </c>
      <c r="W61" s="256">
        <f t="shared" si="27"/>
        <v>-49776</v>
      </c>
      <c r="X61" s="256">
        <f t="shared" si="27"/>
        <v>-74664</v>
      </c>
      <c r="Y61" s="256">
        <f t="shared" si="27"/>
        <v>-99552</v>
      </c>
      <c r="Z61" s="256">
        <f t="shared" si="27"/>
        <v>-124440</v>
      </c>
      <c r="AA61" s="256">
        <f t="shared" si="27"/>
        <v>-124440</v>
      </c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  <c r="BL61" s="251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78">
        <f t="shared" si="26"/>
        <v>-497760</v>
      </c>
      <c r="BZ61" s="597"/>
      <c r="CA61" s="222"/>
      <c r="CB61" s="248"/>
      <c r="CC61" s="597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</row>
    <row r="62" spans="1:138" ht="15.95" outlineLevel="1">
      <c r="A62" s="505"/>
      <c r="B62" s="600"/>
      <c r="C62" s="280" t="s">
        <v>255</v>
      </c>
      <c r="D62" s="281">
        <v>7.0000000000000007E-2</v>
      </c>
      <c r="E62" s="282"/>
      <c r="F62" s="282"/>
      <c r="G62" s="282"/>
      <c r="H62" s="283"/>
      <c r="I62" s="283"/>
      <c r="J62" s="283"/>
      <c r="K62" s="283"/>
      <c r="L62" s="283"/>
      <c r="M62" s="283">
        <f>-500-3013.89-17009.89-28420.74</f>
        <v>-48944.520000000004</v>
      </c>
      <c r="N62" s="361">
        <f>-500-3013.89-9715.85-35542.84-269.74-74539.72</f>
        <v>-123582.04</v>
      </c>
      <c r="O62" s="283">
        <f>-10395.44</f>
        <v>-10395.44</v>
      </c>
      <c r="P62" s="283">
        <v>-280000.00000000006</v>
      </c>
      <c r="Q62" s="283">
        <f t="shared" ref="Q62:R62" si="28">-SUM($K$11:Q11)*$D$62/12</f>
        <v>-300416.6666666668</v>
      </c>
      <c r="R62" s="283">
        <f t="shared" si="28"/>
        <v>-300416.6666666668</v>
      </c>
      <c r="S62" s="283">
        <f t="shared" ref="S62:AA62" si="29">(-SUM($K$11:S11)+7000000)*$D$62/12</f>
        <v>-259583.33333333346</v>
      </c>
      <c r="T62" s="283">
        <f t="shared" si="29"/>
        <v>-259583.33333333346</v>
      </c>
      <c r="U62" s="283">
        <f t="shared" si="29"/>
        <v>-259583.33333333346</v>
      </c>
      <c r="V62" s="283">
        <f t="shared" si="29"/>
        <v>-259583.33333333346</v>
      </c>
      <c r="W62" s="283">
        <f t="shared" si="29"/>
        <v>-259583.33333333346</v>
      </c>
      <c r="X62" s="283">
        <f t="shared" si="29"/>
        <v>-259583.33333333346</v>
      </c>
      <c r="Y62" s="283">
        <f t="shared" si="29"/>
        <v>-259583.33333333346</v>
      </c>
      <c r="Z62" s="283">
        <f t="shared" si="29"/>
        <v>-259583.33333333346</v>
      </c>
      <c r="AA62" s="283">
        <f t="shared" si="29"/>
        <v>-259583.33333333346</v>
      </c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4"/>
      <c r="BN62" s="284"/>
      <c r="BO62" s="284"/>
      <c r="BP62" s="284"/>
      <c r="BQ62" s="284"/>
      <c r="BR62" s="284"/>
      <c r="BS62" s="284"/>
      <c r="BT62" s="284"/>
      <c r="BU62" s="284"/>
      <c r="BV62" s="284"/>
      <c r="BW62" s="284"/>
      <c r="BX62" s="284"/>
      <c r="BY62" s="285">
        <f t="shared" si="26"/>
        <v>-3400005.3333333349</v>
      </c>
      <c r="BZ62" s="597"/>
      <c r="CA62" s="222"/>
      <c r="CB62" s="248"/>
      <c r="CC62" s="597"/>
      <c r="CD62" s="222"/>
      <c r="CE62" s="222"/>
      <c r="CF62" s="222"/>
      <c r="CG62" s="222"/>
      <c r="CH62" s="222"/>
      <c r="CI62" s="222"/>
      <c r="CJ62" s="222"/>
      <c r="CK62" s="222"/>
      <c r="CL62" s="222"/>
      <c r="CM62" s="222"/>
      <c r="CN62" s="222"/>
      <c r="CO62" s="222"/>
      <c r="CP62" s="222"/>
      <c r="CQ62" s="222"/>
      <c r="CR62" s="222"/>
      <c r="CS62" s="222"/>
      <c r="CT62" s="222"/>
      <c r="CU62" s="222"/>
      <c r="CV62" s="222"/>
      <c r="CW62" s="222"/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222"/>
      <c r="DT62" s="222"/>
      <c r="DU62" s="222"/>
      <c r="DV62" s="222"/>
      <c r="DW62" s="222"/>
      <c r="DX62" s="222"/>
      <c r="DY62" s="222"/>
      <c r="DZ62" s="222"/>
      <c r="EA62" s="222"/>
      <c r="EB62" s="222"/>
      <c r="EC62" s="222"/>
      <c r="ED62" s="222"/>
      <c r="EE62" s="222"/>
      <c r="EF62" s="222"/>
      <c r="EG62" s="222"/>
      <c r="EH62" s="222"/>
    </row>
    <row r="63" spans="1:138" ht="15.95" collapsed="1">
      <c r="A63" s="505"/>
      <c r="B63" s="600"/>
      <c r="C63" s="244" t="s">
        <v>256</v>
      </c>
      <c r="D63" s="245"/>
      <c r="E63" s="246">
        <f t="shared" ref="E63:BY63" si="30">SUM(E64:E86)</f>
        <v>0</v>
      </c>
      <c r="F63" s="246">
        <f t="shared" si="30"/>
        <v>0</v>
      </c>
      <c r="G63" s="246">
        <f t="shared" si="30"/>
        <v>0</v>
      </c>
      <c r="H63" s="246">
        <f t="shared" si="30"/>
        <v>0</v>
      </c>
      <c r="I63" s="246">
        <f t="shared" si="30"/>
        <v>0</v>
      </c>
      <c r="J63" s="246">
        <f t="shared" si="30"/>
        <v>0</v>
      </c>
      <c r="K63" s="246">
        <f t="shared" si="30"/>
        <v>0</v>
      </c>
      <c r="L63" s="246">
        <f t="shared" si="30"/>
        <v>0</v>
      </c>
      <c r="M63" s="246">
        <f t="shared" si="30"/>
        <v>0</v>
      </c>
      <c r="N63" s="246">
        <f t="shared" si="30"/>
        <v>0</v>
      </c>
      <c r="O63" s="246">
        <f t="shared" si="30"/>
        <v>0</v>
      </c>
      <c r="P63" s="246">
        <f t="shared" si="30"/>
        <v>0</v>
      </c>
      <c r="Q63" s="246">
        <f t="shared" si="30"/>
        <v>0</v>
      </c>
      <c r="R63" s="246">
        <f t="shared" si="30"/>
        <v>0</v>
      </c>
      <c r="S63" s="246">
        <f t="shared" si="30"/>
        <v>0</v>
      </c>
      <c r="T63" s="246">
        <f t="shared" si="30"/>
        <v>0</v>
      </c>
      <c r="U63" s="246">
        <f t="shared" si="30"/>
        <v>0</v>
      </c>
      <c r="V63" s="246">
        <f t="shared" si="30"/>
        <v>0</v>
      </c>
      <c r="W63" s="246">
        <f t="shared" si="30"/>
        <v>0</v>
      </c>
      <c r="X63" s="246">
        <f t="shared" si="30"/>
        <v>0</v>
      </c>
      <c r="Y63" s="246">
        <f t="shared" si="30"/>
        <v>0</v>
      </c>
      <c r="Z63" s="246">
        <f t="shared" si="30"/>
        <v>0</v>
      </c>
      <c r="AA63" s="246">
        <f t="shared" si="30"/>
        <v>-792643.69479999971</v>
      </c>
      <c r="AB63" s="246">
        <f t="shared" si="30"/>
        <v>0</v>
      </c>
      <c r="AC63" s="246">
        <f t="shared" si="30"/>
        <v>0</v>
      </c>
      <c r="AD63" s="246">
        <f t="shared" si="30"/>
        <v>0</v>
      </c>
      <c r="AE63" s="246">
        <f t="shared" si="30"/>
        <v>0</v>
      </c>
      <c r="AF63" s="246">
        <f t="shared" si="30"/>
        <v>0</v>
      </c>
      <c r="AG63" s="246">
        <f t="shared" si="30"/>
        <v>0</v>
      </c>
      <c r="AH63" s="246">
        <f t="shared" si="30"/>
        <v>0</v>
      </c>
      <c r="AI63" s="246">
        <f t="shared" si="30"/>
        <v>0</v>
      </c>
      <c r="AJ63" s="246">
        <f t="shared" si="30"/>
        <v>0</v>
      </c>
      <c r="AK63" s="246">
        <f t="shared" si="30"/>
        <v>0</v>
      </c>
      <c r="AL63" s="246">
        <f t="shared" si="30"/>
        <v>0</v>
      </c>
      <c r="AM63" s="246">
        <f t="shared" si="30"/>
        <v>0</v>
      </c>
      <c r="AN63" s="246">
        <f t="shared" si="30"/>
        <v>0</v>
      </c>
      <c r="AO63" s="246">
        <f t="shared" si="30"/>
        <v>0</v>
      </c>
      <c r="AP63" s="246">
        <f t="shared" si="30"/>
        <v>0</v>
      </c>
      <c r="AQ63" s="246">
        <f t="shared" si="30"/>
        <v>0</v>
      </c>
      <c r="AR63" s="246">
        <f t="shared" si="30"/>
        <v>0</v>
      </c>
      <c r="AS63" s="246">
        <f t="shared" si="30"/>
        <v>0</v>
      </c>
      <c r="AT63" s="246">
        <f t="shared" si="30"/>
        <v>0</v>
      </c>
      <c r="AU63" s="246">
        <f t="shared" si="30"/>
        <v>0</v>
      </c>
      <c r="AV63" s="246">
        <f t="shared" si="30"/>
        <v>0</v>
      </c>
      <c r="AW63" s="246">
        <f t="shared" si="30"/>
        <v>0</v>
      </c>
      <c r="AX63" s="246">
        <f t="shared" si="30"/>
        <v>0</v>
      </c>
      <c r="AY63" s="246">
        <f t="shared" si="30"/>
        <v>0</v>
      </c>
      <c r="AZ63" s="246">
        <f t="shared" si="30"/>
        <v>0</v>
      </c>
      <c r="BA63" s="246">
        <f t="shared" si="30"/>
        <v>0</v>
      </c>
      <c r="BB63" s="246">
        <f t="shared" si="30"/>
        <v>0</v>
      </c>
      <c r="BC63" s="246">
        <f t="shared" si="30"/>
        <v>0</v>
      </c>
      <c r="BD63" s="246">
        <f t="shared" si="30"/>
        <v>0</v>
      </c>
      <c r="BE63" s="246">
        <f t="shared" si="30"/>
        <v>0</v>
      </c>
      <c r="BF63" s="246">
        <f t="shared" si="30"/>
        <v>0</v>
      </c>
      <c r="BG63" s="246">
        <f t="shared" si="30"/>
        <v>0</v>
      </c>
      <c r="BH63" s="246">
        <f t="shared" si="30"/>
        <v>0</v>
      </c>
      <c r="BI63" s="246">
        <f t="shared" si="30"/>
        <v>0</v>
      </c>
      <c r="BJ63" s="246">
        <f t="shared" si="30"/>
        <v>0</v>
      </c>
      <c r="BK63" s="246">
        <f t="shared" si="30"/>
        <v>0</v>
      </c>
      <c r="BL63" s="246">
        <f t="shared" si="30"/>
        <v>0</v>
      </c>
      <c r="BM63" s="246">
        <f t="shared" si="30"/>
        <v>0</v>
      </c>
      <c r="BN63" s="246">
        <f t="shared" si="30"/>
        <v>0</v>
      </c>
      <c r="BO63" s="246">
        <f t="shared" si="30"/>
        <v>0</v>
      </c>
      <c r="BP63" s="246">
        <f t="shared" si="30"/>
        <v>0</v>
      </c>
      <c r="BQ63" s="246">
        <f t="shared" si="30"/>
        <v>0</v>
      </c>
      <c r="BR63" s="246">
        <f t="shared" si="30"/>
        <v>0</v>
      </c>
      <c r="BS63" s="246">
        <f t="shared" si="30"/>
        <v>0</v>
      </c>
      <c r="BT63" s="246">
        <f t="shared" si="30"/>
        <v>0</v>
      </c>
      <c r="BU63" s="246">
        <f t="shared" si="30"/>
        <v>0</v>
      </c>
      <c r="BV63" s="246">
        <f t="shared" si="30"/>
        <v>0</v>
      </c>
      <c r="BW63" s="246">
        <f t="shared" si="30"/>
        <v>0</v>
      </c>
      <c r="BX63" s="246">
        <f t="shared" si="30"/>
        <v>0</v>
      </c>
      <c r="BY63" s="247">
        <f t="shared" si="30"/>
        <v>-792643.69479999971</v>
      </c>
      <c r="BZ63" s="597"/>
      <c r="CA63" s="222"/>
      <c r="CB63" s="248"/>
      <c r="CC63" s="597"/>
      <c r="CD63" s="222"/>
      <c r="CE63" s="222">
        <v>-165083.33333333334</v>
      </c>
      <c r="CF63" s="222">
        <v>-215833.33333333337</v>
      </c>
      <c r="CG63" s="222">
        <v>-271833.33333333337</v>
      </c>
      <c r="CH63" s="222">
        <v>-280000.00000000006</v>
      </c>
      <c r="CI63" s="222">
        <v>-165083.33333333334</v>
      </c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2"/>
      <c r="DI63" s="222"/>
      <c r="DJ63" s="222"/>
      <c r="DK63" s="222"/>
      <c r="DL63" s="222"/>
      <c r="DM63" s="222"/>
      <c r="DN63" s="222"/>
      <c r="DO63" s="222"/>
      <c r="DP63" s="222"/>
      <c r="DQ63" s="222"/>
      <c r="DR63" s="222"/>
      <c r="DS63" s="222"/>
      <c r="DT63" s="222"/>
      <c r="DU63" s="222"/>
      <c r="DV63" s="222"/>
      <c r="DW63" s="222"/>
      <c r="DX63" s="222"/>
      <c r="DY63" s="222"/>
      <c r="DZ63" s="222"/>
      <c r="EA63" s="222"/>
      <c r="EB63" s="222"/>
      <c r="EC63" s="222"/>
      <c r="ED63" s="222"/>
      <c r="EE63" s="222"/>
      <c r="EF63" s="222"/>
      <c r="EG63" s="222"/>
      <c r="EH63" s="222"/>
    </row>
    <row r="64" spans="1:138" ht="15.95" hidden="1" outlineLevel="1">
      <c r="A64" s="505"/>
      <c r="B64" s="600"/>
      <c r="C64" s="286" t="s">
        <v>257</v>
      </c>
      <c r="D64" s="250" t="s">
        <v>223</v>
      </c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87">
        <f t="shared" ref="BY64:BY86" si="31">SUM(E64:BX64)</f>
        <v>0</v>
      </c>
      <c r="BZ64" s="597"/>
      <c r="CA64" s="222"/>
      <c r="CB64" s="248"/>
      <c r="CC64" s="597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</row>
    <row r="65" spans="1:138" ht="15.95" hidden="1" outlineLevel="1">
      <c r="A65" s="505"/>
      <c r="B65" s="600"/>
      <c r="C65" s="288" t="s">
        <v>258</v>
      </c>
      <c r="D65" s="250" t="s">
        <v>223</v>
      </c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87">
        <f t="shared" si="31"/>
        <v>0</v>
      </c>
      <c r="BZ65" s="597"/>
      <c r="CA65" s="222"/>
      <c r="CB65" s="248"/>
      <c r="CC65" s="597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2"/>
      <c r="DC65" s="222"/>
      <c r="DD65" s="222"/>
      <c r="DE65" s="222"/>
      <c r="DF65" s="222"/>
      <c r="DG65" s="222"/>
      <c r="DH65" s="222"/>
      <c r="DI65" s="222"/>
      <c r="DJ65" s="222"/>
      <c r="DK65" s="222"/>
      <c r="DL65" s="222"/>
      <c r="DM65" s="222"/>
      <c r="DN65" s="222"/>
      <c r="DO65" s="222"/>
      <c r="DP65" s="222"/>
      <c r="DQ65" s="222"/>
      <c r="DR65" s="222"/>
      <c r="DS65" s="222"/>
      <c r="DT65" s="222"/>
      <c r="DU65" s="222"/>
      <c r="DV65" s="222"/>
      <c r="DW65" s="222"/>
      <c r="DX65" s="222"/>
      <c r="DY65" s="222"/>
      <c r="DZ65" s="222"/>
      <c r="EA65" s="222"/>
      <c r="EB65" s="222"/>
      <c r="EC65" s="222"/>
      <c r="ED65" s="222"/>
      <c r="EE65" s="222"/>
      <c r="EF65" s="222"/>
      <c r="EG65" s="222"/>
      <c r="EH65" s="222"/>
    </row>
    <row r="66" spans="1:138" ht="15.95" hidden="1" outlineLevel="1">
      <c r="A66" s="505"/>
      <c r="B66" s="600"/>
      <c r="C66" s="288" t="s">
        <v>259</v>
      </c>
      <c r="D66" s="250" t="s">
        <v>223</v>
      </c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87">
        <f t="shared" si="31"/>
        <v>0</v>
      </c>
      <c r="BZ66" s="597"/>
      <c r="CA66" s="222"/>
      <c r="CB66" s="248"/>
      <c r="CC66" s="597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</row>
    <row r="67" spans="1:138" ht="15.95" hidden="1" outlineLevel="1">
      <c r="A67" s="505"/>
      <c r="B67" s="600"/>
      <c r="C67" s="288" t="s">
        <v>260</v>
      </c>
      <c r="D67" s="250" t="s">
        <v>223</v>
      </c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87">
        <f t="shared" si="31"/>
        <v>0</v>
      </c>
      <c r="BZ67" s="597"/>
      <c r="CA67" s="222"/>
      <c r="CB67" s="248"/>
      <c r="CC67" s="597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</row>
    <row r="68" spans="1:138" ht="15.95" hidden="1" outlineLevel="1">
      <c r="A68" s="505"/>
      <c r="B68" s="600"/>
      <c r="C68" s="288" t="s">
        <v>261</v>
      </c>
      <c r="D68" s="250" t="s">
        <v>223</v>
      </c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87">
        <f t="shared" si="31"/>
        <v>0</v>
      </c>
      <c r="BZ68" s="597"/>
      <c r="CA68" s="222"/>
      <c r="CB68" s="248"/>
      <c r="CC68" s="597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</row>
    <row r="69" spans="1:138" ht="15.95" hidden="1" outlineLevel="1">
      <c r="A69" s="505"/>
      <c r="B69" s="600"/>
      <c r="C69" s="288" t="s">
        <v>262</v>
      </c>
      <c r="D69" s="250" t="s">
        <v>223</v>
      </c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87">
        <f t="shared" si="31"/>
        <v>0</v>
      </c>
      <c r="BZ69" s="597"/>
      <c r="CA69" s="222"/>
      <c r="CB69" s="248"/>
      <c r="CC69" s="597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</row>
    <row r="70" spans="1:138" ht="15.95" hidden="1" outlineLevel="1">
      <c r="A70" s="505"/>
      <c r="B70" s="600"/>
      <c r="C70" s="288" t="s">
        <v>263</v>
      </c>
      <c r="D70" s="250" t="s">
        <v>223</v>
      </c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87">
        <f t="shared" si="31"/>
        <v>0</v>
      </c>
      <c r="BZ70" s="597"/>
      <c r="CA70" s="222"/>
      <c r="CB70" s="248"/>
      <c r="CC70" s="597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2"/>
      <c r="DI70" s="222"/>
      <c r="DJ70" s="222"/>
      <c r="DK70" s="222"/>
      <c r="DL70" s="222"/>
      <c r="DM70" s="222"/>
      <c r="DN70" s="222"/>
      <c r="DO70" s="222"/>
      <c r="DP70" s="222"/>
      <c r="DQ70" s="222"/>
      <c r="DR70" s="222"/>
      <c r="DS70" s="222"/>
      <c r="DT70" s="222"/>
      <c r="DU70" s="222"/>
      <c r="DV70" s="222"/>
      <c r="DW70" s="222"/>
      <c r="DX70" s="222"/>
      <c r="DY70" s="222"/>
      <c r="DZ70" s="222"/>
      <c r="EA70" s="222"/>
      <c r="EB70" s="222"/>
      <c r="EC70" s="222"/>
      <c r="ED70" s="222"/>
      <c r="EE70" s="222"/>
      <c r="EF70" s="222"/>
      <c r="EG70" s="222"/>
      <c r="EH70" s="222"/>
    </row>
    <row r="71" spans="1:138" ht="15.95" hidden="1" outlineLevel="1">
      <c r="A71" s="505"/>
      <c r="B71" s="600"/>
      <c r="C71" s="288" t="s">
        <v>264</v>
      </c>
      <c r="D71" s="250" t="s">
        <v>223</v>
      </c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87">
        <f t="shared" si="31"/>
        <v>0</v>
      </c>
      <c r="BZ71" s="597"/>
      <c r="CA71" s="222"/>
      <c r="CB71" s="248"/>
      <c r="CC71" s="597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D71" s="222"/>
      <c r="EE71" s="222"/>
      <c r="EF71" s="222"/>
      <c r="EG71" s="222"/>
      <c r="EH71" s="222"/>
    </row>
    <row r="72" spans="1:138" ht="15.95" hidden="1" outlineLevel="1">
      <c r="A72" s="505"/>
      <c r="B72" s="600"/>
      <c r="C72" s="288" t="s">
        <v>265</v>
      </c>
      <c r="D72" s="250" t="s">
        <v>223</v>
      </c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87">
        <f t="shared" si="31"/>
        <v>0</v>
      </c>
      <c r="BZ72" s="597"/>
      <c r="CA72" s="222"/>
      <c r="CB72" s="248"/>
      <c r="CC72" s="597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2"/>
      <c r="DI72" s="222"/>
      <c r="DJ72" s="222"/>
      <c r="DK72" s="222"/>
      <c r="DL72" s="222"/>
      <c r="DM72" s="222"/>
      <c r="DN72" s="222"/>
      <c r="DO72" s="222"/>
      <c r="DP72" s="222"/>
      <c r="DQ72" s="222"/>
      <c r="DR72" s="222"/>
      <c r="DS72" s="222"/>
      <c r="DT72" s="222"/>
      <c r="DU72" s="222"/>
      <c r="DV72" s="222"/>
      <c r="DW72" s="222"/>
      <c r="DX72" s="222"/>
      <c r="DY72" s="222"/>
      <c r="DZ72" s="222"/>
      <c r="EA72" s="222"/>
      <c r="EB72" s="222"/>
      <c r="EC72" s="222"/>
      <c r="ED72" s="222"/>
      <c r="EE72" s="222"/>
      <c r="EF72" s="222"/>
      <c r="EG72" s="222"/>
      <c r="EH72" s="222"/>
    </row>
    <row r="73" spans="1:138" ht="15.95" hidden="1" outlineLevel="1">
      <c r="A73" s="505"/>
      <c r="B73" s="600"/>
      <c r="C73" s="288" t="s">
        <v>266</v>
      </c>
      <c r="D73" s="250" t="s">
        <v>223</v>
      </c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87">
        <f t="shared" si="31"/>
        <v>0</v>
      </c>
      <c r="BZ73" s="597"/>
      <c r="CA73" s="222"/>
      <c r="CB73" s="248"/>
      <c r="CC73" s="597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  <c r="DI73" s="222"/>
      <c r="DJ73" s="222"/>
      <c r="DK73" s="222"/>
      <c r="DL73" s="222"/>
      <c r="DM73" s="222"/>
      <c r="DN73" s="222"/>
      <c r="DO73" s="222"/>
      <c r="DP73" s="222"/>
      <c r="DQ73" s="222"/>
      <c r="DR73" s="222"/>
      <c r="DS73" s="222"/>
      <c r="DT73" s="222"/>
      <c r="DU73" s="222"/>
      <c r="DV73" s="222"/>
      <c r="DW73" s="222"/>
      <c r="DX73" s="222"/>
      <c r="DY73" s="222"/>
      <c r="DZ73" s="222"/>
      <c r="EA73" s="222"/>
      <c r="EB73" s="222"/>
      <c r="EC73" s="222"/>
      <c r="ED73" s="222"/>
      <c r="EE73" s="222"/>
      <c r="EF73" s="222"/>
      <c r="EG73" s="222"/>
      <c r="EH73" s="222"/>
    </row>
    <row r="74" spans="1:138" ht="15.95" hidden="1" outlineLevel="1">
      <c r="A74" s="505"/>
      <c r="B74" s="600"/>
      <c r="C74" s="288" t="s">
        <v>267</v>
      </c>
      <c r="D74" s="250" t="s">
        <v>223</v>
      </c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87">
        <f t="shared" si="31"/>
        <v>0</v>
      </c>
      <c r="BZ74" s="597"/>
      <c r="CA74" s="222"/>
      <c r="CB74" s="248"/>
      <c r="CC74" s="597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2"/>
      <c r="DI74" s="222"/>
      <c r="DJ74" s="222"/>
      <c r="DK74" s="222"/>
      <c r="DL74" s="222"/>
      <c r="DM74" s="222"/>
      <c r="DN74" s="222"/>
      <c r="DO74" s="222"/>
      <c r="DP74" s="222"/>
      <c r="DQ74" s="222"/>
      <c r="DR74" s="222"/>
      <c r="DS74" s="222"/>
      <c r="DT74" s="222"/>
      <c r="DU74" s="222"/>
      <c r="DV74" s="222"/>
      <c r="DW74" s="222"/>
      <c r="DX74" s="222"/>
      <c r="DY74" s="222"/>
      <c r="DZ74" s="222"/>
      <c r="EA74" s="222"/>
      <c r="EB74" s="222"/>
      <c r="EC74" s="222"/>
      <c r="ED74" s="222"/>
      <c r="EE74" s="222"/>
      <c r="EF74" s="222"/>
      <c r="EG74" s="222"/>
      <c r="EH74" s="222"/>
    </row>
    <row r="75" spans="1:138" ht="15.95" hidden="1" outlineLevel="1">
      <c r="A75" s="505"/>
      <c r="B75" s="600"/>
      <c r="C75" s="288" t="s">
        <v>268</v>
      </c>
      <c r="D75" s="250" t="s">
        <v>223</v>
      </c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87">
        <f t="shared" si="31"/>
        <v>0</v>
      </c>
      <c r="BZ75" s="597"/>
      <c r="CA75" s="222"/>
      <c r="CB75" s="248"/>
      <c r="CC75" s="597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</row>
    <row r="76" spans="1:138" ht="15.95" hidden="1" outlineLevel="1">
      <c r="A76" s="505"/>
      <c r="B76" s="600"/>
      <c r="C76" s="288" t="s">
        <v>269</v>
      </c>
      <c r="D76" s="250" t="s">
        <v>223</v>
      </c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87">
        <f t="shared" si="31"/>
        <v>0</v>
      </c>
      <c r="BZ76" s="597"/>
      <c r="CA76" s="222"/>
      <c r="CB76" s="248"/>
      <c r="CC76" s="597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</row>
    <row r="77" spans="1:138" ht="15.95" hidden="1" outlineLevel="1">
      <c r="A77" s="505"/>
      <c r="B77" s="600"/>
      <c r="C77" s="288" t="s">
        <v>270</v>
      </c>
      <c r="D77" s="250" t="s">
        <v>223</v>
      </c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87">
        <f t="shared" si="31"/>
        <v>0</v>
      </c>
      <c r="BZ77" s="597"/>
      <c r="CA77" s="222"/>
      <c r="CB77" s="248"/>
      <c r="CC77" s="597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</row>
    <row r="78" spans="1:138" ht="15.95" hidden="1" outlineLevel="1">
      <c r="A78" s="505"/>
      <c r="B78" s="600"/>
      <c r="C78" s="288" t="s">
        <v>271</v>
      </c>
      <c r="D78" s="250" t="s">
        <v>223</v>
      </c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87">
        <f t="shared" si="31"/>
        <v>0</v>
      </c>
      <c r="BZ78" s="597"/>
      <c r="CA78" s="222"/>
      <c r="CB78" s="248"/>
      <c r="CC78" s="597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</row>
    <row r="79" spans="1:138" ht="15.95" hidden="1" outlineLevel="1">
      <c r="A79" s="505"/>
      <c r="B79" s="600"/>
      <c r="C79" s="288" t="s">
        <v>272</v>
      </c>
      <c r="D79" s="250" t="s">
        <v>223</v>
      </c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87">
        <f t="shared" si="31"/>
        <v>0</v>
      </c>
      <c r="BZ79" s="597"/>
      <c r="CA79" s="222"/>
      <c r="CB79" s="248"/>
      <c r="CC79" s="597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</row>
    <row r="80" spans="1:138" ht="15.95" hidden="1" outlineLevel="1">
      <c r="A80" s="505"/>
      <c r="B80" s="600"/>
      <c r="C80" s="288" t="s">
        <v>273</v>
      </c>
      <c r="D80" s="250" t="s">
        <v>223</v>
      </c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87">
        <f t="shared" si="31"/>
        <v>0</v>
      </c>
      <c r="BZ80" s="597"/>
      <c r="CA80" s="222"/>
      <c r="CB80" s="248"/>
      <c r="CC80" s="597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</row>
    <row r="81" spans="1:138" ht="15.95" hidden="1" outlineLevel="1">
      <c r="A81" s="505"/>
      <c r="B81" s="600"/>
      <c r="C81" s="288" t="s">
        <v>274</v>
      </c>
      <c r="D81" s="250" t="s">
        <v>223</v>
      </c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87">
        <f t="shared" si="31"/>
        <v>0</v>
      </c>
      <c r="BZ81" s="597"/>
      <c r="CA81" s="222"/>
      <c r="CB81" s="248"/>
      <c r="CC81" s="597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</row>
    <row r="82" spans="1:138" ht="15.95" hidden="1" outlineLevel="1">
      <c r="A82" s="505"/>
      <c r="B82" s="600"/>
      <c r="C82" s="289" t="s">
        <v>178</v>
      </c>
      <c r="D82" s="250" t="s">
        <v>223</v>
      </c>
      <c r="E82" s="252"/>
      <c r="F82" s="251"/>
      <c r="G82" s="251"/>
      <c r="H82" s="252"/>
      <c r="I82" s="252"/>
      <c r="J82" s="252"/>
      <c r="K82" s="252"/>
      <c r="L82" s="252"/>
      <c r="M82" s="252"/>
      <c r="N82" s="252"/>
      <c r="O82" s="252"/>
      <c r="P82" s="252"/>
      <c r="Q82" s="252">
        <f>-Businessplan_prodej!$N$19/12*1.21*Businessplan_prodej!$J$27</f>
        <v>0</v>
      </c>
      <c r="R82" s="252">
        <f>-Businessplan_prodej!$N$19/12*1.21*Businessplan_prodej!$J$27</f>
        <v>0</v>
      </c>
      <c r="S82" s="252">
        <f>-Businessplan_prodej!$N$19/12*1.21*Businessplan_prodej!$J$27</f>
        <v>0</v>
      </c>
      <c r="T82" s="252">
        <f>-Businessplan_prodej!$N$19/12*1.21*Businessplan_prodej!$J$27</f>
        <v>0</v>
      </c>
      <c r="U82" s="252">
        <f>-Businessplan_prodej!$N$19/12*1.21*Businessplan_prodej!$J$27</f>
        <v>0</v>
      </c>
      <c r="V82" s="252">
        <f>-Businessplan_prodej!$N$19/12*1.21*Businessplan_prodej!$J$27</f>
        <v>0</v>
      </c>
      <c r="W82" s="252">
        <f>-Businessplan_prodej!$N$19/12*1.21*Businessplan_prodej!$J$27</f>
        <v>0</v>
      </c>
      <c r="X82" s="252">
        <f>-Businessplan_prodej!$N$19/12*1.21*Businessplan_prodej!$J$27</f>
        <v>0</v>
      </c>
      <c r="Y82" s="252">
        <f>-Businessplan_prodej!$N$19/12*1.21*Businessplan_prodej!$J$27</f>
        <v>0</v>
      </c>
      <c r="Z82" s="252">
        <f>-Businessplan_prodej!$N$19/12*1.21*Businessplan_prodej!$J$27</f>
        <v>0</v>
      </c>
      <c r="AA82" s="252">
        <f>-Businessplan_prodej!$N$19/12*1.21</f>
        <v>-98230.703999999983</v>
      </c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87">
        <f t="shared" si="31"/>
        <v>-98230.703999999983</v>
      </c>
      <c r="BZ82" s="597"/>
      <c r="CA82" s="222"/>
      <c r="CB82" s="248"/>
      <c r="CC82" s="597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</row>
    <row r="83" spans="1:138" ht="15.95" hidden="1" outlineLevel="1">
      <c r="A83" s="505"/>
      <c r="B83" s="600"/>
      <c r="C83" s="288" t="s">
        <v>179</v>
      </c>
      <c r="D83" s="250" t="s">
        <v>223</v>
      </c>
      <c r="E83" s="252"/>
      <c r="F83" s="251"/>
      <c r="G83" s="251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87">
        <f t="shared" si="31"/>
        <v>0</v>
      </c>
      <c r="BZ83" s="597"/>
      <c r="CA83" s="222"/>
      <c r="CB83" s="248"/>
      <c r="CC83" s="597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</row>
    <row r="84" spans="1:138" ht="15.95" hidden="1" outlineLevel="1">
      <c r="A84" s="505"/>
      <c r="B84" s="600"/>
      <c r="C84" s="288" t="s">
        <v>189</v>
      </c>
      <c r="D84" s="250" t="s">
        <v>223</v>
      </c>
      <c r="E84" s="252"/>
      <c r="F84" s="251"/>
      <c r="G84" s="251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87">
        <f t="shared" si="31"/>
        <v>0</v>
      </c>
      <c r="BZ84" s="597"/>
      <c r="CA84" s="222"/>
      <c r="CB84" s="248"/>
      <c r="CC84" s="597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</row>
    <row r="85" spans="1:138" ht="15.95" hidden="1" outlineLevel="1">
      <c r="A85" s="505"/>
      <c r="B85" s="600"/>
      <c r="C85" s="288" t="s">
        <v>190</v>
      </c>
      <c r="D85" s="250" t="s">
        <v>223</v>
      </c>
      <c r="E85" s="252"/>
      <c r="F85" s="251"/>
      <c r="G85" s="251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87">
        <f t="shared" si="31"/>
        <v>0</v>
      </c>
      <c r="BZ85" s="597"/>
      <c r="CA85" s="222"/>
      <c r="CB85" s="248"/>
      <c r="CC85" s="597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</row>
    <row r="86" spans="1:138" ht="15.95" hidden="1" outlineLevel="1">
      <c r="A86" s="505"/>
      <c r="B86" s="600"/>
      <c r="C86" s="290" t="s">
        <v>275</v>
      </c>
      <c r="D86" s="254" t="s">
        <v>223</v>
      </c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>
        <f>Businessplan_prodej!N21</f>
        <v>-694412.99079999968</v>
      </c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87">
        <f t="shared" si="31"/>
        <v>-694412.99079999968</v>
      </c>
      <c r="BZ86" s="597"/>
      <c r="CA86" s="222"/>
      <c r="CB86" s="248"/>
      <c r="CC86" s="597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</row>
    <row r="87" spans="1:138" ht="15.95" collapsed="1">
      <c r="A87" s="505"/>
      <c r="B87" s="600"/>
      <c r="C87" s="244" t="s">
        <v>276</v>
      </c>
      <c r="D87" s="245"/>
      <c r="E87" s="246">
        <f t="shared" ref="E87:BY87" si="32">SUM(E88:E89)</f>
        <v>0</v>
      </c>
      <c r="F87" s="246">
        <f t="shared" si="32"/>
        <v>0</v>
      </c>
      <c r="G87" s="246">
        <f t="shared" si="32"/>
        <v>0</v>
      </c>
      <c r="H87" s="246">
        <f t="shared" si="32"/>
        <v>0</v>
      </c>
      <c r="I87" s="246">
        <f t="shared" si="32"/>
        <v>0</v>
      </c>
      <c r="J87" s="246">
        <f t="shared" si="32"/>
        <v>0</v>
      </c>
      <c r="K87" s="246">
        <f t="shared" si="32"/>
        <v>0</v>
      </c>
      <c r="L87" s="246">
        <f t="shared" si="32"/>
        <v>0</v>
      </c>
      <c r="M87" s="246">
        <f t="shared" si="32"/>
        <v>0</v>
      </c>
      <c r="N87" s="246">
        <f t="shared" si="32"/>
        <v>0</v>
      </c>
      <c r="O87" s="246">
        <f t="shared" si="32"/>
        <v>0</v>
      </c>
      <c r="P87" s="246">
        <f t="shared" si="32"/>
        <v>0</v>
      </c>
      <c r="Q87" s="246">
        <f t="shared" si="32"/>
        <v>0</v>
      </c>
      <c r="R87" s="246">
        <f t="shared" si="32"/>
        <v>0</v>
      </c>
      <c r="S87" s="246">
        <f t="shared" si="32"/>
        <v>0</v>
      </c>
      <c r="T87" s="246">
        <f t="shared" si="32"/>
        <v>0</v>
      </c>
      <c r="U87" s="246">
        <f t="shared" si="32"/>
        <v>0</v>
      </c>
      <c r="V87" s="246">
        <f t="shared" si="32"/>
        <v>0</v>
      </c>
      <c r="W87" s="246">
        <f t="shared" si="32"/>
        <v>0</v>
      </c>
      <c r="X87" s="246">
        <f t="shared" si="32"/>
        <v>0</v>
      </c>
      <c r="Y87" s="246">
        <f t="shared" si="32"/>
        <v>0</v>
      </c>
      <c r="Z87" s="246">
        <f t="shared" si="32"/>
        <v>0</v>
      </c>
      <c r="AA87" s="246">
        <f t="shared" si="32"/>
        <v>0</v>
      </c>
      <c r="AB87" s="246">
        <f t="shared" si="32"/>
        <v>0</v>
      </c>
      <c r="AC87" s="246">
        <f t="shared" si="32"/>
        <v>0</v>
      </c>
      <c r="AD87" s="246">
        <f t="shared" si="32"/>
        <v>0</v>
      </c>
      <c r="AE87" s="246">
        <f t="shared" si="32"/>
        <v>0</v>
      </c>
      <c r="AF87" s="246">
        <f t="shared" si="32"/>
        <v>0</v>
      </c>
      <c r="AG87" s="246">
        <f t="shared" si="32"/>
        <v>0</v>
      </c>
      <c r="AH87" s="246">
        <f t="shared" si="32"/>
        <v>0</v>
      </c>
      <c r="AI87" s="246">
        <f t="shared" si="32"/>
        <v>0</v>
      </c>
      <c r="AJ87" s="246">
        <f t="shared" si="32"/>
        <v>0</v>
      </c>
      <c r="AK87" s="246">
        <f t="shared" si="32"/>
        <v>0</v>
      </c>
      <c r="AL87" s="246">
        <f t="shared" si="32"/>
        <v>0</v>
      </c>
      <c r="AM87" s="246">
        <f t="shared" si="32"/>
        <v>0</v>
      </c>
      <c r="AN87" s="246">
        <f t="shared" si="32"/>
        <v>0</v>
      </c>
      <c r="AO87" s="246">
        <f t="shared" si="32"/>
        <v>0</v>
      </c>
      <c r="AP87" s="246">
        <f t="shared" si="32"/>
        <v>0</v>
      </c>
      <c r="AQ87" s="246">
        <f t="shared" si="32"/>
        <v>0</v>
      </c>
      <c r="AR87" s="246">
        <f t="shared" si="32"/>
        <v>0</v>
      </c>
      <c r="AS87" s="246">
        <f t="shared" si="32"/>
        <v>0</v>
      </c>
      <c r="AT87" s="246">
        <f t="shared" si="32"/>
        <v>0</v>
      </c>
      <c r="AU87" s="246">
        <f t="shared" si="32"/>
        <v>0</v>
      </c>
      <c r="AV87" s="246">
        <f t="shared" si="32"/>
        <v>0</v>
      </c>
      <c r="AW87" s="246">
        <f t="shared" si="32"/>
        <v>0</v>
      </c>
      <c r="AX87" s="246">
        <f t="shared" si="32"/>
        <v>0</v>
      </c>
      <c r="AY87" s="246">
        <f t="shared" si="32"/>
        <v>0</v>
      </c>
      <c r="AZ87" s="246">
        <f t="shared" si="32"/>
        <v>0</v>
      </c>
      <c r="BA87" s="246">
        <f t="shared" si="32"/>
        <v>0</v>
      </c>
      <c r="BB87" s="246">
        <f t="shared" si="32"/>
        <v>0</v>
      </c>
      <c r="BC87" s="246">
        <f t="shared" si="32"/>
        <v>0</v>
      </c>
      <c r="BD87" s="246">
        <f t="shared" si="32"/>
        <v>0</v>
      </c>
      <c r="BE87" s="246">
        <f t="shared" si="32"/>
        <v>0</v>
      </c>
      <c r="BF87" s="246">
        <f t="shared" si="32"/>
        <v>0</v>
      </c>
      <c r="BG87" s="246">
        <f t="shared" si="32"/>
        <v>0</v>
      </c>
      <c r="BH87" s="246">
        <f t="shared" si="32"/>
        <v>0</v>
      </c>
      <c r="BI87" s="246">
        <f t="shared" si="32"/>
        <v>0</v>
      </c>
      <c r="BJ87" s="246">
        <f t="shared" si="32"/>
        <v>0</v>
      </c>
      <c r="BK87" s="246">
        <f t="shared" si="32"/>
        <v>0</v>
      </c>
      <c r="BL87" s="246">
        <f t="shared" si="32"/>
        <v>0</v>
      </c>
      <c r="BM87" s="246">
        <f t="shared" si="32"/>
        <v>0</v>
      </c>
      <c r="BN87" s="246">
        <f t="shared" si="32"/>
        <v>0</v>
      </c>
      <c r="BO87" s="246">
        <f t="shared" si="32"/>
        <v>0</v>
      </c>
      <c r="BP87" s="246">
        <f t="shared" si="32"/>
        <v>0</v>
      </c>
      <c r="BQ87" s="246">
        <f t="shared" si="32"/>
        <v>0</v>
      </c>
      <c r="BR87" s="246">
        <f t="shared" si="32"/>
        <v>0</v>
      </c>
      <c r="BS87" s="246">
        <f t="shared" si="32"/>
        <v>0</v>
      </c>
      <c r="BT87" s="246">
        <f t="shared" si="32"/>
        <v>0</v>
      </c>
      <c r="BU87" s="246">
        <f t="shared" si="32"/>
        <v>0</v>
      </c>
      <c r="BV87" s="246">
        <f t="shared" si="32"/>
        <v>0</v>
      </c>
      <c r="BW87" s="246">
        <f t="shared" si="32"/>
        <v>0</v>
      </c>
      <c r="BX87" s="246">
        <f t="shared" si="32"/>
        <v>0</v>
      </c>
      <c r="BY87" s="247">
        <f t="shared" si="32"/>
        <v>0</v>
      </c>
      <c r="BZ87" s="597"/>
      <c r="CA87" s="222"/>
      <c r="CB87" s="248"/>
      <c r="CC87" s="597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</row>
    <row r="88" spans="1:138" ht="15.95" hidden="1" outlineLevel="1">
      <c r="A88" s="505"/>
      <c r="B88" s="600"/>
      <c r="C88" s="286" t="s">
        <v>277</v>
      </c>
      <c r="D88" s="250" t="s">
        <v>223</v>
      </c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  <c r="AR88" s="256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92">
        <f t="shared" ref="BY88:BY89" si="33">SUM(E88:BX88)</f>
        <v>0</v>
      </c>
      <c r="BZ88" s="597"/>
      <c r="CA88" s="222"/>
      <c r="CB88" s="248"/>
      <c r="CC88" s="597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</row>
    <row r="89" spans="1:138" ht="15.95" hidden="1" outlineLevel="1">
      <c r="A89" s="505"/>
      <c r="B89" s="600"/>
      <c r="C89" s="290" t="s">
        <v>278</v>
      </c>
      <c r="D89" s="254" t="s">
        <v>223</v>
      </c>
      <c r="E89" s="283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  <c r="BS89" s="284"/>
      <c r="BT89" s="284"/>
      <c r="BU89" s="284"/>
      <c r="BV89" s="284"/>
      <c r="BW89" s="284"/>
      <c r="BX89" s="284"/>
      <c r="BY89" s="293">
        <f t="shared" si="33"/>
        <v>0</v>
      </c>
      <c r="BZ89" s="592"/>
      <c r="CA89" s="222"/>
      <c r="CB89" s="248"/>
      <c r="CC89" s="59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</row>
    <row r="90" spans="1:138" collapsed="1">
      <c r="A90" s="505"/>
      <c r="B90" s="600"/>
      <c r="C90" s="244" t="s">
        <v>279</v>
      </c>
      <c r="D90" s="245"/>
      <c r="E90" s="246">
        <f t="shared" ref="E90:BX90" si="34">SUM(E91:E97)</f>
        <v>0</v>
      </c>
      <c r="F90" s="246">
        <f t="shared" si="34"/>
        <v>0</v>
      </c>
      <c r="G90" s="246">
        <f t="shared" si="34"/>
        <v>0</v>
      </c>
      <c r="H90" s="246">
        <f t="shared" si="34"/>
        <v>0</v>
      </c>
      <c r="I90" s="246">
        <f t="shared" si="34"/>
        <v>0</v>
      </c>
      <c r="J90" s="246">
        <f t="shared" si="34"/>
        <v>0</v>
      </c>
      <c r="K90" s="246">
        <f t="shared" si="34"/>
        <v>0</v>
      </c>
      <c r="L90" s="246">
        <f t="shared" si="34"/>
        <v>0</v>
      </c>
      <c r="M90" s="246">
        <f t="shared" si="34"/>
        <v>0</v>
      </c>
      <c r="N90" s="246">
        <f t="shared" si="34"/>
        <v>0</v>
      </c>
      <c r="O90" s="246">
        <f t="shared" si="34"/>
        <v>0</v>
      </c>
      <c r="P90" s="246">
        <f t="shared" si="34"/>
        <v>0</v>
      </c>
      <c r="Q90" s="246">
        <f t="shared" si="34"/>
        <v>0</v>
      </c>
      <c r="R90" s="246">
        <f t="shared" si="34"/>
        <v>-7063574.6199300056</v>
      </c>
      <c r="S90" s="246">
        <f t="shared" si="34"/>
        <v>-54933.409454082459</v>
      </c>
      <c r="T90" s="246">
        <f t="shared" si="34"/>
        <v>-54933.409454082459</v>
      </c>
      <c r="U90" s="246">
        <f t="shared" si="34"/>
        <v>-54933.409454082459</v>
      </c>
      <c r="V90" s="246">
        <f t="shared" si="34"/>
        <v>-54933.409454082459</v>
      </c>
      <c r="W90" s="246">
        <f t="shared" si="34"/>
        <v>-54933.409454082459</v>
      </c>
      <c r="X90" s="246">
        <f t="shared" si="34"/>
        <v>-54933.409454082459</v>
      </c>
      <c r="Y90" s="246">
        <f t="shared" si="34"/>
        <v>-54933.409454082459</v>
      </c>
      <c r="Z90" s="246">
        <f t="shared" si="34"/>
        <v>-54933.409454082459</v>
      </c>
      <c r="AA90" s="246">
        <f t="shared" si="34"/>
        <v>-111640280.10443735</v>
      </c>
      <c r="AB90" s="246">
        <f t="shared" si="34"/>
        <v>0</v>
      </c>
      <c r="AC90" s="246">
        <f t="shared" si="34"/>
        <v>0</v>
      </c>
      <c r="AD90" s="246">
        <f t="shared" si="34"/>
        <v>0</v>
      </c>
      <c r="AE90" s="246">
        <f t="shared" si="34"/>
        <v>0</v>
      </c>
      <c r="AF90" s="246">
        <f t="shared" si="34"/>
        <v>0</v>
      </c>
      <c r="AG90" s="246">
        <f t="shared" si="34"/>
        <v>0</v>
      </c>
      <c r="AH90" s="246">
        <f t="shared" si="34"/>
        <v>0</v>
      </c>
      <c r="AI90" s="246">
        <f t="shared" si="34"/>
        <v>0</v>
      </c>
      <c r="AJ90" s="246">
        <f t="shared" si="34"/>
        <v>0</v>
      </c>
      <c r="AK90" s="246">
        <f t="shared" si="34"/>
        <v>0</v>
      </c>
      <c r="AL90" s="246">
        <f t="shared" si="34"/>
        <v>0</v>
      </c>
      <c r="AM90" s="246">
        <f t="shared" si="34"/>
        <v>0</v>
      </c>
      <c r="AN90" s="246">
        <f t="shared" si="34"/>
        <v>0</v>
      </c>
      <c r="AO90" s="246">
        <f t="shared" si="34"/>
        <v>0</v>
      </c>
      <c r="AP90" s="246">
        <f t="shared" si="34"/>
        <v>0</v>
      </c>
      <c r="AQ90" s="246">
        <f t="shared" si="34"/>
        <v>0</v>
      </c>
      <c r="AR90" s="246">
        <f t="shared" si="34"/>
        <v>0</v>
      </c>
      <c r="AS90" s="246">
        <f t="shared" si="34"/>
        <v>0</v>
      </c>
      <c r="AT90" s="246">
        <f t="shared" si="34"/>
        <v>0</v>
      </c>
      <c r="AU90" s="246">
        <f t="shared" si="34"/>
        <v>0</v>
      </c>
      <c r="AV90" s="246">
        <f t="shared" si="34"/>
        <v>0</v>
      </c>
      <c r="AW90" s="246">
        <f t="shared" si="34"/>
        <v>0</v>
      </c>
      <c r="AX90" s="246">
        <f t="shared" si="34"/>
        <v>0</v>
      </c>
      <c r="AY90" s="246">
        <f t="shared" si="34"/>
        <v>0</v>
      </c>
      <c r="AZ90" s="246">
        <f t="shared" si="34"/>
        <v>0</v>
      </c>
      <c r="BA90" s="246">
        <f t="shared" si="34"/>
        <v>0</v>
      </c>
      <c r="BB90" s="246">
        <f t="shared" si="34"/>
        <v>0</v>
      </c>
      <c r="BC90" s="246">
        <f t="shared" si="34"/>
        <v>0</v>
      </c>
      <c r="BD90" s="246">
        <f t="shared" si="34"/>
        <v>0</v>
      </c>
      <c r="BE90" s="246">
        <f t="shared" si="34"/>
        <v>0</v>
      </c>
      <c r="BF90" s="246">
        <f t="shared" si="34"/>
        <v>0</v>
      </c>
      <c r="BG90" s="246">
        <f t="shared" si="34"/>
        <v>0</v>
      </c>
      <c r="BH90" s="246">
        <f t="shared" si="34"/>
        <v>0</v>
      </c>
      <c r="BI90" s="246">
        <f t="shared" si="34"/>
        <v>0</v>
      </c>
      <c r="BJ90" s="246">
        <f t="shared" si="34"/>
        <v>0</v>
      </c>
      <c r="BK90" s="246">
        <f t="shared" si="34"/>
        <v>0</v>
      </c>
      <c r="BL90" s="246">
        <f t="shared" si="34"/>
        <v>0</v>
      </c>
      <c r="BM90" s="246">
        <f t="shared" si="34"/>
        <v>0</v>
      </c>
      <c r="BN90" s="246">
        <f t="shared" si="34"/>
        <v>0</v>
      </c>
      <c r="BO90" s="246">
        <f t="shared" si="34"/>
        <v>0</v>
      </c>
      <c r="BP90" s="246">
        <f t="shared" si="34"/>
        <v>0</v>
      </c>
      <c r="BQ90" s="246">
        <f t="shared" si="34"/>
        <v>0</v>
      </c>
      <c r="BR90" s="246">
        <f t="shared" si="34"/>
        <v>0</v>
      </c>
      <c r="BS90" s="246">
        <f t="shared" si="34"/>
        <v>0</v>
      </c>
      <c r="BT90" s="246">
        <f t="shared" si="34"/>
        <v>0</v>
      </c>
      <c r="BU90" s="246">
        <f t="shared" si="34"/>
        <v>0</v>
      </c>
      <c r="BV90" s="246">
        <f t="shared" si="34"/>
        <v>0</v>
      </c>
      <c r="BW90" s="246">
        <f t="shared" si="34"/>
        <v>0</v>
      </c>
      <c r="BX90" s="246">
        <f t="shared" si="34"/>
        <v>0</v>
      </c>
      <c r="BY90" s="564">
        <f>BZ17</f>
        <v>-122544835.30406666</v>
      </c>
      <c r="BZ90" s="599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</row>
    <row r="91" spans="1:138" hidden="1" outlineLevel="1">
      <c r="A91" s="505"/>
      <c r="B91" s="600"/>
      <c r="C91" s="249" t="s">
        <v>280</v>
      </c>
      <c r="D91" s="250" t="s">
        <v>223</v>
      </c>
      <c r="E91" s="251"/>
      <c r="F91" s="251"/>
      <c r="G91" s="251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1"/>
      <c r="V91" s="251"/>
      <c r="W91" s="251"/>
      <c r="X91" s="251"/>
      <c r="Y91" s="251"/>
      <c r="Z91" s="251"/>
      <c r="AA91" s="252">
        <f>-BY5-SUM(L91:Z91)</f>
        <v>-16365002</v>
      </c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2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60"/>
      <c r="BY91" s="292">
        <f t="shared" ref="BY91:BY97" si="35">SUM(E91:BX91)</f>
        <v>-16365002</v>
      </c>
      <c r="BZ91" s="562">
        <f>SUM(BY91:BY97)</f>
        <v>-119143322.00000001</v>
      </c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</row>
    <row r="92" spans="1:138" hidden="1" outlineLevel="1">
      <c r="A92" s="249" t="s">
        <v>281</v>
      </c>
      <c r="B92" s="600"/>
      <c r="C92" s="249" t="s">
        <v>282</v>
      </c>
      <c r="D92" s="250" t="s">
        <v>223</v>
      </c>
      <c r="E92" s="251"/>
      <c r="F92" s="251"/>
      <c r="G92" s="251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1"/>
      <c r="V92" s="251"/>
      <c r="W92" s="251"/>
      <c r="X92" s="251"/>
      <c r="Y92" s="251"/>
      <c r="Z92" s="251"/>
      <c r="AA92" s="252">
        <f>-BY6-SUM(E92:Z92)</f>
        <v>-26505000</v>
      </c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60"/>
      <c r="BY92" s="287">
        <f t="shared" si="35"/>
        <v>-26505000</v>
      </c>
      <c r="BZ92" s="597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</row>
    <row r="93" spans="1:138" hidden="1" outlineLevel="1">
      <c r="A93" s="249" t="s">
        <v>283</v>
      </c>
      <c r="B93" s="600"/>
      <c r="C93" s="289" t="s">
        <v>281</v>
      </c>
      <c r="D93" s="250" t="s">
        <v>223</v>
      </c>
      <c r="E93" s="251"/>
      <c r="F93" s="251"/>
      <c r="G93" s="251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1"/>
      <c r="V93" s="251"/>
      <c r="W93" s="251"/>
      <c r="X93" s="251"/>
      <c r="Y93" s="251"/>
      <c r="Z93" s="251"/>
      <c r="AA93" s="252">
        <f>-CF7</f>
        <v>0</v>
      </c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60"/>
      <c r="BY93" s="287">
        <f t="shared" si="35"/>
        <v>0</v>
      </c>
      <c r="BZ93" s="597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</row>
    <row r="94" spans="1:138" hidden="1" outlineLevel="1">
      <c r="A94" s="505"/>
      <c r="B94" s="600"/>
      <c r="C94" s="288" t="s">
        <v>283</v>
      </c>
      <c r="D94" s="250" t="s">
        <v>223</v>
      </c>
      <c r="E94" s="251"/>
      <c r="F94" s="251"/>
      <c r="G94" s="251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60"/>
      <c r="BY94" s="287">
        <f t="shared" si="35"/>
        <v>0</v>
      </c>
      <c r="BZ94" s="597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</row>
    <row r="95" spans="1:138" hidden="1" outlineLevel="1">
      <c r="A95" s="505"/>
      <c r="B95" s="600"/>
      <c r="C95" s="249" t="s">
        <v>284</v>
      </c>
      <c r="D95" s="250" t="s">
        <v>223</v>
      </c>
      <c r="E95" s="251"/>
      <c r="F95" s="251"/>
      <c r="G95" s="251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2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60"/>
      <c r="BY95" s="287">
        <f t="shared" si="35"/>
        <v>0</v>
      </c>
      <c r="BZ95" s="597"/>
      <c r="CA95" s="222"/>
      <c r="CB95" s="222"/>
      <c r="CC95" s="222"/>
      <c r="CD95" s="222"/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222"/>
      <c r="DU95" s="222"/>
      <c r="DV95" s="222"/>
      <c r="DW95" s="222"/>
      <c r="DX95" s="222"/>
      <c r="DY95" s="222"/>
      <c r="DZ95" s="222"/>
      <c r="EA95" s="222"/>
      <c r="EB95" s="222"/>
      <c r="EC95" s="222"/>
      <c r="ED95" s="222"/>
      <c r="EE95" s="222"/>
      <c r="EF95" s="222"/>
      <c r="EG95" s="222"/>
      <c r="EH95" s="222"/>
    </row>
    <row r="96" spans="1:138" hidden="1" outlineLevel="1">
      <c r="A96" s="505"/>
      <c r="B96" s="600"/>
      <c r="C96" s="249" t="s">
        <v>285</v>
      </c>
      <c r="D96" s="250" t="s">
        <v>223</v>
      </c>
      <c r="E96" s="251"/>
      <c r="F96" s="251"/>
      <c r="G96" s="251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1"/>
      <c r="V96" s="251"/>
      <c r="W96" s="251"/>
      <c r="X96" s="251"/>
      <c r="Y96" s="251"/>
      <c r="Z96" s="251"/>
      <c r="AA96" s="251">
        <f>-BY10-BY9</f>
        <v>-24773320</v>
      </c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2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60"/>
      <c r="BY96" s="294">
        <f t="shared" si="35"/>
        <v>-24773320</v>
      </c>
      <c r="BZ96" s="597"/>
      <c r="CA96" s="222"/>
      <c r="CB96" s="222"/>
      <c r="CC96" s="222"/>
      <c r="CD96" s="222"/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2"/>
      <c r="CQ96" s="222"/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2"/>
      <c r="DI96" s="222"/>
      <c r="DJ96" s="222"/>
      <c r="DK96" s="222"/>
      <c r="DL96" s="222"/>
      <c r="DM96" s="222"/>
      <c r="DN96" s="222"/>
      <c r="DO96" s="222"/>
      <c r="DP96" s="222"/>
      <c r="DQ96" s="222"/>
      <c r="DR96" s="222"/>
      <c r="DS96" s="222"/>
      <c r="DT96" s="222"/>
      <c r="DU96" s="222"/>
      <c r="DV96" s="222"/>
      <c r="DW96" s="222"/>
      <c r="DX96" s="222"/>
      <c r="DY96" s="222"/>
      <c r="DZ96" s="222"/>
      <c r="EA96" s="222"/>
      <c r="EB96" s="222"/>
      <c r="EC96" s="222"/>
      <c r="ED96" s="222"/>
      <c r="EE96" s="222"/>
      <c r="EF96" s="222"/>
      <c r="EG96" s="222"/>
      <c r="EH96" s="222"/>
    </row>
    <row r="97" spans="1:138" hidden="1" outlineLevel="1">
      <c r="A97" s="505"/>
      <c r="B97" s="601"/>
      <c r="C97" s="280" t="s">
        <v>286</v>
      </c>
      <c r="D97" s="295" t="s">
        <v>223</v>
      </c>
      <c r="E97" s="282"/>
      <c r="F97" s="282"/>
      <c r="G97" s="282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>
        <f>PMT($D$62/12,25*12,$BY11)-R62-7000000</f>
        <v>-7063574.6199300056</v>
      </c>
      <c r="S97" s="283">
        <f t="shared" ref="S97:Z97" si="36">(PMT($D$62/12,25*12,$BY11-7000000)-S62)</f>
        <v>-54933.409454082459</v>
      </c>
      <c r="T97" s="283">
        <f t="shared" si="36"/>
        <v>-54933.409454082459</v>
      </c>
      <c r="U97" s="283">
        <f t="shared" si="36"/>
        <v>-54933.409454082459</v>
      </c>
      <c r="V97" s="283">
        <f t="shared" si="36"/>
        <v>-54933.409454082459</v>
      </c>
      <c r="W97" s="283">
        <f t="shared" si="36"/>
        <v>-54933.409454082459</v>
      </c>
      <c r="X97" s="283">
        <f t="shared" si="36"/>
        <v>-54933.409454082459</v>
      </c>
      <c r="Y97" s="283">
        <f t="shared" si="36"/>
        <v>-54933.409454082459</v>
      </c>
      <c r="Z97" s="283">
        <f t="shared" si="36"/>
        <v>-54933.409454082459</v>
      </c>
      <c r="AA97" s="283">
        <f>-$BY$11-SUM($P$97:Z97)</f>
        <v>-43996958.104437351</v>
      </c>
      <c r="AB97" s="282"/>
      <c r="AC97" s="282"/>
      <c r="AD97" s="282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  <c r="BW97" s="282"/>
      <c r="BX97" s="284"/>
      <c r="BY97" s="264">
        <f t="shared" si="35"/>
        <v>-51500000.000000015</v>
      </c>
      <c r="BZ97" s="602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2"/>
      <c r="DI97" s="222"/>
      <c r="DJ97" s="222"/>
      <c r="DK97" s="222"/>
      <c r="DL97" s="222"/>
      <c r="DM97" s="222"/>
      <c r="DN97" s="222"/>
      <c r="DO97" s="222"/>
      <c r="DP97" s="222"/>
      <c r="DQ97" s="222"/>
      <c r="DR97" s="222"/>
      <c r="DS97" s="222"/>
      <c r="DT97" s="222"/>
      <c r="DU97" s="222"/>
      <c r="DV97" s="222"/>
      <c r="DW97" s="222"/>
      <c r="DX97" s="222"/>
      <c r="DY97" s="222"/>
      <c r="DZ97" s="222"/>
      <c r="EA97" s="222"/>
      <c r="EB97" s="222"/>
      <c r="EC97" s="222"/>
      <c r="ED97" s="222"/>
      <c r="EE97" s="222"/>
      <c r="EF97" s="222"/>
      <c r="EG97" s="222"/>
      <c r="EH97" s="222"/>
    </row>
    <row r="98" spans="1:138" ht="15.95">
      <c r="A98" s="505"/>
      <c r="B98" s="571" t="s">
        <v>287</v>
      </c>
      <c r="C98" s="592"/>
      <c r="D98" s="296" t="s">
        <v>223</v>
      </c>
      <c r="E98" s="297">
        <f t="shared" ref="E98:BX98" si="37">(E17+E23+E26+E34+E37+E49+E55+E63+E87+E90)</f>
        <v>0</v>
      </c>
      <c r="F98" s="297">
        <f t="shared" si="37"/>
        <v>0</v>
      </c>
      <c r="G98" s="297">
        <f t="shared" si="37"/>
        <v>0</v>
      </c>
      <c r="H98" s="297">
        <f t="shared" si="37"/>
        <v>-10737799.354999999</v>
      </c>
      <c r="I98" s="297">
        <f t="shared" si="37"/>
        <v>-1867696.1950000001</v>
      </c>
      <c r="J98" s="297">
        <f t="shared" si="37"/>
        <v>-1817623.665</v>
      </c>
      <c r="K98" s="297">
        <f t="shared" si="37"/>
        <v>-902873.87700000009</v>
      </c>
      <c r="L98" s="297">
        <f t="shared" si="37"/>
        <v>-5038194.0799999991</v>
      </c>
      <c r="M98" s="297">
        <f t="shared" si="37"/>
        <v>-10761502.959999999</v>
      </c>
      <c r="N98" s="297">
        <f t="shared" si="37"/>
        <v>-20069846.199999999</v>
      </c>
      <c r="O98" s="297">
        <f t="shared" si="37"/>
        <v>-9758870.4799999986</v>
      </c>
      <c r="P98" s="297">
        <f t="shared" si="37"/>
        <v>-10541712.106333332</v>
      </c>
      <c r="Q98" s="297">
        <f t="shared" si="37"/>
        <v>-7634592.0536666596</v>
      </c>
      <c r="R98" s="297">
        <f t="shared" si="37"/>
        <v>-9878583.805596672</v>
      </c>
      <c r="S98" s="297">
        <f t="shared" si="37"/>
        <v>-4908444.5785874147</v>
      </c>
      <c r="T98" s="297">
        <f t="shared" si="37"/>
        <v>-4424065.0277874153</v>
      </c>
      <c r="U98" s="297">
        <f t="shared" si="37"/>
        <v>-4394618.1027874155</v>
      </c>
      <c r="V98" s="297">
        <f t="shared" si="37"/>
        <v>-4419506.1027874155</v>
      </c>
      <c r="W98" s="297">
        <f t="shared" si="37"/>
        <v>-4509734.1027874155</v>
      </c>
      <c r="X98" s="297">
        <f t="shared" si="37"/>
        <v>-4469282.1027874155</v>
      </c>
      <c r="Y98" s="297">
        <f t="shared" si="37"/>
        <v>-4603070.1027874155</v>
      </c>
      <c r="Z98" s="297">
        <f t="shared" si="37"/>
        <v>-5118771.5035874145</v>
      </c>
      <c r="AA98" s="297">
        <f t="shared" si="37"/>
        <v>-115368384.90257068</v>
      </c>
      <c r="AB98" s="297">
        <f t="shared" si="37"/>
        <v>0</v>
      </c>
      <c r="AC98" s="297">
        <f t="shared" si="37"/>
        <v>0</v>
      </c>
      <c r="AD98" s="297">
        <f t="shared" si="37"/>
        <v>0</v>
      </c>
      <c r="AE98" s="297">
        <f t="shared" si="37"/>
        <v>0</v>
      </c>
      <c r="AF98" s="297">
        <f t="shared" si="37"/>
        <v>0</v>
      </c>
      <c r="AG98" s="297">
        <f t="shared" si="37"/>
        <v>0</v>
      </c>
      <c r="AH98" s="297">
        <f t="shared" si="37"/>
        <v>0</v>
      </c>
      <c r="AI98" s="297">
        <f t="shared" si="37"/>
        <v>0</v>
      </c>
      <c r="AJ98" s="297">
        <f t="shared" si="37"/>
        <v>0</v>
      </c>
      <c r="AK98" s="297">
        <f t="shared" si="37"/>
        <v>0</v>
      </c>
      <c r="AL98" s="297">
        <f t="shared" si="37"/>
        <v>0</v>
      </c>
      <c r="AM98" s="297">
        <f t="shared" si="37"/>
        <v>0</v>
      </c>
      <c r="AN98" s="297">
        <f t="shared" si="37"/>
        <v>0</v>
      </c>
      <c r="AO98" s="297">
        <f t="shared" si="37"/>
        <v>0</v>
      </c>
      <c r="AP98" s="297">
        <f t="shared" si="37"/>
        <v>0</v>
      </c>
      <c r="AQ98" s="297">
        <f t="shared" si="37"/>
        <v>0</v>
      </c>
      <c r="AR98" s="297">
        <f t="shared" si="37"/>
        <v>0</v>
      </c>
      <c r="AS98" s="297">
        <f t="shared" si="37"/>
        <v>0</v>
      </c>
      <c r="AT98" s="297">
        <f t="shared" si="37"/>
        <v>0</v>
      </c>
      <c r="AU98" s="297">
        <f t="shared" si="37"/>
        <v>0</v>
      </c>
      <c r="AV98" s="297">
        <f t="shared" si="37"/>
        <v>0</v>
      </c>
      <c r="AW98" s="297">
        <f t="shared" si="37"/>
        <v>0</v>
      </c>
      <c r="AX98" s="297">
        <f t="shared" si="37"/>
        <v>0</v>
      </c>
      <c r="AY98" s="297">
        <f t="shared" si="37"/>
        <v>0</v>
      </c>
      <c r="AZ98" s="297">
        <f t="shared" si="37"/>
        <v>0</v>
      </c>
      <c r="BA98" s="297">
        <f t="shared" si="37"/>
        <v>0</v>
      </c>
      <c r="BB98" s="297">
        <f t="shared" si="37"/>
        <v>0</v>
      </c>
      <c r="BC98" s="297">
        <f t="shared" si="37"/>
        <v>0</v>
      </c>
      <c r="BD98" s="297">
        <f t="shared" si="37"/>
        <v>0</v>
      </c>
      <c r="BE98" s="297">
        <f t="shared" si="37"/>
        <v>0</v>
      </c>
      <c r="BF98" s="297">
        <f t="shared" si="37"/>
        <v>0</v>
      </c>
      <c r="BG98" s="297">
        <f t="shared" si="37"/>
        <v>0</v>
      </c>
      <c r="BH98" s="297">
        <f t="shared" si="37"/>
        <v>0</v>
      </c>
      <c r="BI98" s="297">
        <f t="shared" si="37"/>
        <v>0</v>
      </c>
      <c r="BJ98" s="297">
        <f t="shared" si="37"/>
        <v>0</v>
      </c>
      <c r="BK98" s="297">
        <f t="shared" si="37"/>
        <v>0</v>
      </c>
      <c r="BL98" s="297">
        <f t="shared" si="37"/>
        <v>0</v>
      </c>
      <c r="BM98" s="297">
        <f t="shared" si="37"/>
        <v>0</v>
      </c>
      <c r="BN98" s="297">
        <f t="shared" si="37"/>
        <v>0</v>
      </c>
      <c r="BO98" s="297">
        <f t="shared" si="37"/>
        <v>0</v>
      </c>
      <c r="BP98" s="297">
        <f t="shared" si="37"/>
        <v>0</v>
      </c>
      <c r="BQ98" s="297">
        <f t="shared" si="37"/>
        <v>0</v>
      </c>
      <c r="BR98" s="297">
        <f t="shared" si="37"/>
        <v>0</v>
      </c>
      <c r="BS98" s="297">
        <f t="shared" si="37"/>
        <v>0</v>
      </c>
      <c r="BT98" s="297">
        <f t="shared" si="37"/>
        <v>0</v>
      </c>
      <c r="BU98" s="297">
        <f t="shared" si="37"/>
        <v>0</v>
      </c>
      <c r="BV98" s="297">
        <f t="shared" si="37"/>
        <v>0</v>
      </c>
      <c r="BW98" s="297">
        <f t="shared" si="37"/>
        <v>0</v>
      </c>
      <c r="BX98" s="297">
        <f t="shared" si="37"/>
        <v>0</v>
      </c>
      <c r="BY98" s="565">
        <f>BZ91</f>
        <v>-119143322.00000001</v>
      </c>
      <c r="BZ98" s="601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</row>
    <row r="99" spans="1:138" ht="15.95">
      <c r="A99" s="505"/>
      <c r="B99" s="507"/>
      <c r="C99" s="507"/>
      <c r="D99" s="298"/>
      <c r="E99" s="299"/>
      <c r="F99" s="299"/>
      <c r="G99" s="299"/>
      <c r="H99" s="299">
        <f>H98</f>
        <v>-10737799.354999999</v>
      </c>
      <c r="I99" s="299">
        <f t="shared" ref="I99:N99" si="38">H99+I98</f>
        <v>-12605495.549999999</v>
      </c>
      <c r="J99" s="299">
        <f t="shared" si="38"/>
        <v>-14423119.215</v>
      </c>
      <c r="K99" s="299">
        <f t="shared" si="38"/>
        <v>-15325993.092</v>
      </c>
      <c r="L99" s="299">
        <f t="shared" si="38"/>
        <v>-20364187.171999998</v>
      </c>
      <c r="M99" s="299">
        <f t="shared" si="38"/>
        <v>-31125690.131999999</v>
      </c>
      <c r="N99" s="299">
        <f t="shared" si="38"/>
        <v>-51195536.332000002</v>
      </c>
      <c r="O99" s="300"/>
      <c r="P99" s="300"/>
      <c r="Q99" s="300"/>
      <c r="R99" s="300"/>
      <c r="S99" s="300"/>
      <c r="T99" s="300"/>
      <c r="U99" s="299"/>
      <c r="V99" s="299"/>
      <c r="W99" s="299"/>
      <c r="X99" s="300"/>
      <c r="Y99" s="300"/>
      <c r="Z99" s="300"/>
      <c r="AA99" s="300"/>
      <c r="AB99" s="300"/>
      <c r="AC99" s="299"/>
      <c r="AD99" s="300"/>
      <c r="AE99" s="300"/>
      <c r="AF99" s="300"/>
      <c r="AG99" s="300"/>
      <c r="AH99" s="300"/>
      <c r="AI99" s="300"/>
      <c r="AJ99" s="300"/>
      <c r="AK99" s="300"/>
      <c r="AL99" s="300"/>
      <c r="AM99" s="300"/>
      <c r="AN99" s="300"/>
      <c r="AO99" s="299"/>
      <c r="AP99" s="300"/>
      <c r="AQ99" s="300"/>
      <c r="AR99" s="300"/>
      <c r="AS99" s="299"/>
      <c r="AT99" s="299"/>
      <c r="AU99" s="299"/>
      <c r="AV99" s="299"/>
      <c r="AW99" s="299"/>
      <c r="AX99" s="299"/>
      <c r="AY99" s="299"/>
      <c r="AZ99" s="299"/>
      <c r="BA99" s="299"/>
      <c r="BB99" s="299"/>
      <c r="BC99" s="299"/>
      <c r="BD99" s="299"/>
      <c r="BE99" s="299"/>
      <c r="BF99" s="299"/>
      <c r="BG99" s="299"/>
      <c r="BH99" s="299"/>
      <c r="BI99" s="299"/>
      <c r="BJ99" s="299"/>
      <c r="BK99" s="299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301"/>
      <c r="BW99" s="301"/>
      <c r="BX99" s="301"/>
      <c r="BY99" s="302"/>
      <c r="BZ99" s="302"/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2"/>
      <c r="DI99" s="222"/>
      <c r="DJ99" s="222"/>
      <c r="DK99" s="222"/>
      <c r="DL99" s="222"/>
      <c r="DM99" s="222"/>
      <c r="DN99" s="222"/>
      <c r="DO99" s="222"/>
      <c r="DP99" s="222"/>
      <c r="DQ99" s="222"/>
      <c r="DR99" s="222"/>
      <c r="DS99" s="222"/>
      <c r="DT99" s="222"/>
      <c r="DU99" s="222"/>
      <c r="DV99" s="222"/>
      <c r="DW99" s="222"/>
      <c r="DX99" s="222"/>
      <c r="DY99" s="222"/>
      <c r="DZ99" s="222"/>
      <c r="EA99" s="222"/>
      <c r="EB99" s="222"/>
      <c r="EC99" s="222"/>
      <c r="ED99" s="222"/>
      <c r="EE99" s="222"/>
      <c r="EF99" s="222"/>
      <c r="EG99" s="222"/>
      <c r="EH99" s="222"/>
    </row>
    <row r="100" spans="1:138" ht="15.95">
      <c r="A100" s="505"/>
      <c r="B100" s="572" t="s">
        <v>288</v>
      </c>
      <c r="C100" s="592"/>
      <c r="D100" s="303"/>
      <c r="E100" s="299">
        <f t="shared" ref="E100:BX100" si="39">E16+E98</f>
        <v>0</v>
      </c>
      <c r="F100" s="299">
        <f t="shared" si="39"/>
        <v>0</v>
      </c>
      <c r="G100" s="299">
        <f t="shared" si="39"/>
        <v>0</v>
      </c>
      <c r="H100" s="299">
        <f t="shared" si="39"/>
        <v>5627202.6450000014</v>
      </c>
      <c r="I100" s="299">
        <f t="shared" si="39"/>
        <v>-1861469.1950000001</v>
      </c>
      <c r="J100" s="299">
        <f t="shared" si="39"/>
        <v>-1803035.665</v>
      </c>
      <c r="K100" s="299">
        <f t="shared" si="39"/>
        <v>439594.12299999991</v>
      </c>
      <c r="L100" s="299">
        <f t="shared" si="39"/>
        <v>-3040677.0799999991</v>
      </c>
      <c r="M100" s="300">
        <f t="shared" si="39"/>
        <v>57291.090000001714</v>
      </c>
      <c r="N100" s="299">
        <f t="shared" si="39"/>
        <v>-75913.25</v>
      </c>
      <c r="O100" s="300">
        <f t="shared" si="39"/>
        <v>32310.750000001863</v>
      </c>
      <c r="P100" s="300">
        <f t="shared" si="39"/>
        <v>992722.05835261755</v>
      </c>
      <c r="Q100" s="300">
        <f t="shared" si="39"/>
        <v>12266790.039415989</v>
      </c>
      <c r="R100" s="300">
        <f t="shared" si="39"/>
        <v>-8679724.8569189869</v>
      </c>
      <c r="S100" s="300">
        <f t="shared" si="39"/>
        <v>746567.07554481644</v>
      </c>
      <c r="T100" s="300">
        <f t="shared" si="39"/>
        <v>651797.34600597341</v>
      </c>
      <c r="U100" s="299">
        <f t="shared" si="39"/>
        <v>-3159473.979797333</v>
      </c>
      <c r="V100" s="299">
        <f t="shared" si="39"/>
        <v>536460.14774977416</v>
      </c>
      <c r="W100" s="299">
        <f t="shared" si="39"/>
        <v>466009.52440266684</v>
      </c>
      <c r="X100" s="300">
        <f t="shared" si="39"/>
        <v>531349.52440266684</v>
      </c>
      <c r="Y100" s="300">
        <f t="shared" si="39"/>
        <v>433789.52440266684</v>
      </c>
      <c r="Z100" s="300">
        <f t="shared" si="39"/>
        <v>-68363.876397332177</v>
      </c>
      <c r="AA100" s="300">
        <f t="shared" si="39"/>
        <v>24644688.289085999</v>
      </c>
      <c r="AB100" s="300">
        <f t="shared" si="39"/>
        <v>0</v>
      </c>
      <c r="AC100" s="299">
        <f t="shared" si="39"/>
        <v>0</v>
      </c>
      <c r="AD100" s="300">
        <f t="shared" si="39"/>
        <v>0</v>
      </c>
      <c r="AE100" s="300">
        <f t="shared" si="39"/>
        <v>0</v>
      </c>
      <c r="AF100" s="300">
        <f t="shared" si="39"/>
        <v>0</v>
      </c>
      <c r="AG100" s="300">
        <f t="shared" si="39"/>
        <v>0</v>
      </c>
      <c r="AH100" s="300">
        <f t="shared" si="39"/>
        <v>0</v>
      </c>
      <c r="AI100" s="300">
        <f t="shared" si="39"/>
        <v>0</v>
      </c>
      <c r="AJ100" s="300">
        <f t="shared" si="39"/>
        <v>0</v>
      </c>
      <c r="AK100" s="300">
        <f t="shared" si="39"/>
        <v>0</v>
      </c>
      <c r="AL100" s="300">
        <f t="shared" si="39"/>
        <v>0</v>
      </c>
      <c r="AM100" s="300">
        <f t="shared" si="39"/>
        <v>0</v>
      </c>
      <c r="AN100" s="300">
        <f t="shared" si="39"/>
        <v>0</v>
      </c>
      <c r="AO100" s="299">
        <f t="shared" si="39"/>
        <v>0</v>
      </c>
      <c r="AP100" s="300">
        <f t="shared" si="39"/>
        <v>0</v>
      </c>
      <c r="AQ100" s="300">
        <f t="shared" si="39"/>
        <v>0</v>
      </c>
      <c r="AR100" s="300">
        <f t="shared" si="39"/>
        <v>0</v>
      </c>
      <c r="AS100" s="299">
        <f t="shared" si="39"/>
        <v>0</v>
      </c>
      <c r="AT100" s="299">
        <f t="shared" si="39"/>
        <v>0</v>
      </c>
      <c r="AU100" s="299">
        <f t="shared" si="39"/>
        <v>0</v>
      </c>
      <c r="AV100" s="299">
        <f t="shared" si="39"/>
        <v>0</v>
      </c>
      <c r="AW100" s="299">
        <f t="shared" si="39"/>
        <v>0</v>
      </c>
      <c r="AX100" s="299">
        <f t="shared" si="39"/>
        <v>0</v>
      </c>
      <c r="AY100" s="299">
        <f t="shared" si="39"/>
        <v>0</v>
      </c>
      <c r="AZ100" s="299">
        <f t="shared" si="39"/>
        <v>0</v>
      </c>
      <c r="BA100" s="299">
        <f t="shared" si="39"/>
        <v>0</v>
      </c>
      <c r="BB100" s="299">
        <f t="shared" si="39"/>
        <v>0</v>
      </c>
      <c r="BC100" s="299">
        <f t="shared" si="39"/>
        <v>0</v>
      </c>
      <c r="BD100" s="299">
        <f t="shared" si="39"/>
        <v>0</v>
      </c>
      <c r="BE100" s="299">
        <f t="shared" si="39"/>
        <v>0</v>
      </c>
      <c r="BF100" s="299">
        <f t="shared" si="39"/>
        <v>0</v>
      </c>
      <c r="BG100" s="299">
        <f t="shared" si="39"/>
        <v>0</v>
      </c>
      <c r="BH100" s="299">
        <f t="shared" si="39"/>
        <v>0</v>
      </c>
      <c r="BI100" s="299">
        <f t="shared" si="39"/>
        <v>0</v>
      </c>
      <c r="BJ100" s="299">
        <f t="shared" si="39"/>
        <v>0</v>
      </c>
      <c r="BK100" s="299">
        <f t="shared" si="39"/>
        <v>0</v>
      </c>
      <c r="BL100" s="304">
        <f t="shared" si="39"/>
        <v>0</v>
      </c>
      <c r="BM100" s="304">
        <f t="shared" si="39"/>
        <v>0</v>
      </c>
      <c r="BN100" s="304">
        <f t="shared" si="39"/>
        <v>0</v>
      </c>
      <c r="BO100" s="304">
        <f t="shared" si="39"/>
        <v>0</v>
      </c>
      <c r="BP100" s="304">
        <f t="shared" si="39"/>
        <v>0</v>
      </c>
      <c r="BQ100" s="304">
        <f t="shared" si="39"/>
        <v>0</v>
      </c>
      <c r="BR100" s="304">
        <f t="shared" si="39"/>
        <v>0</v>
      </c>
      <c r="BS100" s="304">
        <f t="shared" si="39"/>
        <v>0</v>
      </c>
      <c r="BT100" s="304">
        <f t="shared" si="39"/>
        <v>0</v>
      </c>
      <c r="BU100" s="304">
        <f t="shared" si="39"/>
        <v>0</v>
      </c>
      <c r="BV100" s="304">
        <f t="shared" si="39"/>
        <v>0</v>
      </c>
      <c r="BW100" s="304">
        <f t="shared" si="39"/>
        <v>0</v>
      </c>
      <c r="BX100" s="304">
        <f t="shared" si="39"/>
        <v>0</v>
      </c>
      <c r="BY100" s="566">
        <f>BY16+BY90+BY98</f>
        <v>28274928.234249517</v>
      </c>
      <c r="BZ100" s="603"/>
      <c r="CA100" s="222"/>
      <c r="CB100" s="222"/>
      <c r="CC100" s="222"/>
      <c r="CD100" s="222"/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2"/>
      <c r="CQ100" s="222"/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E100" s="222"/>
      <c r="EF100" s="222"/>
      <c r="EG100" s="222"/>
      <c r="EH100" s="222"/>
    </row>
    <row r="101" spans="1:138">
      <c r="A101" s="505"/>
      <c r="B101" s="573" t="s">
        <v>289</v>
      </c>
      <c r="C101" s="592"/>
      <c r="D101" s="305"/>
      <c r="E101" s="306">
        <f>E100</f>
        <v>0</v>
      </c>
      <c r="F101" s="306">
        <f>F100+E101</f>
        <v>0</v>
      </c>
      <c r="G101" s="306">
        <f>655760.63+24.98*24.5-16.85*22</f>
        <v>656001.94000000006</v>
      </c>
      <c r="H101" s="306">
        <f>H100+G101-66</f>
        <v>6283138.5850000018</v>
      </c>
      <c r="I101" s="306">
        <f t="shared" ref="I101:BX101" si="40">I100+H101</f>
        <v>4421669.3900000015</v>
      </c>
      <c r="J101" s="306">
        <f t="shared" si="40"/>
        <v>2618633.7250000015</v>
      </c>
      <c r="K101" s="306">
        <f t="shared" si="40"/>
        <v>3058227.8480000012</v>
      </c>
      <c r="L101" s="306">
        <f t="shared" si="40"/>
        <v>17550.768000002019</v>
      </c>
      <c r="M101" s="306">
        <f t="shared" si="40"/>
        <v>74841.858000003733</v>
      </c>
      <c r="N101" s="306">
        <f t="shared" si="40"/>
        <v>-1071.3919999962673</v>
      </c>
      <c r="O101" s="306">
        <f t="shared" si="40"/>
        <v>31239.358000005595</v>
      </c>
      <c r="P101" s="306">
        <f t="shared" si="40"/>
        <v>1023961.4163526231</v>
      </c>
      <c r="Q101" s="306">
        <f t="shared" si="40"/>
        <v>13290751.455768611</v>
      </c>
      <c r="R101" s="306">
        <f t="shared" si="40"/>
        <v>4611026.5988496244</v>
      </c>
      <c r="S101" s="306">
        <f t="shared" si="40"/>
        <v>5357593.6743944408</v>
      </c>
      <c r="T101" s="306">
        <f t="shared" si="40"/>
        <v>6009391.0204004142</v>
      </c>
      <c r="U101" s="306">
        <f t="shared" si="40"/>
        <v>2849917.0406030812</v>
      </c>
      <c r="V101" s="306">
        <f t="shared" si="40"/>
        <v>3386377.1883528554</v>
      </c>
      <c r="W101" s="306">
        <f t="shared" si="40"/>
        <v>3852386.7127555222</v>
      </c>
      <c r="X101" s="306">
        <f t="shared" si="40"/>
        <v>4383736.2371581886</v>
      </c>
      <c r="Y101" s="306">
        <f t="shared" si="40"/>
        <v>4817525.7615608554</v>
      </c>
      <c r="Z101" s="306">
        <f t="shared" si="40"/>
        <v>4749161.8851635233</v>
      </c>
      <c r="AA101" s="306">
        <f t="shared" si="40"/>
        <v>29393850.174249522</v>
      </c>
      <c r="AB101" s="306">
        <f t="shared" si="40"/>
        <v>29393850.174249522</v>
      </c>
      <c r="AC101" s="306">
        <f t="shared" si="40"/>
        <v>29393850.174249522</v>
      </c>
      <c r="AD101" s="306">
        <f t="shared" si="40"/>
        <v>29393850.174249522</v>
      </c>
      <c r="AE101" s="306">
        <f t="shared" si="40"/>
        <v>29393850.174249522</v>
      </c>
      <c r="AF101" s="306">
        <f t="shared" si="40"/>
        <v>29393850.174249522</v>
      </c>
      <c r="AG101" s="306">
        <f t="shared" si="40"/>
        <v>29393850.174249522</v>
      </c>
      <c r="AH101" s="306">
        <f t="shared" si="40"/>
        <v>29393850.174249522</v>
      </c>
      <c r="AI101" s="306">
        <f t="shared" si="40"/>
        <v>29393850.174249522</v>
      </c>
      <c r="AJ101" s="306">
        <f t="shared" si="40"/>
        <v>29393850.174249522</v>
      </c>
      <c r="AK101" s="306">
        <f t="shared" si="40"/>
        <v>29393850.174249522</v>
      </c>
      <c r="AL101" s="306">
        <f t="shared" si="40"/>
        <v>29393850.174249522</v>
      </c>
      <c r="AM101" s="306">
        <f t="shared" si="40"/>
        <v>29393850.174249522</v>
      </c>
      <c r="AN101" s="306">
        <f t="shared" si="40"/>
        <v>29393850.174249522</v>
      </c>
      <c r="AO101" s="306">
        <f t="shared" si="40"/>
        <v>29393850.174249522</v>
      </c>
      <c r="AP101" s="306">
        <f t="shared" si="40"/>
        <v>29393850.174249522</v>
      </c>
      <c r="AQ101" s="306">
        <f t="shared" si="40"/>
        <v>29393850.174249522</v>
      </c>
      <c r="AR101" s="306">
        <f t="shared" si="40"/>
        <v>29393850.174249522</v>
      </c>
      <c r="AS101" s="306">
        <f t="shared" si="40"/>
        <v>29393850.174249522</v>
      </c>
      <c r="AT101" s="306">
        <f t="shared" si="40"/>
        <v>29393850.174249522</v>
      </c>
      <c r="AU101" s="306">
        <f t="shared" si="40"/>
        <v>29393850.174249522</v>
      </c>
      <c r="AV101" s="306">
        <f t="shared" si="40"/>
        <v>29393850.174249522</v>
      </c>
      <c r="AW101" s="306">
        <f t="shared" si="40"/>
        <v>29393850.174249522</v>
      </c>
      <c r="AX101" s="306">
        <f t="shared" si="40"/>
        <v>29393850.174249522</v>
      </c>
      <c r="AY101" s="306">
        <f t="shared" si="40"/>
        <v>29393850.174249522</v>
      </c>
      <c r="AZ101" s="306">
        <f t="shared" si="40"/>
        <v>29393850.174249522</v>
      </c>
      <c r="BA101" s="306">
        <f t="shared" si="40"/>
        <v>29393850.174249522</v>
      </c>
      <c r="BB101" s="306">
        <f t="shared" si="40"/>
        <v>29393850.174249522</v>
      </c>
      <c r="BC101" s="306">
        <f t="shared" si="40"/>
        <v>29393850.174249522</v>
      </c>
      <c r="BD101" s="306">
        <f t="shared" si="40"/>
        <v>29393850.174249522</v>
      </c>
      <c r="BE101" s="306">
        <f t="shared" si="40"/>
        <v>29393850.174249522</v>
      </c>
      <c r="BF101" s="306">
        <f t="shared" si="40"/>
        <v>29393850.174249522</v>
      </c>
      <c r="BG101" s="306">
        <f t="shared" si="40"/>
        <v>29393850.174249522</v>
      </c>
      <c r="BH101" s="306">
        <f t="shared" si="40"/>
        <v>29393850.174249522</v>
      </c>
      <c r="BI101" s="306">
        <f t="shared" si="40"/>
        <v>29393850.174249522</v>
      </c>
      <c r="BJ101" s="306">
        <f t="shared" si="40"/>
        <v>29393850.174249522</v>
      </c>
      <c r="BK101" s="306">
        <f t="shared" si="40"/>
        <v>29393850.174249522</v>
      </c>
      <c r="BL101" s="306">
        <f t="shared" si="40"/>
        <v>29393850.174249522</v>
      </c>
      <c r="BM101" s="306">
        <f t="shared" si="40"/>
        <v>29393850.174249522</v>
      </c>
      <c r="BN101" s="306">
        <f t="shared" si="40"/>
        <v>29393850.174249522</v>
      </c>
      <c r="BO101" s="306">
        <f t="shared" si="40"/>
        <v>29393850.174249522</v>
      </c>
      <c r="BP101" s="306">
        <f t="shared" si="40"/>
        <v>29393850.174249522</v>
      </c>
      <c r="BQ101" s="306">
        <f t="shared" si="40"/>
        <v>29393850.174249522</v>
      </c>
      <c r="BR101" s="306">
        <f t="shared" si="40"/>
        <v>29393850.174249522</v>
      </c>
      <c r="BS101" s="306">
        <f t="shared" si="40"/>
        <v>29393850.174249522</v>
      </c>
      <c r="BT101" s="306">
        <f t="shared" si="40"/>
        <v>29393850.174249522</v>
      </c>
      <c r="BU101" s="306">
        <f t="shared" si="40"/>
        <v>29393850.174249522</v>
      </c>
      <c r="BV101" s="306">
        <f t="shared" si="40"/>
        <v>29393850.174249522</v>
      </c>
      <c r="BW101" s="306">
        <f t="shared" si="40"/>
        <v>29393850.174249522</v>
      </c>
      <c r="BX101" s="306">
        <f t="shared" si="40"/>
        <v>29393850.174249522</v>
      </c>
      <c r="BY101" s="222"/>
      <c r="BZ101" s="222"/>
      <c r="CA101" s="222"/>
      <c r="CB101" s="222"/>
      <c r="CC101" s="222"/>
      <c r="CD101" s="222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2"/>
      <c r="CV101" s="222"/>
      <c r="CW101" s="222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2"/>
      <c r="DI101" s="222"/>
      <c r="DJ101" s="222"/>
      <c r="DK101" s="222"/>
      <c r="DL101" s="222"/>
      <c r="DM101" s="222"/>
      <c r="DN101" s="222"/>
      <c r="DO101" s="222"/>
      <c r="DP101" s="222"/>
      <c r="DQ101" s="222"/>
      <c r="DR101" s="222"/>
      <c r="DS101" s="222"/>
      <c r="DT101" s="222"/>
      <c r="DU101" s="222"/>
      <c r="DV101" s="222"/>
      <c r="DW101" s="222"/>
      <c r="DX101" s="222"/>
      <c r="DY101" s="222"/>
      <c r="DZ101" s="222"/>
      <c r="EA101" s="222"/>
      <c r="EB101" s="222"/>
      <c r="EC101" s="222"/>
      <c r="ED101" s="222"/>
      <c r="EE101" s="222"/>
      <c r="EF101" s="222"/>
      <c r="EG101" s="222"/>
      <c r="EH101" s="222"/>
    </row>
    <row r="102" spans="1:138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307"/>
      <c r="BZ102" s="222">
        <f>T101-8333333</f>
        <v>-2323941.9795995858</v>
      </c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</row>
    <row r="103" spans="1:138" hidden="1">
      <c r="A103" s="222"/>
      <c r="B103" s="222"/>
      <c r="C103" s="222"/>
      <c r="D103" s="308" t="s">
        <v>290</v>
      </c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9"/>
      <c r="W103" s="309"/>
      <c r="X103" s="309"/>
      <c r="Y103" s="309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09"/>
      <c r="AR103" s="309"/>
      <c r="AS103" s="309"/>
      <c r="AT103" s="309"/>
      <c r="AU103" s="309"/>
      <c r="AV103" s="309"/>
      <c r="AW103" s="309"/>
      <c r="AX103" s="309"/>
      <c r="AY103" s="309"/>
      <c r="AZ103" s="309"/>
      <c r="BA103" s="309"/>
      <c r="BB103" s="309"/>
      <c r="BC103" s="309"/>
      <c r="BD103" s="309"/>
      <c r="BE103" s="309"/>
      <c r="BF103" s="309"/>
      <c r="BG103" s="309"/>
      <c r="BH103" s="309"/>
      <c r="BI103" s="309"/>
      <c r="BJ103" s="309"/>
      <c r="BK103" s="309"/>
      <c r="BL103" s="309"/>
      <c r="BM103" s="309"/>
      <c r="BN103" s="309"/>
      <c r="BO103" s="309"/>
      <c r="BP103" s="309"/>
      <c r="BQ103" s="309"/>
      <c r="BR103" s="309"/>
      <c r="BS103" s="309"/>
      <c r="BT103" s="309"/>
      <c r="BU103" s="309"/>
      <c r="BV103" s="309"/>
      <c r="BW103" s="309"/>
      <c r="BX103" s="309"/>
      <c r="BY103" s="307"/>
      <c r="BZ103" s="222"/>
      <c r="CA103" s="222"/>
      <c r="CB103" s="222"/>
      <c r="CC103" s="222"/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2"/>
      <c r="CV103" s="222"/>
      <c r="CW103" s="222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2"/>
      <c r="DI103" s="222"/>
      <c r="DJ103" s="222"/>
      <c r="DK103" s="222"/>
      <c r="DL103" s="222"/>
      <c r="DM103" s="222"/>
      <c r="DN103" s="222"/>
      <c r="DO103" s="222"/>
      <c r="DP103" s="222"/>
      <c r="DQ103" s="222"/>
      <c r="DR103" s="222"/>
      <c r="DS103" s="222"/>
      <c r="DT103" s="222"/>
      <c r="DU103" s="222"/>
      <c r="DV103" s="222"/>
      <c r="DW103" s="222"/>
      <c r="DX103" s="222"/>
      <c r="DY103" s="222"/>
      <c r="DZ103" s="222"/>
      <c r="EA103" s="222"/>
      <c r="EB103" s="222"/>
      <c r="EC103" s="222"/>
      <c r="ED103" s="222"/>
      <c r="EE103" s="222"/>
      <c r="EF103" s="222"/>
      <c r="EG103" s="222"/>
      <c r="EH103" s="222"/>
    </row>
    <row r="104" spans="1:138" hidden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307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</row>
    <row r="105" spans="1:138" hidden="1">
      <c r="A105" s="222"/>
      <c r="B105" s="222"/>
      <c r="C105" s="310" t="s">
        <v>291</v>
      </c>
      <c r="D105" s="311"/>
      <c r="E105" s="312">
        <f>E113+E131+E163+E179</f>
        <v>0</v>
      </c>
      <c r="F105" s="312">
        <f t="shared" ref="F105:BW105" si="41">F113+F179</f>
        <v>0</v>
      </c>
      <c r="G105" s="312">
        <f t="shared" si="41"/>
        <v>0</v>
      </c>
      <c r="H105" s="312">
        <f t="shared" si="41"/>
        <v>-21706207.5</v>
      </c>
      <c r="I105" s="312">
        <f t="shared" si="41"/>
        <v>0</v>
      </c>
      <c r="J105" s="312">
        <f t="shared" si="41"/>
        <v>0</v>
      </c>
      <c r="K105" s="312">
        <f t="shared" si="41"/>
        <v>-885000</v>
      </c>
      <c r="L105" s="312">
        <f t="shared" si="41"/>
        <v>-1940000</v>
      </c>
      <c r="M105" s="312">
        <f t="shared" si="41"/>
        <v>-4260000</v>
      </c>
      <c r="N105" s="312">
        <f t="shared" si="41"/>
        <v>0</v>
      </c>
      <c r="O105" s="312">
        <f t="shared" si="41"/>
        <v>-320000</v>
      </c>
      <c r="P105" s="312">
        <f t="shared" si="41"/>
        <v>-2000000</v>
      </c>
      <c r="Q105" s="312">
        <f t="shared" si="41"/>
        <v>-4550000</v>
      </c>
      <c r="R105" s="312">
        <f t="shared" si="41"/>
        <v>-1000000</v>
      </c>
      <c r="S105" s="312">
        <f t="shared" si="41"/>
        <v>-5550000</v>
      </c>
      <c r="T105" s="312">
        <f t="shared" si="41"/>
        <v>441205.5</v>
      </c>
      <c r="U105" s="312">
        <f t="shared" si="41"/>
        <v>-1100000</v>
      </c>
      <c r="V105" s="312">
        <f t="shared" si="41"/>
        <v>0</v>
      </c>
      <c r="W105" s="312">
        <f t="shared" si="41"/>
        <v>0</v>
      </c>
      <c r="X105" s="312">
        <f t="shared" si="41"/>
        <v>0</v>
      </c>
      <c r="Y105" s="312">
        <f t="shared" si="41"/>
        <v>0</v>
      </c>
      <c r="Z105" s="312">
        <f t="shared" si="41"/>
        <v>0</v>
      </c>
      <c r="AA105" s="312">
        <f t="shared" si="41"/>
        <v>42870002</v>
      </c>
      <c r="AB105" s="312">
        <f t="shared" si="41"/>
        <v>0</v>
      </c>
      <c r="AC105" s="312">
        <f t="shared" si="41"/>
        <v>0</v>
      </c>
      <c r="AD105" s="312">
        <f t="shared" si="41"/>
        <v>0</v>
      </c>
      <c r="AE105" s="312">
        <f t="shared" si="41"/>
        <v>0</v>
      </c>
      <c r="AF105" s="312">
        <f t="shared" si="41"/>
        <v>0</v>
      </c>
      <c r="AG105" s="312">
        <f t="shared" si="41"/>
        <v>0</v>
      </c>
      <c r="AH105" s="312">
        <f t="shared" si="41"/>
        <v>0</v>
      </c>
      <c r="AI105" s="312">
        <f t="shared" si="41"/>
        <v>0</v>
      </c>
      <c r="AJ105" s="312">
        <f t="shared" si="41"/>
        <v>0</v>
      </c>
      <c r="AK105" s="312">
        <f t="shared" si="41"/>
        <v>0</v>
      </c>
      <c r="AL105" s="312">
        <f t="shared" si="41"/>
        <v>0</v>
      </c>
      <c r="AM105" s="312">
        <f t="shared" si="41"/>
        <v>0</v>
      </c>
      <c r="AN105" s="312">
        <f t="shared" si="41"/>
        <v>0</v>
      </c>
      <c r="AO105" s="312">
        <f t="shared" si="41"/>
        <v>0</v>
      </c>
      <c r="AP105" s="312">
        <f t="shared" si="41"/>
        <v>0</v>
      </c>
      <c r="AQ105" s="312">
        <f t="shared" si="41"/>
        <v>0</v>
      </c>
      <c r="AR105" s="312">
        <f t="shared" si="41"/>
        <v>0</v>
      </c>
      <c r="AS105" s="312">
        <f t="shared" si="41"/>
        <v>0</v>
      </c>
      <c r="AT105" s="312">
        <f t="shared" si="41"/>
        <v>0</v>
      </c>
      <c r="AU105" s="312">
        <f t="shared" si="41"/>
        <v>0</v>
      </c>
      <c r="AV105" s="312">
        <f t="shared" si="41"/>
        <v>0</v>
      </c>
      <c r="AW105" s="312">
        <f t="shared" si="41"/>
        <v>0</v>
      </c>
      <c r="AX105" s="312">
        <f t="shared" si="41"/>
        <v>0</v>
      </c>
      <c r="AY105" s="312">
        <f t="shared" si="41"/>
        <v>0</v>
      </c>
      <c r="AZ105" s="312">
        <f t="shared" si="41"/>
        <v>0</v>
      </c>
      <c r="BA105" s="312">
        <f t="shared" si="41"/>
        <v>0</v>
      </c>
      <c r="BB105" s="312">
        <f t="shared" si="41"/>
        <v>0</v>
      </c>
      <c r="BC105" s="312">
        <f t="shared" si="41"/>
        <v>0</v>
      </c>
      <c r="BD105" s="312">
        <f t="shared" si="41"/>
        <v>0</v>
      </c>
      <c r="BE105" s="312">
        <f t="shared" si="41"/>
        <v>0</v>
      </c>
      <c r="BF105" s="312">
        <f t="shared" si="41"/>
        <v>0</v>
      </c>
      <c r="BG105" s="312">
        <f t="shared" si="41"/>
        <v>0</v>
      </c>
      <c r="BH105" s="312">
        <f t="shared" si="41"/>
        <v>0</v>
      </c>
      <c r="BI105" s="312">
        <f t="shared" si="41"/>
        <v>0</v>
      </c>
      <c r="BJ105" s="312">
        <f t="shared" si="41"/>
        <v>0</v>
      </c>
      <c r="BK105" s="312">
        <f t="shared" si="41"/>
        <v>0</v>
      </c>
      <c r="BL105" s="312">
        <f t="shared" si="41"/>
        <v>0</v>
      </c>
      <c r="BM105" s="312">
        <f t="shared" si="41"/>
        <v>0</v>
      </c>
      <c r="BN105" s="312">
        <f t="shared" si="41"/>
        <v>0</v>
      </c>
      <c r="BO105" s="312">
        <f t="shared" si="41"/>
        <v>0</v>
      </c>
      <c r="BP105" s="312">
        <f t="shared" si="41"/>
        <v>0</v>
      </c>
      <c r="BQ105" s="312">
        <f t="shared" si="41"/>
        <v>0</v>
      </c>
      <c r="BR105" s="312">
        <f t="shared" si="41"/>
        <v>0</v>
      </c>
      <c r="BS105" s="312">
        <f t="shared" si="41"/>
        <v>0</v>
      </c>
      <c r="BT105" s="312">
        <f t="shared" si="41"/>
        <v>0</v>
      </c>
      <c r="BU105" s="312">
        <f t="shared" si="41"/>
        <v>0</v>
      </c>
      <c r="BV105" s="312">
        <f t="shared" si="41"/>
        <v>0</v>
      </c>
      <c r="BW105" s="312">
        <f t="shared" si="41"/>
        <v>0</v>
      </c>
      <c r="BX105" s="312">
        <f>BX113+BX179+BX101</f>
        <v>29393850.174249522</v>
      </c>
      <c r="BY105" s="307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</row>
    <row r="106" spans="1:138" hidden="1">
      <c r="A106" s="222"/>
      <c r="B106" s="222"/>
      <c r="C106" s="313" t="s">
        <v>292</v>
      </c>
      <c r="D106" s="574">
        <f>IRR(E105:BX105)*12</f>
        <v>0.2070253961570625</v>
      </c>
      <c r="E106" s="599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22"/>
      <c r="BU106" s="222"/>
      <c r="BV106" s="222"/>
      <c r="BW106" s="222"/>
      <c r="BX106" s="222"/>
      <c r="BY106" s="307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  <c r="DF106" s="222"/>
      <c r="DG106" s="222"/>
      <c r="DH106" s="222"/>
      <c r="DI106" s="222"/>
      <c r="DJ106" s="222"/>
      <c r="DK106" s="222"/>
      <c r="DL106" s="222"/>
      <c r="DM106" s="222"/>
      <c r="DN106" s="222"/>
      <c r="DO106" s="222"/>
      <c r="DP106" s="222"/>
      <c r="DQ106" s="222"/>
      <c r="DR106" s="222"/>
      <c r="DS106" s="222"/>
      <c r="DT106" s="222"/>
      <c r="DU106" s="222"/>
      <c r="DV106" s="222"/>
      <c r="DW106" s="222"/>
      <c r="DX106" s="222"/>
      <c r="DY106" s="222"/>
      <c r="DZ106" s="222"/>
      <c r="EA106" s="222"/>
      <c r="EB106" s="222"/>
      <c r="EC106" s="222"/>
      <c r="ED106" s="222"/>
      <c r="EE106" s="222"/>
      <c r="EF106" s="222"/>
      <c r="EG106" s="222"/>
      <c r="EH106" s="222"/>
    </row>
    <row r="107" spans="1:138" hidden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307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2"/>
      <c r="DD107" s="222"/>
      <c r="DE107" s="222"/>
      <c r="DF107" s="222"/>
      <c r="DG107" s="222"/>
      <c r="DH107" s="222"/>
      <c r="DI107" s="222"/>
      <c r="DJ107" s="222"/>
      <c r="DK107" s="222"/>
      <c r="DL107" s="222"/>
      <c r="DM107" s="222"/>
      <c r="DN107" s="222"/>
      <c r="DO107" s="222"/>
      <c r="DP107" s="222"/>
      <c r="DQ107" s="222"/>
      <c r="DR107" s="222"/>
      <c r="DS107" s="222"/>
      <c r="DT107" s="222"/>
      <c r="DU107" s="222"/>
      <c r="DV107" s="222"/>
      <c r="DW107" s="222"/>
      <c r="DX107" s="222"/>
      <c r="DY107" s="222"/>
      <c r="DZ107" s="222"/>
      <c r="EA107" s="222"/>
      <c r="EB107" s="222"/>
      <c r="EC107" s="222"/>
      <c r="ED107" s="222"/>
      <c r="EE107" s="222"/>
      <c r="EF107" s="222"/>
      <c r="EG107" s="222"/>
      <c r="EH107" s="222"/>
    </row>
    <row r="108" spans="1:138" hidden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2"/>
      <c r="BN108" s="222"/>
      <c r="BO108" s="222"/>
      <c r="BP108" s="222"/>
      <c r="BQ108" s="222"/>
      <c r="BR108" s="222"/>
      <c r="BS108" s="222"/>
      <c r="BT108" s="222"/>
      <c r="BU108" s="222"/>
      <c r="BV108" s="222"/>
      <c r="BW108" s="222"/>
      <c r="BX108" s="222"/>
      <c r="BY108" s="307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2"/>
      <c r="DD108" s="222"/>
      <c r="DE108" s="222"/>
      <c r="DF108" s="222"/>
      <c r="DG108" s="222"/>
      <c r="DH108" s="222"/>
      <c r="DI108" s="222"/>
      <c r="DJ108" s="222"/>
      <c r="DK108" s="222"/>
      <c r="DL108" s="222"/>
      <c r="DM108" s="222"/>
      <c r="DN108" s="222"/>
      <c r="DO108" s="222"/>
      <c r="DP108" s="222"/>
      <c r="DQ108" s="222"/>
      <c r="DR108" s="222"/>
      <c r="DS108" s="222"/>
      <c r="DT108" s="222"/>
      <c r="DU108" s="222"/>
      <c r="DV108" s="222"/>
      <c r="DW108" s="222"/>
      <c r="DX108" s="222"/>
      <c r="DY108" s="222"/>
      <c r="DZ108" s="222"/>
      <c r="EA108" s="222"/>
      <c r="EB108" s="222"/>
      <c r="EC108" s="222"/>
      <c r="ED108" s="222"/>
      <c r="EE108" s="222"/>
      <c r="EF108" s="222"/>
      <c r="EG108" s="222"/>
      <c r="EH108" s="222"/>
    </row>
    <row r="109" spans="1:138" ht="17.100000000000001" hidden="1">
      <c r="A109" s="222"/>
      <c r="B109" s="222"/>
      <c r="C109" s="310" t="s">
        <v>293</v>
      </c>
      <c r="D109" s="604"/>
      <c r="E109" s="598"/>
      <c r="F109" s="598"/>
      <c r="G109" s="598"/>
      <c r="H109" s="598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8"/>
      <c r="Z109" s="598"/>
      <c r="AA109" s="598"/>
      <c r="AB109" s="598"/>
      <c r="AC109" s="598"/>
      <c r="AD109" s="598"/>
      <c r="AE109" s="598"/>
      <c r="AF109" s="598"/>
      <c r="AG109" s="598"/>
      <c r="AH109" s="598"/>
      <c r="AI109" s="598"/>
      <c r="AJ109" s="598"/>
      <c r="AK109" s="598"/>
      <c r="AL109" s="598"/>
      <c r="AM109" s="598"/>
      <c r="AN109" s="598"/>
      <c r="AO109" s="598"/>
      <c r="AP109" s="598"/>
      <c r="AQ109" s="598"/>
      <c r="AR109" s="598"/>
      <c r="AS109" s="598"/>
      <c r="AT109" s="598"/>
      <c r="AU109" s="598"/>
      <c r="AV109" s="598"/>
      <c r="AW109" s="598"/>
      <c r="AX109" s="598"/>
      <c r="AY109" s="598"/>
      <c r="AZ109" s="598"/>
      <c r="BA109" s="598"/>
      <c r="BB109" s="598"/>
      <c r="BC109" s="598"/>
      <c r="BD109" s="598"/>
      <c r="BE109" s="598"/>
      <c r="BF109" s="598"/>
      <c r="BG109" s="598"/>
      <c r="BH109" s="598"/>
      <c r="BI109" s="598"/>
      <c r="BJ109" s="598"/>
      <c r="BK109" s="598"/>
      <c r="BL109" s="598"/>
      <c r="BM109" s="598"/>
      <c r="BN109" s="598"/>
      <c r="BO109" s="598"/>
      <c r="BP109" s="598"/>
      <c r="BQ109" s="598"/>
      <c r="BR109" s="598"/>
      <c r="BS109" s="598"/>
      <c r="BT109" s="598"/>
      <c r="BU109" s="598"/>
      <c r="BV109" s="598"/>
      <c r="BW109" s="599"/>
      <c r="BX109" s="315">
        <f>BX101*C110</f>
        <v>5878770.0348499045</v>
      </c>
      <c r="BY109" s="307"/>
      <c r="BZ109" s="222"/>
      <c r="CA109" s="222"/>
      <c r="CB109" s="222"/>
      <c r="CC109" s="222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222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222"/>
      <c r="DA109" s="222"/>
      <c r="DB109" s="222"/>
      <c r="DC109" s="222"/>
      <c r="DD109" s="222"/>
      <c r="DE109" s="222"/>
      <c r="DF109" s="222"/>
      <c r="DG109" s="222"/>
      <c r="DH109" s="222"/>
      <c r="DI109" s="222"/>
      <c r="DJ109" s="222"/>
      <c r="DK109" s="222"/>
      <c r="DL109" s="222"/>
      <c r="DM109" s="222"/>
      <c r="DN109" s="222"/>
      <c r="DO109" s="222"/>
      <c r="DP109" s="222"/>
      <c r="DQ109" s="222"/>
      <c r="DR109" s="222"/>
      <c r="DS109" s="222"/>
      <c r="DT109" s="222"/>
      <c r="DU109" s="222"/>
      <c r="DV109" s="222"/>
      <c r="DW109" s="222"/>
      <c r="DX109" s="222"/>
      <c r="DY109" s="222"/>
      <c r="DZ109" s="222"/>
      <c r="EA109" s="222"/>
      <c r="EB109" s="222"/>
      <c r="EC109" s="222"/>
      <c r="ED109" s="222"/>
      <c r="EE109" s="222"/>
      <c r="EF109" s="222"/>
      <c r="EG109" s="222"/>
      <c r="EH109" s="222"/>
    </row>
    <row r="110" spans="1:138" ht="18.95" hidden="1">
      <c r="A110" s="222"/>
      <c r="B110" s="222"/>
      <c r="C110" s="316">
        <v>0.2</v>
      </c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  <c r="AL110" s="222"/>
      <c r="AM110" s="222"/>
      <c r="AN110" s="222"/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  <c r="BB110" s="222"/>
      <c r="BC110" s="222"/>
      <c r="BD110" s="222"/>
      <c r="BE110" s="222"/>
      <c r="BF110" s="222"/>
      <c r="BG110" s="222"/>
      <c r="BH110" s="222"/>
      <c r="BI110" s="222"/>
      <c r="BJ110" s="222"/>
      <c r="BK110" s="222"/>
      <c r="BL110" s="222"/>
      <c r="BM110" s="222"/>
      <c r="BN110" s="222"/>
      <c r="BO110" s="222"/>
      <c r="BP110" s="222"/>
      <c r="BQ110" s="222"/>
      <c r="BR110" s="222"/>
      <c r="BS110" s="222"/>
      <c r="BT110" s="222"/>
      <c r="BU110" s="222"/>
      <c r="BV110" s="222"/>
      <c r="BW110" s="222"/>
      <c r="BX110" s="222"/>
      <c r="BY110" s="307"/>
      <c r="BZ110" s="222"/>
      <c r="CA110" s="222"/>
      <c r="CB110" s="222"/>
      <c r="CC110" s="222"/>
      <c r="CD110" s="222"/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2"/>
      <c r="CQ110" s="222"/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2"/>
      <c r="DD110" s="222"/>
      <c r="DE110" s="222"/>
      <c r="DF110" s="222"/>
      <c r="DG110" s="222"/>
      <c r="DH110" s="222"/>
      <c r="DI110" s="222"/>
      <c r="DJ110" s="222"/>
      <c r="DK110" s="222"/>
      <c r="DL110" s="222"/>
      <c r="DM110" s="222"/>
      <c r="DN110" s="222"/>
      <c r="DO110" s="222"/>
      <c r="DP110" s="222"/>
      <c r="DQ110" s="222"/>
      <c r="DR110" s="222"/>
      <c r="DS110" s="222"/>
      <c r="DT110" s="222"/>
      <c r="DU110" s="222"/>
      <c r="DV110" s="222"/>
      <c r="DW110" s="222"/>
      <c r="DX110" s="222"/>
      <c r="DY110" s="222"/>
      <c r="DZ110" s="222"/>
      <c r="EA110" s="222"/>
      <c r="EB110" s="222"/>
      <c r="EC110" s="222"/>
      <c r="ED110" s="222"/>
      <c r="EE110" s="222"/>
      <c r="EF110" s="222"/>
      <c r="EG110" s="222"/>
      <c r="EH110" s="222"/>
    </row>
    <row r="111" spans="1:138" hidden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222"/>
      <c r="AF111" s="222"/>
      <c r="AG111" s="222"/>
      <c r="AH111" s="222"/>
      <c r="AI111" s="222"/>
      <c r="AJ111" s="222"/>
      <c r="AK111" s="222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2"/>
      <c r="BH111" s="222"/>
      <c r="BI111" s="222"/>
      <c r="BJ111" s="222"/>
      <c r="BK111" s="222"/>
      <c r="BL111" s="222"/>
      <c r="BM111" s="222"/>
      <c r="BN111" s="222"/>
      <c r="BO111" s="222"/>
      <c r="BP111" s="222"/>
      <c r="BQ111" s="222"/>
      <c r="BR111" s="222"/>
      <c r="BS111" s="222"/>
      <c r="BT111" s="222"/>
      <c r="BU111" s="222"/>
      <c r="BV111" s="222"/>
      <c r="BW111" s="222"/>
      <c r="BX111" s="222"/>
      <c r="BY111" s="307"/>
      <c r="BZ111" s="222"/>
      <c r="CA111" s="222"/>
      <c r="CB111" s="222"/>
      <c r="CC111" s="222"/>
      <c r="CD111" s="222"/>
      <c r="CE111" s="222"/>
      <c r="CF111" s="222"/>
      <c r="CG111" s="222"/>
      <c r="CH111" s="222"/>
      <c r="CI111" s="222"/>
      <c r="CJ111" s="222"/>
      <c r="CK111" s="222"/>
      <c r="CL111" s="222"/>
      <c r="CM111" s="222"/>
      <c r="CN111" s="222"/>
      <c r="CO111" s="222"/>
      <c r="CP111" s="222"/>
      <c r="CQ111" s="222"/>
      <c r="CR111" s="222"/>
      <c r="CS111" s="222"/>
      <c r="CT111" s="222"/>
      <c r="CU111" s="222"/>
      <c r="CV111" s="222"/>
      <c r="CW111" s="222"/>
      <c r="CX111" s="222"/>
      <c r="CY111" s="222"/>
      <c r="CZ111" s="222"/>
      <c r="DA111" s="222"/>
      <c r="DB111" s="222"/>
      <c r="DC111" s="222"/>
      <c r="DD111" s="222"/>
      <c r="DE111" s="222"/>
      <c r="DF111" s="222"/>
      <c r="DG111" s="222"/>
      <c r="DH111" s="222"/>
      <c r="DI111" s="222"/>
      <c r="DJ111" s="222"/>
      <c r="DK111" s="222"/>
      <c r="DL111" s="222"/>
      <c r="DM111" s="222"/>
      <c r="DN111" s="222"/>
      <c r="DO111" s="222"/>
      <c r="DP111" s="222"/>
      <c r="DQ111" s="222"/>
      <c r="DR111" s="222"/>
      <c r="DS111" s="222"/>
      <c r="DT111" s="222"/>
      <c r="DU111" s="222"/>
      <c r="DV111" s="222"/>
      <c r="DW111" s="222"/>
      <c r="DX111" s="222"/>
      <c r="DY111" s="222"/>
      <c r="DZ111" s="222"/>
      <c r="EA111" s="222"/>
      <c r="EB111" s="222"/>
      <c r="EC111" s="222"/>
      <c r="ED111" s="222"/>
      <c r="EE111" s="222"/>
      <c r="EF111" s="222"/>
      <c r="EG111" s="222"/>
      <c r="EH111" s="222"/>
    </row>
    <row r="112" spans="1:138" hidden="1">
      <c r="A112" s="222"/>
      <c r="B112" s="222"/>
      <c r="C112" s="317"/>
      <c r="D112" s="317"/>
      <c r="E112" s="317"/>
      <c r="F112" s="317"/>
      <c r="G112" s="317"/>
      <c r="H112" s="317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7"/>
      <c r="V112" s="317"/>
      <c r="W112" s="317"/>
      <c r="X112" s="317"/>
      <c r="Y112" s="317"/>
      <c r="Z112" s="317"/>
      <c r="AA112" s="317"/>
      <c r="AB112" s="317"/>
      <c r="AC112" s="317"/>
      <c r="AD112" s="317"/>
      <c r="AE112" s="317"/>
      <c r="AF112" s="317"/>
      <c r="AG112" s="317"/>
      <c r="AH112" s="317"/>
      <c r="AI112" s="317"/>
      <c r="AJ112" s="317"/>
      <c r="AK112" s="317"/>
      <c r="AL112" s="317"/>
      <c r="AM112" s="317"/>
      <c r="AN112" s="317"/>
      <c r="AO112" s="317"/>
      <c r="AP112" s="317"/>
      <c r="AQ112" s="317"/>
      <c r="AR112" s="317"/>
      <c r="AS112" s="317"/>
      <c r="AT112" s="317"/>
      <c r="AU112" s="317"/>
      <c r="AV112" s="317"/>
      <c r="AW112" s="317"/>
      <c r="AX112" s="317"/>
      <c r="AY112" s="317"/>
      <c r="AZ112" s="317"/>
      <c r="BA112" s="317"/>
      <c r="BB112" s="317"/>
      <c r="BC112" s="317"/>
      <c r="BD112" s="317"/>
      <c r="BE112" s="317"/>
      <c r="BF112" s="317"/>
      <c r="BG112" s="317"/>
      <c r="BH112" s="317"/>
      <c r="BI112" s="317"/>
      <c r="BJ112" s="317"/>
      <c r="BK112" s="317"/>
      <c r="BL112" s="317"/>
      <c r="BM112" s="222"/>
      <c r="BN112" s="222"/>
      <c r="BO112" s="222"/>
      <c r="BP112" s="222"/>
      <c r="BQ112" s="222"/>
      <c r="BR112" s="222"/>
      <c r="BS112" s="222"/>
      <c r="BT112" s="222"/>
      <c r="BU112" s="222"/>
      <c r="BV112" s="222"/>
      <c r="BW112" s="222"/>
      <c r="BX112" s="222"/>
      <c r="BY112" s="222"/>
      <c r="BZ112" s="222"/>
      <c r="CA112" s="222"/>
      <c r="CB112" s="222"/>
      <c r="CC112" s="222"/>
      <c r="CD112" s="222"/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2"/>
      <c r="CQ112" s="222"/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2"/>
      <c r="DD112" s="222"/>
      <c r="DE112" s="222"/>
      <c r="DF112" s="222"/>
      <c r="DG112" s="222"/>
      <c r="DH112" s="222"/>
      <c r="DI112" s="222"/>
      <c r="DJ112" s="222"/>
      <c r="DK112" s="222"/>
      <c r="DL112" s="222"/>
      <c r="DM112" s="222"/>
      <c r="DN112" s="222"/>
      <c r="DO112" s="222"/>
      <c r="DP112" s="222"/>
      <c r="DQ112" s="222"/>
      <c r="DR112" s="222"/>
      <c r="DS112" s="222"/>
      <c r="DT112" s="222"/>
      <c r="DU112" s="222"/>
      <c r="DV112" s="222"/>
      <c r="DW112" s="222"/>
      <c r="DX112" s="222"/>
      <c r="DY112" s="222"/>
      <c r="DZ112" s="222"/>
      <c r="EA112" s="222"/>
      <c r="EB112" s="222"/>
      <c r="EC112" s="222"/>
      <c r="ED112" s="222"/>
      <c r="EE112" s="222"/>
      <c r="EF112" s="222"/>
      <c r="EG112" s="222"/>
      <c r="EH112" s="222"/>
    </row>
    <row r="113" spans="1:138">
      <c r="A113" s="222"/>
      <c r="B113" s="318"/>
      <c r="C113" s="310" t="s">
        <v>294</v>
      </c>
      <c r="D113" s="311"/>
      <c r="E113" s="312">
        <f t="shared" ref="E113:BM113" si="42">-(E5+E6+E91+E92)</f>
        <v>0</v>
      </c>
      <c r="F113" s="312">
        <f t="shared" si="42"/>
        <v>0</v>
      </c>
      <c r="G113" s="312">
        <f t="shared" si="42"/>
        <v>0</v>
      </c>
      <c r="H113" s="312">
        <f t="shared" si="42"/>
        <v>-16365002</v>
      </c>
      <c r="I113" s="312">
        <f t="shared" si="42"/>
        <v>0</v>
      </c>
      <c r="J113" s="312">
        <f t="shared" si="42"/>
        <v>0</v>
      </c>
      <c r="K113" s="312">
        <f t="shared" si="42"/>
        <v>-885000</v>
      </c>
      <c r="L113" s="312">
        <f t="shared" si="42"/>
        <v>-1940000</v>
      </c>
      <c r="M113" s="312">
        <f t="shared" si="42"/>
        <v>-4260000</v>
      </c>
      <c r="N113" s="312">
        <f t="shared" si="42"/>
        <v>0</v>
      </c>
      <c r="O113" s="312">
        <f t="shared" si="42"/>
        <v>-320000</v>
      </c>
      <c r="P113" s="312">
        <f t="shared" si="42"/>
        <v>-2000000</v>
      </c>
      <c r="Q113" s="312">
        <f t="shared" si="42"/>
        <v>-4550000</v>
      </c>
      <c r="R113" s="312">
        <f t="shared" si="42"/>
        <v>-1000000</v>
      </c>
      <c r="S113" s="312">
        <f t="shared" si="42"/>
        <v>-5550000</v>
      </c>
      <c r="T113" s="312">
        <f t="shared" si="42"/>
        <v>-4900000</v>
      </c>
      <c r="U113" s="312">
        <f t="shared" si="42"/>
        <v>-1100000</v>
      </c>
      <c r="V113" s="312">
        <f t="shared" si="42"/>
        <v>0</v>
      </c>
      <c r="W113" s="312">
        <f t="shared" si="42"/>
        <v>0</v>
      </c>
      <c r="X113" s="312">
        <f t="shared" si="42"/>
        <v>0</v>
      </c>
      <c r="Y113" s="312">
        <f t="shared" si="42"/>
        <v>0</v>
      </c>
      <c r="Z113" s="312">
        <f t="shared" si="42"/>
        <v>0</v>
      </c>
      <c r="AA113" s="312">
        <f t="shared" si="42"/>
        <v>42870002</v>
      </c>
      <c r="AB113" s="312">
        <f t="shared" si="42"/>
        <v>0</v>
      </c>
      <c r="AC113" s="312">
        <f t="shared" si="42"/>
        <v>0</v>
      </c>
      <c r="AD113" s="312">
        <f t="shared" si="42"/>
        <v>0</v>
      </c>
      <c r="AE113" s="312">
        <f t="shared" si="42"/>
        <v>0</v>
      </c>
      <c r="AF113" s="312">
        <f t="shared" si="42"/>
        <v>0</v>
      </c>
      <c r="AG113" s="312">
        <f t="shared" si="42"/>
        <v>0</v>
      </c>
      <c r="AH113" s="312">
        <f t="shared" si="42"/>
        <v>0</v>
      </c>
      <c r="AI113" s="312">
        <f t="shared" si="42"/>
        <v>0</v>
      </c>
      <c r="AJ113" s="312">
        <f t="shared" si="42"/>
        <v>0</v>
      </c>
      <c r="AK113" s="312">
        <f t="shared" si="42"/>
        <v>0</v>
      </c>
      <c r="AL113" s="312">
        <f t="shared" si="42"/>
        <v>0</v>
      </c>
      <c r="AM113" s="312">
        <f t="shared" si="42"/>
        <v>0</v>
      </c>
      <c r="AN113" s="312">
        <f t="shared" si="42"/>
        <v>0</v>
      </c>
      <c r="AO113" s="312">
        <f t="shared" si="42"/>
        <v>0</v>
      </c>
      <c r="AP113" s="312">
        <f t="shared" si="42"/>
        <v>0</v>
      </c>
      <c r="AQ113" s="312">
        <f t="shared" si="42"/>
        <v>0</v>
      </c>
      <c r="AR113" s="312">
        <f t="shared" si="42"/>
        <v>0</v>
      </c>
      <c r="AS113" s="312">
        <f t="shared" si="42"/>
        <v>0</v>
      </c>
      <c r="AT113" s="312">
        <f t="shared" si="42"/>
        <v>0</v>
      </c>
      <c r="AU113" s="312">
        <f t="shared" si="42"/>
        <v>0</v>
      </c>
      <c r="AV113" s="312">
        <f t="shared" si="42"/>
        <v>0</v>
      </c>
      <c r="AW113" s="312">
        <f t="shared" si="42"/>
        <v>0</v>
      </c>
      <c r="AX113" s="312">
        <f t="shared" si="42"/>
        <v>0</v>
      </c>
      <c r="AY113" s="312">
        <f t="shared" si="42"/>
        <v>0</v>
      </c>
      <c r="AZ113" s="312">
        <f t="shared" si="42"/>
        <v>0</v>
      </c>
      <c r="BA113" s="312">
        <f t="shared" si="42"/>
        <v>0</v>
      </c>
      <c r="BB113" s="312">
        <f t="shared" si="42"/>
        <v>0</v>
      </c>
      <c r="BC113" s="312">
        <f t="shared" si="42"/>
        <v>0</v>
      </c>
      <c r="BD113" s="312">
        <f t="shared" si="42"/>
        <v>0</v>
      </c>
      <c r="BE113" s="312">
        <f t="shared" si="42"/>
        <v>0</v>
      </c>
      <c r="BF113" s="312">
        <f t="shared" si="42"/>
        <v>0</v>
      </c>
      <c r="BG113" s="312">
        <f t="shared" si="42"/>
        <v>0</v>
      </c>
      <c r="BH113" s="312">
        <f t="shared" si="42"/>
        <v>0</v>
      </c>
      <c r="BI113" s="312">
        <f t="shared" si="42"/>
        <v>0</v>
      </c>
      <c r="BJ113" s="312">
        <f t="shared" si="42"/>
        <v>0</v>
      </c>
      <c r="BK113" s="312">
        <f t="shared" si="42"/>
        <v>0</v>
      </c>
      <c r="BL113" s="312">
        <f t="shared" si="42"/>
        <v>0</v>
      </c>
      <c r="BM113" s="312">
        <f t="shared" si="42"/>
        <v>0</v>
      </c>
      <c r="BN113" s="312">
        <f t="shared" ref="BN113:BX113" si="43">-(BN5+BN91)</f>
        <v>0</v>
      </c>
      <c r="BO113" s="312">
        <f t="shared" si="43"/>
        <v>0</v>
      </c>
      <c r="BP113" s="312">
        <f t="shared" si="43"/>
        <v>0</v>
      </c>
      <c r="BQ113" s="312">
        <f t="shared" si="43"/>
        <v>0</v>
      </c>
      <c r="BR113" s="312">
        <f t="shared" si="43"/>
        <v>0</v>
      </c>
      <c r="BS113" s="312">
        <f t="shared" si="43"/>
        <v>0</v>
      </c>
      <c r="BT113" s="312">
        <f t="shared" si="43"/>
        <v>0</v>
      </c>
      <c r="BU113" s="312">
        <f t="shared" si="43"/>
        <v>0</v>
      </c>
      <c r="BV113" s="312">
        <f t="shared" si="43"/>
        <v>0</v>
      </c>
      <c r="BW113" s="312">
        <f t="shared" si="43"/>
        <v>0</v>
      </c>
      <c r="BX113" s="312">
        <f t="shared" si="43"/>
        <v>0</v>
      </c>
      <c r="BY113" s="222"/>
      <c r="BZ113" s="222"/>
      <c r="CA113" s="222"/>
      <c r="CB113" s="222"/>
      <c r="CC113" s="222"/>
      <c r="CD113" s="222"/>
      <c r="CE113" s="222"/>
      <c r="CF113" s="222"/>
      <c r="CG113" s="222"/>
      <c r="CH113" s="222"/>
      <c r="CI113" s="222"/>
      <c r="CJ113" s="222"/>
      <c r="CK113" s="222"/>
      <c r="CL113" s="222"/>
      <c r="CM113" s="222"/>
      <c r="CN113" s="222"/>
      <c r="CO113" s="222"/>
      <c r="CP113" s="222"/>
      <c r="CQ113" s="222"/>
      <c r="CR113" s="222"/>
      <c r="CS113" s="222"/>
      <c r="CT113" s="222"/>
      <c r="CU113" s="222"/>
      <c r="CV113" s="222"/>
      <c r="CW113" s="222"/>
      <c r="CX113" s="222"/>
      <c r="CY113" s="222"/>
      <c r="CZ113" s="222"/>
      <c r="DA113" s="222"/>
      <c r="DB113" s="222"/>
      <c r="DC113" s="222"/>
      <c r="DD113" s="222"/>
      <c r="DE113" s="222"/>
      <c r="DF113" s="222"/>
      <c r="DG113" s="222"/>
      <c r="DH113" s="222"/>
      <c r="DI113" s="222"/>
      <c r="DJ113" s="222"/>
      <c r="DK113" s="222"/>
      <c r="DL113" s="222"/>
      <c r="DM113" s="222"/>
      <c r="DN113" s="222"/>
      <c r="DO113" s="222"/>
      <c r="DP113" s="222"/>
      <c r="DQ113" s="222"/>
      <c r="DR113" s="222"/>
      <c r="DS113" s="222"/>
      <c r="DT113" s="222"/>
      <c r="DU113" s="222"/>
      <c r="DV113" s="222"/>
      <c r="DW113" s="222"/>
      <c r="DX113" s="222"/>
      <c r="DY113" s="222"/>
      <c r="DZ113" s="222"/>
      <c r="EA113" s="222"/>
      <c r="EB113" s="222"/>
      <c r="EC113" s="222"/>
      <c r="ED113" s="222"/>
      <c r="EE113" s="222"/>
      <c r="EF113" s="222"/>
      <c r="EG113" s="222"/>
      <c r="EH113" s="222"/>
    </row>
    <row r="114" spans="1:138">
      <c r="A114" s="222"/>
      <c r="B114" s="318"/>
      <c r="C114" s="310" t="s">
        <v>295</v>
      </c>
      <c r="D114" s="319"/>
      <c r="E114" s="311"/>
      <c r="F114" s="311"/>
      <c r="G114" s="311"/>
      <c r="H114" s="311">
        <f>-8333333</f>
        <v>-8333333</v>
      </c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222"/>
      <c r="BZ114" s="222"/>
      <c r="CA114" s="222"/>
      <c r="CB114" s="222"/>
      <c r="CC114" s="222"/>
      <c r="CD114" s="222"/>
      <c r="CE114" s="222"/>
      <c r="CF114" s="222"/>
      <c r="CG114" s="222"/>
      <c r="CH114" s="222"/>
      <c r="CI114" s="222"/>
      <c r="CJ114" s="222"/>
      <c r="CK114" s="222"/>
      <c r="CL114" s="222"/>
      <c r="CM114" s="222"/>
      <c r="CN114" s="222"/>
      <c r="CO114" s="222"/>
      <c r="CP114" s="222"/>
      <c r="CQ114" s="222"/>
      <c r="CR114" s="222"/>
      <c r="CS114" s="222"/>
      <c r="CT114" s="222"/>
      <c r="CU114" s="222"/>
      <c r="CV114" s="222"/>
      <c r="CW114" s="222"/>
      <c r="CX114" s="222"/>
      <c r="CY114" s="222"/>
      <c r="CZ114" s="222"/>
      <c r="DA114" s="222"/>
      <c r="DB114" s="222"/>
      <c r="DC114" s="222"/>
      <c r="DD114" s="222"/>
      <c r="DE114" s="222"/>
      <c r="DF114" s="222"/>
      <c r="DG114" s="222"/>
      <c r="DH114" s="222"/>
      <c r="DI114" s="222"/>
      <c r="DJ114" s="222"/>
      <c r="DK114" s="222"/>
      <c r="DL114" s="222"/>
      <c r="DM114" s="222"/>
      <c r="DN114" s="222"/>
      <c r="DO114" s="222"/>
      <c r="DP114" s="222"/>
      <c r="DQ114" s="222"/>
      <c r="DR114" s="222"/>
      <c r="DS114" s="222"/>
      <c r="DT114" s="222"/>
      <c r="DU114" s="222"/>
      <c r="DV114" s="222"/>
      <c r="DW114" s="222"/>
      <c r="DX114" s="222"/>
      <c r="DY114" s="222"/>
      <c r="DZ114" s="222"/>
      <c r="EA114" s="222"/>
      <c r="EB114" s="222"/>
      <c r="EC114" s="222"/>
      <c r="ED114" s="222"/>
      <c r="EE114" s="222"/>
      <c r="EF114" s="222"/>
      <c r="EG114" s="222"/>
      <c r="EH114" s="222"/>
    </row>
    <row r="115" spans="1:138">
      <c r="A115" s="222"/>
      <c r="B115" s="318"/>
      <c r="C115" s="310" t="s">
        <v>296</v>
      </c>
      <c r="D115" s="319"/>
      <c r="E115" s="311">
        <f t="shared" ref="E115:S115" si="44">-E56</f>
        <v>0</v>
      </c>
      <c r="F115" s="311">
        <f t="shared" si="44"/>
        <v>0</v>
      </c>
      <c r="G115" s="311">
        <f t="shared" si="44"/>
        <v>0</v>
      </c>
      <c r="H115" s="311">
        <f t="shared" si="44"/>
        <v>0</v>
      </c>
      <c r="I115" s="311">
        <f t="shared" si="44"/>
        <v>0</v>
      </c>
      <c r="J115" s="311">
        <f t="shared" si="44"/>
        <v>0</v>
      </c>
      <c r="K115" s="311">
        <f t="shared" si="44"/>
        <v>0</v>
      </c>
      <c r="L115" s="311">
        <f t="shared" si="44"/>
        <v>0</v>
      </c>
      <c r="M115" s="311">
        <f t="shared" si="44"/>
        <v>0</v>
      </c>
      <c r="N115" s="311">
        <f t="shared" si="44"/>
        <v>0</v>
      </c>
      <c r="O115" s="311">
        <f t="shared" si="44"/>
        <v>0</v>
      </c>
      <c r="P115" s="311">
        <f t="shared" si="44"/>
        <v>0</v>
      </c>
      <c r="Q115" s="311">
        <f t="shared" si="44"/>
        <v>0</v>
      </c>
      <c r="R115" s="311">
        <f t="shared" si="44"/>
        <v>0</v>
      </c>
      <c r="S115" s="311">
        <f t="shared" si="44"/>
        <v>0</v>
      </c>
      <c r="T115" s="311">
        <f>-T56-T57</f>
        <v>0</v>
      </c>
      <c r="U115" s="311">
        <f t="shared" ref="U115:BX115" si="45">-U56</f>
        <v>0</v>
      </c>
      <c r="V115" s="311">
        <f t="shared" si="45"/>
        <v>0</v>
      </c>
      <c r="W115" s="311">
        <f t="shared" si="45"/>
        <v>0</v>
      </c>
      <c r="X115" s="311">
        <f t="shared" si="45"/>
        <v>0</v>
      </c>
      <c r="Y115" s="311">
        <f t="shared" si="45"/>
        <v>0</v>
      </c>
      <c r="Z115" s="311">
        <f t="shared" si="45"/>
        <v>0</v>
      </c>
      <c r="AA115" s="311">
        <f t="shared" si="45"/>
        <v>2535912.5</v>
      </c>
      <c r="AB115" s="311">
        <f t="shared" si="45"/>
        <v>0</v>
      </c>
      <c r="AC115" s="311">
        <f t="shared" si="45"/>
        <v>0</v>
      </c>
      <c r="AD115" s="311">
        <f t="shared" si="45"/>
        <v>0</v>
      </c>
      <c r="AE115" s="311">
        <f t="shared" si="45"/>
        <v>0</v>
      </c>
      <c r="AF115" s="311">
        <f t="shared" si="45"/>
        <v>0</v>
      </c>
      <c r="AG115" s="311">
        <f t="shared" si="45"/>
        <v>0</v>
      </c>
      <c r="AH115" s="311">
        <f t="shared" si="45"/>
        <v>0</v>
      </c>
      <c r="AI115" s="311">
        <f t="shared" si="45"/>
        <v>0</v>
      </c>
      <c r="AJ115" s="311">
        <f t="shared" si="45"/>
        <v>0</v>
      </c>
      <c r="AK115" s="311">
        <f t="shared" si="45"/>
        <v>0</v>
      </c>
      <c r="AL115" s="311">
        <f t="shared" si="45"/>
        <v>0</v>
      </c>
      <c r="AM115" s="311">
        <f t="shared" si="45"/>
        <v>0</v>
      </c>
      <c r="AN115" s="311">
        <f t="shared" si="45"/>
        <v>0</v>
      </c>
      <c r="AO115" s="311">
        <f t="shared" si="45"/>
        <v>0</v>
      </c>
      <c r="AP115" s="311">
        <f t="shared" si="45"/>
        <v>0</v>
      </c>
      <c r="AQ115" s="311">
        <f t="shared" si="45"/>
        <v>0</v>
      </c>
      <c r="AR115" s="311">
        <f t="shared" si="45"/>
        <v>0</v>
      </c>
      <c r="AS115" s="311">
        <f t="shared" si="45"/>
        <v>0</v>
      </c>
      <c r="AT115" s="311">
        <f t="shared" si="45"/>
        <v>0</v>
      </c>
      <c r="AU115" s="311">
        <f t="shared" si="45"/>
        <v>0</v>
      </c>
      <c r="AV115" s="311">
        <f t="shared" si="45"/>
        <v>0</v>
      </c>
      <c r="AW115" s="311">
        <f t="shared" si="45"/>
        <v>0</v>
      </c>
      <c r="AX115" s="311">
        <f t="shared" si="45"/>
        <v>0</v>
      </c>
      <c r="AY115" s="311">
        <f t="shared" si="45"/>
        <v>0</v>
      </c>
      <c r="AZ115" s="311">
        <f t="shared" si="45"/>
        <v>0</v>
      </c>
      <c r="BA115" s="311">
        <f t="shared" si="45"/>
        <v>0</v>
      </c>
      <c r="BB115" s="311">
        <f t="shared" si="45"/>
        <v>0</v>
      </c>
      <c r="BC115" s="311">
        <f t="shared" si="45"/>
        <v>0</v>
      </c>
      <c r="BD115" s="311">
        <f t="shared" si="45"/>
        <v>0</v>
      </c>
      <c r="BE115" s="311">
        <f t="shared" si="45"/>
        <v>0</v>
      </c>
      <c r="BF115" s="311">
        <f t="shared" si="45"/>
        <v>0</v>
      </c>
      <c r="BG115" s="311">
        <f t="shared" si="45"/>
        <v>0</v>
      </c>
      <c r="BH115" s="311">
        <f t="shared" si="45"/>
        <v>0</v>
      </c>
      <c r="BI115" s="311">
        <f t="shared" si="45"/>
        <v>0</v>
      </c>
      <c r="BJ115" s="311">
        <f t="shared" si="45"/>
        <v>0</v>
      </c>
      <c r="BK115" s="311">
        <f t="shared" si="45"/>
        <v>0</v>
      </c>
      <c r="BL115" s="311">
        <f t="shared" si="45"/>
        <v>0</v>
      </c>
      <c r="BM115" s="311">
        <f t="shared" si="45"/>
        <v>0</v>
      </c>
      <c r="BN115" s="311">
        <f t="shared" si="45"/>
        <v>0</v>
      </c>
      <c r="BO115" s="311">
        <f t="shared" si="45"/>
        <v>0</v>
      </c>
      <c r="BP115" s="311">
        <f t="shared" si="45"/>
        <v>0</v>
      </c>
      <c r="BQ115" s="311">
        <f t="shared" si="45"/>
        <v>0</v>
      </c>
      <c r="BR115" s="311">
        <f t="shared" si="45"/>
        <v>0</v>
      </c>
      <c r="BS115" s="311">
        <f t="shared" si="45"/>
        <v>0</v>
      </c>
      <c r="BT115" s="311">
        <f t="shared" si="45"/>
        <v>0</v>
      </c>
      <c r="BU115" s="311">
        <f t="shared" si="45"/>
        <v>0</v>
      </c>
      <c r="BV115" s="311">
        <f t="shared" si="45"/>
        <v>0</v>
      </c>
      <c r="BW115" s="311">
        <f t="shared" si="45"/>
        <v>0</v>
      </c>
      <c r="BX115" s="311">
        <f t="shared" si="45"/>
        <v>0</v>
      </c>
      <c r="BY115" s="222"/>
      <c r="BZ115" s="238"/>
      <c r="CA115" s="222"/>
      <c r="CB115" s="222"/>
      <c r="CC115" s="222"/>
      <c r="CD115" s="222"/>
      <c r="CE115" s="222"/>
      <c r="CF115" s="222"/>
      <c r="CG115" s="222"/>
      <c r="CH115" s="222"/>
      <c r="CI115" s="222"/>
      <c r="CJ115" s="222"/>
      <c r="CK115" s="222"/>
      <c r="CL115" s="222"/>
      <c r="CM115" s="222"/>
      <c r="CN115" s="222"/>
      <c r="CO115" s="222"/>
      <c r="CP115" s="222"/>
      <c r="CQ115" s="222"/>
      <c r="CR115" s="222"/>
      <c r="CS115" s="222"/>
      <c r="CT115" s="222"/>
      <c r="CU115" s="222"/>
      <c r="CV115" s="222"/>
      <c r="CW115" s="222"/>
      <c r="CX115" s="222"/>
      <c r="CY115" s="222"/>
      <c r="CZ115" s="222"/>
      <c r="DA115" s="222"/>
      <c r="DB115" s="222"/>
      <c r="DC115" s="222"/>
      <c r="DD115" s="222"/>
      <c r="DE115" s="222"/>
      <c r="DF115" s="222"/>
      <c r="DG115" s="222"/>
      <c r="DH115" s="222"/>
      <c r="DI115" s="222"/>
      <c r="DJ115" s="222"/>
      <c r="DK115" s="222"/>
      <c r="DL115" s="222"/>
      <c r="DM115" s="222"/>
      <c r="DN115" s="222"/>
      <c r="DO115" s="222"/>
      <c r="DP115" s="222"/>
      <c r="DQ115" s="222"/>
      <c r="DR115" s="222"/>
      <c r="DS115" s="222"/>
      <c r="DT115" s="222"/>
      <c r="DU115" s="222"/>
      <c r="DV115" s="222"/>
      <c r="DW115" s="222"/>
      <c r="DX115" s="222"/>
      <c r="DY115" s="222"/>
      <c r="DZ115" s="222"/>
      <c r="EA115" s="222"/>
      <c r="EB115" s="222"/>
      <c r="EC115" s="222"/>
      <c r="ED115" s="222"/>
      <c r="EE115" s="222"/>
      <c r="EF115" s="222"/>
      <c r="EG115" s="222"/>
      <c r="EH115" s="222"/>
    </row>
    <row r="116" spans="1:138">
      <c r="A116" s="222"/>
      <c r="B116" s="318"/>
      <c r="C116" s="310" t="s">
        <v>297</v>
      </c>
      <c r="D116" s="319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/>
      <c r="AB116" s="311"/>
      <c r="AC116" s="311"/>
      <c r="AD116" s="311"/>
      <c r="AE116" s="311"/>
      <c r="AF116" s="311"/>
      <c r="AG116" s="311"/>
      <c r="AH116" s="311"/>
      <c r="AI116" s="311"/>
      <c r="AJ116" s="311"/>
      <c r="AK116" s="311"/>
      <c r="AL116" s="311"/>
      <c r="AM116" s="311"/>
      <c r="AN116" s="311"/>
      <c r="AO116" s="311"/>
      <c r="AP116" s="311"/>
      <c r="AQ116" s="311"/>
      <c r="AR116" s="311"/>
      <c r="AS116" s="311"/>
      <c r="AT116" s="311"/>
      <c r="AU116" s="311"/>
      <c r="AV116" s="311"/>
      <c r="AW116" s="311"/>
      <c r="AX116" s="311"/>
      <c r="AY116" s="311"/>
      <c r="AZ116" s="311"/>
      <c r="BA116" s="311"/>
      <c r="BB116" s="311"/>
      <c r="BC116" s="311"/>
      <c r="BD116" s="311"/>
      <c r="BE116" s="311"/>
      <c r="BF116" s="311"/>
      <c r="BG116" s="311"/>
      <c r="BH116" s="311"/>
      <c r="BI116" s="311"/>
      <c r="BJ116" s="311"/>
      <c r="BK116" s="311"/>
      <c r="BL116" s="311"/>
      <c r="BM116" s="311"/>
      <c r="BN116" s="311"/>
      <c r="BO116" s="311"/>
      <c r="BP116" s="311"/>
      <c r="BQ116" s="311"/>
      <c r="BR116" s="311"/>
      <c r="BS116" s="311"/>
      <c r="BT116" s="311"/>
      <c r="BU116" s="311"/>
      <c r="BV116" s="311"/>
      <c r="BW116" s="311"/>
      <c r="BX116" s="311">
        <f>IF(D106&gt;0.25,(BX101-BX109)*D118,BX101*D118)</f>
        <v>29393850.174249522</v>
      </c>
      <c r="BY116" s="222"/>
      <c r="BZ116" s="222"/>
      <c r="CA116" s="222"/>
      <c r="CB116" s="222"/>
      <c r="CC116" s="222"/>
      <c r="CD116" s="222"/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2"/>
      <c r="CQ116" s="222"/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2"/>
      <c r="DD116" s="222"/>
      <c r="DE116" s="222"/>
      <c r="DF116" s="222"/>
      <c r="DG116" s="222"/>
      <c r="DH116" s="222"/>
      <c r="DI116" s="222"/>
      <c r="DJ116" s="222"/>
      <c r="DK116" s="222"/>
      <c r="DL116" s="222"/>
      <c r="DM116" s="222"/>
      <c r="DN116" s="222"/>
      <c r="DO116" s="222"/>
      <c r="DP116" s="222"/>
      <c r="DQ116" s="222"/>
      <c r="DR116" s="222"/>
      <c r="DS116" s="222"/>
      <c r="DT116" s="222"/>
      <c r="DU116" s="222"/>
      <c r="DV116" s="222"/>
      <c r="DW116" s="222"/>
      <c r="DX116" s="222"/>
      <c r="DY116" s="222"/>
      <c r="DZ116" s="222"/>
      <c r="EA116" s="222"/>
      <c r="EB116" s="222"/>
      <c r="EC116" s="222"/>
      <c r="ED116" s="222"/>
      <c r="EE116" s="222"/>
      <c r="EF116" s="222"/>
      <c r="EG116" s="222"/>
      <c r="EH116" s="222"/>
    </row>
    <row r="117" spans="1:138">
      <c r="A117" s="222"/>
      <c r="B117" s="318"/>
      <c r="C117" s="310" t="s">
        <v>293</v>
      </c>
      <c r="D117" s="319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11"/>
      <c r="V117" s="311"/>
      <c r="W117" s="311"/>
      <c r="X117" s="311"/>
      <c r="Y117" s="311"/>
      <c r="Z117" s="311"/>
      <c r="AA117" s="311"/>
      <c r="AB117" s="311"/>
      <c r="AC117" s="311"/>
      <c r="AD117" s="311"/>
      <c r="AE117" s="311"/>
      <c r="AF117" s="311"/>
      <c r="AG117" s="311"/>
      <c r="AH117" s="311"/>
      <c r="AI117" s="311"/>
      <c r="AJ117" s="311"/>
      <c r="AK117" s="311"/>
      <c r="AL117" s="311"/>
      <c r="AM117" s="311"/>
      <c r="AN117" s="311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1"/>
      <c r="AZ117" s="311"/>
      <c r="BA117" s="311"/>
      <c r="BB117" s="311"/>
      <c r="BC117" s="311"/>
      <c r="BD117" s="311"/>
      <c r="BE117" s="311"/>
      <c r="BF117" s="311"/>
      <c r="BG117" s="311"/>
      <c r="BH117" s="311"/>
      <c r="BI117" s="311"/>
      <c r="BJ117" s="311"/>
      <c r="BK117" s="311"/>
      <c r="BL117" s="311"/>
      <c r="BM117" s="311"/>
      <c r="BN117" s="311"/>
      <c r="BO117" s="311"/>
      <c r="BP117" s="311"/>
      <c r="BQ117" s="311"/>
      <c r="BR117" s="311"/>
      <c r="BS117" s="311"/>
      <c r="BT117" s="311"/>
      <c r="BU117" s="311"/>
      <c r="BV117" s="311"/>
      <c r="BW117" s="311"/>
      <c r="BX117" s="311">
        <f>IF(D106&gt;0.25,BX109,0)</f>
        <v>0</v>
      </c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</row>
    <row r="118" spans="1:138">
      <c r="A118" s="222"/>
      <c r="B118" s="318"/>
      <c r="C118" s="313" t="s">
        <v>298</v>
      </c>
      <c r="D118" s="319">
        <v>1</v>
      </c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>
        <f>T101</f>
        <v>6009391.0204004142</v>
      </c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320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2"/>
      <c r="CQ118" s="222"/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2"/>
      <c r="DD118" s="222"/>
      <c r="DE118" s="222"/>
      <c r="DF118" s="222"/>
      <c r="DG118" s="222"/>
      <c r="DH118" s="222"/>
      <c r="DI118" s="222"/>
      <c r="DJ118" s="222"/>
      <c r="DK118" s="222"/>
      <c r="DL118" s="222"/>
      <c r="DM118" s="222"/>
      <c r="DN118" s="222"/>
      <c r="DO118" s="222"/>
      <c r="DP118" s="222"/>
      <c r="DQ118" s="222"/>
      <c r="DR118" s="222"/>
      <c r="DS118" s="222"/>
      <c r="DT118" s="222"/>
      <c r="DU118" s="222"/>
      <c r="DV118" s="222"/>
      <c r="DW118" s="222"/>
      <c r="DX118" s="222"/>
      <c r="DY118" s="222"/>
      <c r="DZ118" s="222"/>
      <c r="EA118" s="222"/>
      <c r="EB118" s="222"/>
      <c r="EC118" s="222"/>
      <c r="ED118" s="222"/>
      <c r="EE118" s="222"/>
      <c r="EF118" s="222"/>
      <c r="EG118" s="222"/>
      <c r="EH118" s="222"/>
    </row>
    <row r="119" spans="1:138">
      <c r="A119" s="222"/>
      <c r="B119" s="318"/>
      <c r="C119" s="310" t="s">
        <v>299</v>
      </c>
      <c r="D119" s="314"/>
      <c r="E119" s="321">
        <f t="shared" ref="E119:BW119" si="46">E113+E114+E115+E116+E118</f>
        <v>0</v>
      </c>
      <c r="F119" s="321">
        <f t="shared" si="46"/>
        <v>0</v>
      </c>
      <c r="G119" s="321">
        <f t="shared" si="46"/>
        <v>0</v>
      </c>
      <c r="H119" s="321">
        <f t="shared" si="46"/>
        <v>-24698335</v>
      </c>
      <c r="I119" s="321">
        <f t="shared" si="46"/>
        <v>0</v>
      </c>
      <c r="J119" s="321">
        <f t="shared" si="46"/>
        <v>0</v>
      </c>
      <c r="K119" s="321">
        <f t="shared" si="46"/>
        <v>-885000</v>
      </c>
      <c r="L119" s="321">
        <f t="shared" si="46"/>
        <v>-1940000</v>
      </c>
      <c r="M119" s="321">
        <f t="shared" si="46"/>
        <v>-4260000</v>
      </c>
      <c r="N119" s="321">
        <f t="shared" si="46"/>
        <v>0</v>
      </c>
      <c r="O119" s="321">
        <f t="shared" si="46"/>
        <v>-320000</v>
      </c>
      <c r="P119" s="321">
        <f t="shared" si="46"/>
        <v>-2000000</v>
      </c>
      <c r="Q119" s="321">
        <f t="shared" si="46"/>
        <v>-4550000</v>
      </c>
      <c r="R119" s="321">
        <f t="shared" si="46"/>
        <v>-1000000</v>
      </c>
      <c r="S119" s="321">
        <f t="shared" si="46"/>
        <v>-5550000</v>
      </c>
      <c r="T119" s="321">
        <f t="shared" si="46"/>
        <v>1109391.0204004142</v>
      </c>
      <c r="U119" s="321">
        <f t="shared" si="46"/>
        <v>-1100000</v>
      </c>
      <c r="V119" s="321">
        <f t="shared" si="46"/>
        <v>0</v>
      </c>
      <c r="W119" s="321">
        <f t="shared" si="46"/>
        <v>0</v>
      </c>
      <c r="X119" s="321">
        <f t="shared" si="46"/>
        <v>0</v>
      </c>
      <c r="Y119" s="321">
        <f t="shared" si="46"/>
        <v>0</v>
      </c>
      <c r="Z119" s="321">
        <f t="shared" si="46"/>
        <v>0</v>
      </c>
      <c r="AA119" s="321">
        <f t="shared" si="46"/>
        <v>45405914.5</v>
      </c>
      <c r="AB119" s="321">
        <f t="shared" si="46"/>
        <v>0</v>
      </c>
      <c r="AC119" s="321">
        <f t="shared" si="46"/>
        <v>0</v>
      </c>
      <c r="AD119" s="321">
        <f t="shared" si="46"/>
        <v>0</v>
      </c>
      <c r="AE119" s="321">
        <f t="shared" si="46"/>
        <v>0</v>
      </c>
      <c r="AF119" s="321">
        <f t="shared" si="46"/>
        <v>0</v>
      </c>
      <c r="AG119" s="321">
        <f t="shared" si="46"/>
        <v>0</v>
      </c>
      <c r="AH119" s="321">
        <f t="shared" si="46"/>
        <v>0</v>
      </c>
      <c r="AI119" s="321">
        <f t="shared" si="46"/>
        <v>0</v>
      </c>
      <c r="AJ119" s="321">
        <f t="shared" si="46"/>
        <v>0</v>
      </c>
      <c r="AK119" s="321">
        <f t="shared" si="46"/>
        <v>0</v>
      </c>
      <c r="AL119" s="321">
        <f t="shared" si="46"/>
        <v>0</v>
      </c>
      <c r="AM119" s="321">
        <f t="shared" si="46"/>
        <v>0</v>
      </c>
      <c r="AN119" s="321">
        <f t="shared" si="46"/>
        <v>0</v>
      </c>
      <c r="AO119" s="321">
        <f t="shared" si="46"/>
        <v>0</v>
      </c>
      <c r="AP119" s="321">
        <f t="shared" si="46"/>
        <v>0</v>
      </c>
      <c r="AQ119" s="321">
        <f t="shared" si="46"/>
        <v>0</v>
      </c>
      <c r="AR119" s="321">
        <f t="shared" si="46"/>
        <v>0</v>
      </c>
      <c r="AS119" s="321">
        <f t="shared" si="46"/>
        <v>0</v>
      </c>
      <c r="AT119" s="321">
        <f t="shared" si="46"/>
        <v>0</v>
      </c>
      <c r="AU119" s="321">
        <f t="shared" si="46"/>
        <v>0</v>
      </c>
      <c r="AV119" s="321">
        <f t="shared" si="46"/>
        <v>0</v>
      </c>
      <c r="AW119" s="321">
        <f t="shared" si="46"/>
        <v>0</v>
      </c>
      <c r="AX119" s="321">
        <f t="shared" si="46"/>
        <v>0</v>
      </c>
      <c r="AY119" s="321">
        <f t="shared" si="46"/>
        <v>0</v>
      </c>
      <c r="AZ119" s="321">
        <f t="shared" si="46"/>
        <v>0</v>
      </c>
      <c r="BA119" s="321">
        <f t="shared" si="46"/>
        <v>0</v>
      </c>
      <c r="BB119" s="321">
        <f t="shared" si="46"/>
        <v>0</v>
      </c>
      <c r="BC119" s="321">
        <f t="shared" si="46"/>
        <v>0</v>
      </c>
      <c r="BD119" s="321">
        <f t="shared" si="46"/>
        <v>0</v>
      </c>
      <c r="BE119" s="321">
        <f t="shared" si="46"/>
        <v>0</v>
      </c>
      <c r="BF119" s="321">
        <f t="shared" si="46"/>
        <v>0</v>
      </c>
      <c r="BG119" s="321">
        <f t="shared" si="46"/>
        <v>0</v>
      </c>
      <c r="BH119" s="321">
        <f t="shared" si="46"/>
        <v>0</v>
      </c>
      <c r="BI119" s="321">
        <f t="shared" si="46"/>
        <v>0</v>
      </c>
      <c r="BJ119" s="321">
        <f t="shared" si="46"/>
        <v>0</v>
      </c>
      <c r="BK119" s="321">
        <f t="shared" si="46"/>
        <v>0</v>
      </c>
      <c r="BL119" s="321">
        <f t="shared" si="46"/>
        <v>0</v>
      </c>
      <c r="BM119" s="321">
        <f t="shared" si="46"/>
        <v>0</v>
      </c>
      <c r="BN119" s="321">
        <f t="shared" si="46"/>
        <v>0</v>
      </c>
      <c r="BO119" s="321">
        <f t="shared" si="46"/>
        <v>0</v>
      </c>
      <c r="BP119" s="321">
        <f t="shared" si="46"/>
        <v>0</v>
      </c>
      <c r="BQ119" s="321">
        <f t="shared" si="46"/>
        <v>0</v>
      </c>
      <c r="BR119" s="321">
        <f t="shared" si="46"/>
        <v>0</v>
      </c>
      <c r="BS119" s="321">
        <f t="shared" si="46"/>
        <v>0</v>
      </c>
      <c r="BT119" s="321">
        <f t="shared" si="46"/>
        <v>0</v>
      </c>
      <c r="BU119" s="321">
        <f t="shared" si="46"/>
        <v>0</v>
      </c>
      <c r="BV119" s="321">
        <f t="shared" si="46"/>
        <v>0</v>
      </c>
      <c r="BW119" s="321">
        <f t="shared" si="46"/>
        <v>0</v>
      </c>
      <c r="BX119" s="321">
        <f>BX113+BX114+BX115+BX116+BX117+BX118</f>
        <v>29393850.174249522</v>
      </c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  <c r="CY119" s="222"/>
      <c r="CZ119" s="222"/>
      <c r="DA119" s="222"/>
      <c r="DB119" s="222"/>
      <c r="DC119" s="222"/>
      <c r="DD119" s="222"/>
      <c r="DE119" s="222"/>
      <c r="DF119" s="222"/>
      <c r="DG119" s="222"/>
      <c r="DH119" s="222"/>
      <c r="DI119" s="222"/>
      <c r="DJ119" s="222"/>
      <c r="DK119" s="222"/>
      <c r="DL119" s="222"/>
      <c r="DM119" s="222"/>
      <c r="DN119" s="222"/>
      <c r="DO119" s="222"/>
      <c r="DP119" s="222"/>
      <c r="DQ119" s="222"/>
      <c r="DR119" s="222"/>
      <c r="DS119" s="222"/>
      <c r="DT119" s="222"/>
      <c r="DU119" s="222"/>
      <c r="DV119" s="222"/>
      <c r="DW119" s="222"/>
      <c r="DX119" s="222"/>
      <c r="DY119" s="222"/>
      <c r="DZ119" s="222"/>
      <c r="EA119" s="222"/>
      <c r="EB119" s="222"/>
      <c r="EC119" s="222"/>
      <c r="ED119" s="222"/>
      <c r="EE119" s="222"/>
      <c r="EF119" s="222"/>
      <c r="EG119" s="222"/>
      <c r="EH119" s="222"/>
    </row>
    <row r="120" spans="1:138">
      <c r="A120" s="222"/>
      <c r="B120" s="318"/>
      <c r="C120" s="313" t="s">
        <v>292</v>
      </c>
      <c r="D120" s="322">
        <f>IRR(E119:BX119)*12</f>
        <v>0.20033317542763296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2"/>
      <c r="BN120" s="222"/>
      <c r="BO120" s="222"/>
      <c r="BP120" s="222"/>
      <c r="BQ120" s="222"/>
      <c r="BR120" s="222"/>
      <c r="BS120" s="222"/>
      <c r="BT120" s="222"/>
      <c r="BU120" s="222"/>
      <c r="BV120" s="222"/>
      <c r="BW120" s="222"/>
      <c r="BX120" s="222"/>
      <c r="BY120" s="222"/>
      <c r="BZ120" s="222"/>
      <c r="CA120" s="222"/>
      <c r="CB120" s="222"/>
      <c r="CC120" s="222"/>
      <c r="CD120" s="222"/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2"/>
      <c r="CQ120" s="222"/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2"/>
      <c r="DD120" s="222"/>
      <c r="DE120" s="222"/>
      <c r="DF120" s="222"/>
      <c r="DG120" s="222"/>
      <c r="DH120" s="222"/>
      <c r="DI120" s="222"/>
      <c r="DJ120" s="222"/>
      <c r="DK120" s="222"/>
      <c r="DL120" s="222"/>
      <c r="DM120" s="222"/>
      <c r="DN120" s="222"/>
      <c r="DO120" s="222"/>
      <c r="DP120" s="222"/>
      <c r="DQ120" s="222"/>
      <c r="DR120" s="222"/>
      <c r="DS120" s="222"/>
      <c r="DT120" s="222"/>
      <c r="DU120" s="222"/>
      <c r="DV120" s="222"/>
      <c r="DW120" s="222"/>
      <c r="DX120" s="222"/>
      <c r="DY120" s="222"/>
      <c r="DZ120" s="222"/>
      <c r="EA120" s="222"/>
      <c r="EB120" s="222"/>
      <c r="EC120" s="222"/>
      <c r="ED120" s="222"/>
      <c r="EE120" s="222"/>
      <c r="EF120" s="222"/>
      <c r="EG120" s="222"/>
      <c r="EH120" s="222"/>
    </row>
    <row r="121" spans="1:138">
      <c r="A121" s="222"/>
      <c r="B121" s="318"/>
      <c r="C121" s="323" t="s">
        <v>300</v>
      </c>
      <c r="D121" s="324">
        <f>SUM(BY5:BY6)</f>
        <v>42870002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>
        <f>-Q62-Q97</f>
        <v>300416.6666666668</v>
      </c>
      <c r="R121" s="222">
        <f>Q121*11</f>
        <v>3304583.3333333349</v>
      </c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2"/>
      <c r="BN121" s="222"/>
      <c r="BO121" s="222"/>
      <c r="BP121" s="222"/>
      <c r="BQ121" s="222"/>
      <c r="BR121" s="222"/>
      <c r="BS121" s="222"/>
      <c r="BT121" s="222"/>
      <c r="BU121" s="222"/>
      <c r="BV121" s="222"/>
      <c r="BW121" s="222"/>
      <c r="BX121" s="222"/>
      <c r="BY121" s="222"/>
      <c r="BZ121" s="222"/>
      <c r="CA121" s="222"/>
      <c r="CB121" s="222"/>
      <c r="CC121" s="222"/>
      <c r="CD121" s="222"/>
      <c r="CE121" s="222"/>
      <c r="CF121" s="222"/>
      <c r="CG121" s="222"/>
      <c r="CH121" s="222"/>
      <c r="CI121" s="222"/>
      <c r="CJ121" s="222"/>
      <c r="CK121" s="222"/>
      <c r="CL121" s="222"/>
      <c r="CM121" s="222"/>
      <c r="CN121" s="222"/>
      <c r="CO121" s="222"/>
      <c r="CP121" s="222"/>
      <c r="CQ121" s="222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222"/>
      <c r="DC121" s="222"/>
      <c r="DD121" s="222"/>
      <c r="DE121" s="222"/>
      <c r="DF121" s="222"/>
      <c r="DG121" s="222"/>
      <c r="DH121" s="222"/>
      <c r="DI121" s="222"/>
      <c r="DJ121" s="222"/>
      <c r="DK121" s="222"/>
      <c r="DL121" s="222"/>
      <c r="DM121" s="222"/>
      <c r="DN121" s="222"/>
      <c r="DO121" s="222"/>
      <c r="DP121" s="222"/>
      <c r="DQ121" s="222"/>
      <c r="DR121" s="222"/>
      <c r="DS121" s="222"/>
      <c r="DT121" s="222"/>
      <c r="DU121" s="222"/>
      <c r="DV121" s="222"/>
      <c r="DW121" s="222"/>
      <c r="DX121" s="222"/>
      <c r="DY121" s="222"/>
      <c r="DZ121" s="222"/>
      <c r="EA121" s="222"/>
      <c r="EB121" s="222"/>
      <c r="EC121" s="222"/>
      <c r="ED121" s="222"/>
      <c r="EE121" s="222"/>
      <c r="EF121" s="222"/>
      <c r="EG121" s="222"/>
      <c r="EH121" s="222"/>
    </row>
    <row r="122" spans="1:138">
      <c r="A122" s="222"/>
      <c r="B122" s="318"/>
      <c r="C122" s="323" t="s">
        <v>301</v>
      </c>
      <c r="D122" s="324">
        <f>-SUM(E114:BM114)</f>
        <v>8333333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30">
        <f>SUM(Rentroll!$M$2:$M$4)</f>
        <v>613130.50199999986</v>
      </c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2"/>
      <c r="BO122" s="222"/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2"/>
      <c r="CB122" s="222"/>
      <c r="CC122" s="222"/>
      <c r="CD122" s="222"/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2"/>
      <c r="CQ122" s="222"/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22"/>
      <c r="DO122" s="222"/>
      <c r="DP122" s="222"/>
      <c r="DQ122" s="222"/>
      <c r="DR122" s="222"/>
      <c r="DS122" s="222"/>
      <c r="DT122" s="222"/>
      <c r="DU122" s="222"/>
      <c r="DV122" s="222"/>
      <c r="DW122" s="325"/>
      <c r="DX122" s="325"/>
      <c r="DY122" s="325"/>
      <c r="DZ122" s="325"/>
      <c r="EA122" s="325"/>
      <c r="EB122" s="325"/>
      <c r="EC122" s="325"/>
      <c r="ED122" s="325"/>
      <c r="EE122" s="325"/>
      <c r="EF122" s="325"/>
      <c r="EG122" s="325"/>
      <c r="EH122" s="325"/>
    </row>
    <row r="123" spans="1:138">
      <c r="A123" s="222"/>
      <c r="B123" s="318"/>
      <c r="C123" s="313" t="s">
        <v>302</v>
      </c>
      <c r="D123" s="326">
        <f>D121+D122</f>
        <v>51203335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605" t="s">
        <v>331</v>
      </c>
      <c r="T123" s="588"/>
      <c r="U123" s="222"/>
      <c r="V123" s="222">
        <f>T113+5000000+3333333</f>
        <v>3433333</v>
      </c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2"/>
      <c r="BN123" s="222"/>
      <c r="BO123" s="222"/>
      <c r="BP123" s="222"/>
      <c r="BQ123" s="222"/>
      <c r="BR123" s="222"/>
      <c r="BS123" s="222"/>
      <c r="BT123" s="222"/>
      <c r="BU123" s="222"/>
      <c r="BV123" s="222"/>
      <c r="BW123" s="222"/>
      <c r="BX123" s="222"/>
      <c r="BY123" s="222"/>
      <c r="BZ123" s="222"/>
      <c r="CA123" s="222"/>
      <c r="CB123" s="222"/>
      <c r="CC123" s="222"/>
      <c r="CD123" s="222"/>
      <c r="CE123" s="222"/>
      <c r="CF123" s="222"/>
      <c r="CG123" s="222"/>
      <c r="CH123" s="222"/>
      <c r="CI123" s="222"/>
      <c r="CJ123" s="222"/>
      <c r="CK123" s="222"/>
      <c r="CL123" s="222"/>
      <c r="CM123" s="222"/>
      <c r="CN123" s="222"/>
      <c r="CO123" s="222"/>
      <c r="CP123" s="222"/>
      <c r="CQ123" s="222"/>
      <c r="CR123" s="222"/>
      <c r="CS123" s="222"/>
      <c r="CT123" s="222"/>
      <c r="CU123" s="222"/>
      <c r="CV123" s="222"/>
      <c r="CW123" s="222"/>
      <c r="CX123" s="222"/>
      <c r="CY123" s="222"/>
      <c r="CZ123" s="222"/>
      <c r="DA123" s="222"/>
      <c r="DB123" s="222"/>
      <c r="DC123" s="222"/>
      <c r="DD123" s="222"/>
      <c r="DE123" s="222"/>
      <c r="DF123" s="222"/>
      <c r="DG123" s="222"/>
      <c r="DH123" s="222"/>
      <c r="DI123" s="222"/>
      <c r="DJ123" s="222"/>
      <c r="DK123" s="222"/>
      <c r="DL123" s="222"/>
      <c r="DM123" s="222"/>
      <c r="DN123" s="222"/>
      <c r="DO123" s="222"/>
      <c r="DP123" s="222"/>
      <c r="DQ123" s="222"/>
      <c r="DR123" s="222"/>
      <c r="DS123" s="222"/>
      <c r="DT123" s="222"/>
      <c r="DU123" s="222"/>
      <c r="DV123" s="222"/>
      <c r="DW123" s="325"/>
      <c r="DX123" s="325"/>
      <c r="DY123" s="325"/>
      <c r="DZ123" s="325"/>
      <c r="EA123" s="325"/>
      <c r="EB123" s="325"/>
      <c r="EC123" s="325"/>
      <c r="ED123" s="325"/>
      <c r="EE123" s="325"/>
      <c r="EF123" s="325"/>
      <c r="EG123" s="325"/>
      <c r="EH123" s="325"/>
    </row>
    <row r="124" spans="1:138">
      <c r="A124" s="222"/>
      <c r="B124" s="318"/>
      <c r="C124" s="313" t="s">
        <v>303</v>
      </c>
      <c r="D124" s="326">
        <f>T119-D121</f>
        <v>-41760610.979599588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605" t="s">
        <v>332</v>
      </c>
      <c r="T124" s="588"/>
      <c r="U124" s="222"/>
      <c r="V124" s="222">
        <f>V123+11000000</f>
        <v>14433333</v>
      </c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2"/>
      <c r="BV124" s="222"/>
      <c r="BW124" s="222"/>
      <c r="BX124" s="222"/>
      <c r="BY124" s="222"/>
      <c r="BZ124" s="238"/>
      <c r="CA124" s="222"/>
      <c r="CB124" s="222"/>
      <c r="CC124" s="222"/>
      <c r="CD124" s="222"/>
      <c r="CE124" s="222"/>
      <c r="CF124" s="222"/>
      <c r="CG124" s="222"/>
      <c r="CH124" s="222"/>
      <c r="CI124" s="222"/>
      <c r="CJ124" s="222"/>
      <c r="CK124" s="222"/>
      <c r="CL124" s="222"/>
      <c r="CM124" s="222"/>
      <c r="CN124" s="222"/>
      <c r="CO124" s="222"/>
      <c r="CP124" s="222"/>
      <c r="CQ124" s="222"/>
      <c r="CR124" s="222"/>
      <c r="CS124" s="222"/>
      <c r="CT124" s="222"/>
      <c r="CU124" s="222"/>
      <c r="CV124" s="222"/>
      <c r="CW124" s="222"/>
      <c r="CX124" s="222"/>
      <c r="CY124" s="222"/>
      <c r="CZ124" s="222"/>
      <c r="DA124" s="222"/>
      <c r="DB124" s="222"/>
      <c r="DC124" s="222"/>
      <c r="DD124" s="222"/>
      <c r="DE124" s="222"/>
      <c r="DF124" s="222"/>
      <c r="DG124" s="222"/>
      <c r="DH124" s="222"/>
      <c r="DI124" s="222"/>
      <c r="DJ124" s="222"/>
      <c r="DK124" s="222"/>
      <c r="DL124" s="222"/>
      <c r="DM124" s="222"/>
      <c r="DN124" s="222"/>
      <c r="DO124" s="222"/>
      <c r="DP124" s="222"/>
      <c r="DQ124" s="222"/>
      <c r="DR124" s="222"/>
      <c r="DS124" s="222"/>
      <c r="DT124" s="222"/>
      <c r="DU124" s="222"/>
      <c r="DV124" s="222"/>
      <c r="DW124" s="325"/>
      <c r="DX124" s="325"/>
      <c r="DY124" s="325"/>
      <c r="DZ124" s="325"/>
      <c r="EA124" s="325"/>
      <c r="EB124" s="325"/>
      <c r="EC124" s="325"/>
      <c r="ED124" s="325"/>
      <c r="EE124" s="325"/>
      <c r="EF124" s="325"/>
      <c r="EG124" s="325"/>
      <c r="EH124" s="325"/>
    </row>
    <row r="125" spans="1:138">
      <c r="A125" s="222"/>
      <c r="B125" s="318"/>
      <c r="C125" s="313" t="s">
        <v>147</v>
      </c>
      <c r="D125" s="322">
        <f>(D124-D122)/D123</f>
        <v>-0.97833361790984097</v>
      </c>
      <c r="E125" s="222"/>
      <c r="F125" s="238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 t="s">
        <v>333</v>
      </c>
      <c r="T125" s="222"/>
      <c r="U125" s="222"/>
      <c r="V125" s="222">
        <f>T119-V124</f>
        <v>-13323941.979599586</v>
      </c>
      <c r="W125" s="222"/>
      <c r="X125" s="222">
        <f>V124-T113-T101</f>
        <v>13323941.979599586</v>
      </c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325"/>
      <c r="DX125" s="325"/>
      <c r="DY125" s="325"/>
      <c r="DZ125" s="325"/>
      <c r="EA125" s="325"/>
      <c r="EB125" s="325"/>
      <c r="EC125" s="325"/>
      <c r="ED125" s="325"/>
      <c r="EE125" s="325"/>
      <c r="EF125" s="325"/>
      <c r="EG125" s="325"/>
      <c r="EH125" s="325"/>
    </row>
    <row r="126" spans="1:138">
      <c r="A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38" t="e">
        <f>V125/-J113</f>
        <v>#DIV/0!</v>
      </c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  <c r="BB126" s="222"/>
      <c r="BC126" s="222"/>
      <c r="BD126" s="222"/>
      <c r="BE126" s="222"/>
      <c r="BF126" s="222"/>
      <c r="BG126" s="222"/>
      <c r="BH126" s="222"/>
      <c r="BI126" s="222"/>
      <c r="BJ126" s="222"/>
      <c r="BK126" s="222"/>
      <c r="BL126" s="222"/>
      <c r="BM126" s="222"/>
      <c r="BN126" s="222"/>
      <c r="BO126" s="222"/>
      <c r="BP126" s="222"/>
      <c r="BQ126" s="222"/>
      <c r="BR126" s="222"/>
      <c r="BS126" s="222"/>
      <c r="BT126" s="222"/>
      <c r="BU126" s="222"/>
      <c r="BV126" s="222"/>
      <c r="BW126" s="222"/>
      <c r="BX126" s="222"/>
      <c r="BY126" s="222"/>
      <c r="BZ126" s="222"/>
      <c r="CA126" s="222"/>
      <c r="CB126" s="222"/>
      <c r="CC126" s="222"/>
      <c r="CD126" s="222"/>
      <c r="CE126" s="222"/>
      <c r="CF126" s="222"/>
      <c r="CG126" s="222"/>
      <c r="CH126" s="222"/>
      <c r="CI126" s="222"/>
      <c r="CJ126" s="222"/>
      <c r="CK126" s="222"/>
      <c r="CL126" s="222"/>
      <c r="CM126" s="222"/>
      <c r="CN126" s="222"/>
      <c r="CO126" s="222"/>
      <c r="CP126" s="222"/>
      <c r="CQ126" s="222"/>
      <c r="CR126" s="222"/>
      <c r="CS126" s="222"/>
      <c r="CT126" s="222"/>
      <c r="CU126" s="222"/>
      <c r="CV126" s="222"/>
      <c r="CW126" s="222"/>
      <c r="CX126" s="222"/>
      <c r="CY126" s="222"/>
      <c r="CZ126" s="222"/>
      <c r="DA126" s="222"/>
      <c r="DB126" s="222"/>
      <c r="DC126" s="222"/>
      <c r="DD126" s="222"/>
      <c r="DE126" s="222"/>
      <c r="DF126" s="222"/>
      <c r="DG126" s="222"/>
      <c r="DH126" s="222"/>
      <c r="DI126" s="222"/>
      <c r="DJ126" s="222"/>
      <c r="DK126" s="222"/>
      <c r="DL126" s="222"/>
      <c r="DM126" s="222"/>
      <c r="DN126" s="222"/>
      <c r="DO126" s="222"/>
      <c r="DP126" s="222"/>
      <c r="DQ126" s="222"/>
      <c r="DR126" s="222"/>
      <c r="DS126" s="222"/>
      <c r="DT126" s="222"/>
      <c r="DU126" s="222"/>
      <c r="DV126" s="222"/>
      <c r="DW126" s="325"/>
      <c r="DX126" s="325"/>
      <c r="DY126" s="325"/>
      <c r="DZ126" s="325"/>
      <c r="EA126" s="325"/>
      <c r="EB126" s="325"/>
      <c r="EC126" s="325"/>
      <c r="ED126" s="325"/>
      <c r="EE126" s="325"/>
      <c r="EF126" s="325"/>
      <c r="EG126" s="325"/>
      <c r="EH126" s="325"/>
    </row>
    <row r="127" spans="1:138">
      <c r="A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  <c r="BB127" s="222"/>
      <c r="BC127" s="222"/>
      <c r="BD127" s="222"/>
      <c r="BE127" s="222"/>
      <c r="BF127" s="222"/>
      <c r="BG127" s="222"/>
      <c r="BH127" s="222"/>
      <c r="BI127" s="222"/>
      <c r="BJ127" s="222"/>
      <c r="BK127" s="222"/>
      <c r="BL127" s="222"/>
      <c r="BM127" s="222"/>
      <c r="BN127" s="222"/>
      <c r="BO127" s="222"/>
      <c r="BP127" s="222"/>
      <c r="BQ127" s="222"/>
      <c r="BR127" s="222"/>
      <c r="BS127" s="222"/>
      <c r="BT127" s="222"/>
      <c r="BU127" s="222"/>
      <c r="BV127" s="222"/>
      <c r="BW127" s="222"/>
      <c r="BX127" s="222"/>
      <c r="BY127" s="222"/>
      <c r="BZ127" s="222"/>
      <c r="CA127" s="222"/>
      <c r="CB127" s="222"/>
      <c r="CC127" s="222"/>
      <c r="CD127" s="222"/>
      <c r="CE127" s="222"/>
      <c r="CF127" s="222"/>
      <c r="CG127" s="222"/>
      <c r="CH127" s="222"/>
      <c r="CI127" s="222"/>
      <c r="CJ127" s="222"/>
      <c r="CK127" s="222"/>
      <c r="CL127" s="222"/>
      <c r="CM127" s="222"/>
      <c r="CN127" s="222"/>
      <c r="CO127" s="222"/>
      <c r="CP127" s="222"/>
      <c r="CQ127" s="222"/>
      <c r="CR127" s="222"/>
      <c r="CS127" s="222"/>
      <c r="CT127" s="222"/>
      <c r="CU127" s="222"/>
      <c r="CV127" s="222"/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2"/>
      <c r="DI127" s="222"/>
      <c r="DJ127" s="222"/>
      <c r="DK127" s="222"/>
      <c r="DL127" s="222"/>
      <c r="DM127" s="222"/>
      <c r="DN127" s="222"/>
      <c r="DO127" s="222"/>
      <c r="DP127" s="222"/>
      <c r="DQ127" s="222"/>
      <c r="DR127" s="222"/>
      <c r="DS127" s="222"/>
      <c r="DT127" s="222"/>
      <c r="DU127" s="222"/>
      <c r="DV127" s="222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</row>
    <row r="128" spans="1:138">
      <c r="A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222"/>
      <c r="AF128" s="222"/>
      <c r="AG128" s="222"/>
      <c r="AH128" s="222"/>
      <c r="AI128" s="222"/>
      <c r="AJ128" s="222"/>
      <c r="AK128" s="222"/>
      <c r="AL128" s="222"/>
      <c r="AM128" s="222"/>
      <c r="AN128" s="222"/>
      <c r="AO128" s="222"/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22"/>
      <c r="BC128" s="222"/>
      <c r="BD128" s="222"/>
      <c r="BE128" s="222"/>
      <c r="BF128" s="222"/>
      <c r="BG128" s="222"/>
      <c r="BH128" s="222"/>
      <c r="BI128" s="222"/>
      <c r="BJ128" s="222"/>
      <c r="BK128" s="222"/>
      <c r="BL128" s="222"/>
      <c r="BM128" s="222"/>
      <c r="BN128" s="222"/>
      <c r="BO128" s="222"/>
      <c r="BP128" s="222"/>
      <c r="BQ128" s="222"/>
      <c r="BR128" s="222"/>
      <c r="BS128" s="222"/>
      <c r="BT128" s="222"/>
      <c r="BU128" s="222"/>
      <c r="BV128" s="222"/>
      <c r="BW128" s="222"/>
      <c r="BX128" s="222"/>
      <c r="BY128" s="222"/>
      <c r="BZ128" s="222"/>
      <c r="CA128" s="222"/>
      <c r="CB128" s="222"/>
      <c r="CC128" s="222"/>
      <c r="CD128" s="222"/>
      <c r="CE128" s="222"/>
      <c r="CF128" s="222"/>
      <c r="CG128" s="222"/>
      <c r="CH128" s="222"/>
      <c r="CI128" s="222"/>
      <c r="CJ128" s="222"/>
      <c r="CK128" s="222"/>
      <c r="CL128" s="222"/>
      <c r="CM128" s="222"/>
      <c r="CN128" s="222"/>
      <c r="CO128" s="222"/>
      <c r="CP128" s="222"/>
      <c r="CQ128" s="222"/>
      <c r="CR128" s="222"/>
      <c r="CS128" s="222"/>
      <c r="CT128" s="222"/>
      <c r="CU128" s="222"/>
      <c r="CV128" s="222"/>
      <c r="CW128" s="222"/>
      <c r="CX128" s="222"/>
      <c r="CY128" s="222"/>
      <c r="CZ128" s="222"/>
      <c r="DA128" s="222"/>
      <c r="DB128" s="222"/>
      <c r="DC128" s="222"/>
      <c r="DD128" s="222"/>
      <c r="DE128" s="222"/>
      <c r="DF128" s="222"/>
      <c r="DG128" s="222"/>
      <c r="DH128" s="222"/>
      <c r="DI128" s="222"/>
      <c r="DJ128" s="222"/>
      <c r="DK128" s="222"/>
      <c r="DL128" s="222"/>
      <c r="DM128" s="222"/>
      <c r="DN128" s="222"/>
      <c r="DO128" s="222"/>
      <c r="DP128" s="222"/>
      <c r="DQ128" s="222"/>
      <c r="DR128" s="222"/>
      <c r="DS128" s="222"/>
      <c r="DT128" s="222"/>
      <c r="DU128" s="222"/>
      <c r="DV128" s="222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</row>
    <row r="129" spans="1:138">
      <c r="A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2"/>
      <c r="AQ129" s="222"/>
      <c r="AR129" s="222"/>
      <c r="AS129" s="222"/>
      <c r="AT129" s="222"/>
      <c r="AU129" s="222"/>
      <c r="AV129" s="222"/>
      <c r="AW129" s="222"/>
      <c r="AX129" s="222"/>
      <c r="AY129" s="222"/>
      <c r="AZ129" s="222"/>
      <c r="BA129" s="222"/>
      <c r="BB129" s="222"/>
      <c r="BC129" s="222"/>
      <c r="BD129" s="222"/>
      <c r="BE129" s="222"/>
      <c r="BF129" s="222"/>
      <c r="BG129" s="222"/>
      <c r="BH129" s="222"/>
      <c r="BI129" s="222"/>
      <c r="BJ129" s="222"/>
      <c r="BK129" s="222"/>
      <c r="BL129" s="222"/>
      <c r="BM129" s="222"/>
      <c r="BN129" s="222"/>
      <c r="BO129" s="222"/>
      <c r="BP129" s="222"/>
      <c r="BQ129" s="222"/>
      <c r="BR129" s="222"/>
      <c r="BS129" s="222"/>
      <c r="BT129" s="222"/>
      <c r="BU129" s="222"/>
      <c r="BV129" s="222"/>
      <c r="BW129" s="222"/>
      <c r="BX129" s="222"/>
      <c r="BY129" s="222"/>
      <c r="BZ129" s="222"/>
      <c r="CA129" s="222"/>
      <c r="CB129" s="222"/>
      <c r="CC129" s="222"/>
      <c r="CD129" s="222"/>
      <c r="CE129" s="222"/>
      <c r="CF129" s="222"/>
      <c r="CG129" s="222"/>
      <c r="CH129" s="222"/>
      <c r="CI129" s="222"/>
      <c r="CJ129" s="222"/>
      <c r="CK129" s="222"/>
      <c r="CL129" s="222"/>
      <c r="CM129" s="222"/>
      <c r="CN129" s="222"/>
      <c r="CO129" s="222"/>
      <c r="CP129" s="222"/>
      <c r="CQ129" s="222"/>
      <c r="CR129" s="222"/>
      <c r="CS129" s="222"/>
      <c r="CT129" s="222"/>
      <c r="CU129" s="222"/>
      <c r="CV129" s="222"/>
      <c r="CW129" s="222"/>
      <c r="CX129" s="222"/>
      <c r="CY129" s="222"/>
      <c r="CZ129" s="222"/>
      <c r="DA129" s="222"/>
      <c r="DB129" s="222"/>
      <c r="DC129" s="222"/>
      <c r="DD129" s="222"/>
      <c r="DE129" s="222"/>
      <c r="DF129" s="222"/>
      <c r="DG129" s="222"/>
      <c r="DH129" s="222"/>
      <c r="DI129" s="222"/>
      <c r="DJ129" s="222"/>
      <c r="DK129" s="222"/>
      <c r="DL129" s="222"/>
      <c r="DM129" s="222"/>
      <c r="DN129" s="222"/>
      <c r="DO129" s="222"/>
      <c r="DP129" s="222"/>
      <c r="DQ129" s="222"/>
      <c r="DR129" s="222"/>
      <c r="DS129" s="222"/>
      <c r="DT129" s="222"/>
      <c r="DU129" s="222"/>
      <c r="DV129" s="222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</row>
    <row r="130" spans="1:138">
      <c r="A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222"/>
      <c r="AF130" s="222"/>
      <c r="AG130" s="222"/>
      <c r="AH130" s="222"/>
      <c r="AI130" s="222"/>
      <c r="AJ130" s="222"/>
      <c r="AK130" s="222"/>
      <c r="AL130" s="222"/>
      <c r="AM130" s="222"/>
      <c r="AN130" s="222"/>
      <c r="AO130" s="222"/>
      <c r="AP130" s="222"/>
      <c r="AQ130" s="222"/>
      <c r="AR130" s="222"/>
      <c r="AS130" s="222"/>
      <c r="AT130" s="222"/>
      <c r="AU130" s="222"/>
      <c r="AV130" s="222"/>
      <c r="AW130" s="222"/>
      <c r="AX130" s="222"/>
      <c r="AY130" s="222"/>
      <c r="AZ130" s="222"/>
      <c r="BA130" s="222"/>
      <c r="BB130" s="222"/>
      <c r="BC130" s="222"/>
      <c r="BD130" s="222"/>
      <c r="BE130" s="222"/>
      <c r="BF130" s="222"/>
      <c r="BG130" s="222"/>
      <c r="BH130" s="222"/>
      <c r="BI130" s="222"/>
      <c r="BJ130" s="222"/>
      <c r="BK130" s="222"/>
      <c r="BL130" s="222"/>
      <c r="BM130" s="222"/>
      <c r="BN130" s="222"/>
      <c r="BO130" s="222"/>
      <c r="BP130" s="222"/>
      <c r="BQ130" s="222"/>
      <c r="BR130" s="222"/>
      <c r="BS130" s="222"/>
      <c r="BT130" s="222"/>
      <c r="BU130" s="222"/>
      <c r="BV130" s="222"/>
      <c r="BW130" s="222"/>
      <c r="BX130" s="222"/>
      <c r="BY130" s="222"/>
      <c r="BZ130" s="222"/>
      <c r="CA130" s="222"/>
      <c r="CB130" s="222"/>
      <c r="CC130" s="222"/>
      <c r="CD130" s="222"/>
      <c r="CE130" s="222"/>
      <c r="CF130" s="222"/>
      <c r="CG130" s="222"/>
      <c r="CH130" s="222"/>
      <c r="CI130" s="222"/>
      <c r="CJ130" s="222"/>
      <c r="CK130" s="222"/>
      <c r="CL130" s="222"/>
      <c r="CM130" s="222"/>
      <c r="CN130" s="222"/>
      <c r="CO130" s="222"/>
      <c r="CP130" s="222"/>
      <c r="CQ130" s="222"/>
      <c r="CR130" s="222"/>
      <c r="CS130" s="222"/>
      <c r="CT130" s="222"/>
      <c r="CU130" s="222"/>
      <c r="CV130" s="222"/>
      <c r="CW130" s="222"/>
      <c r="CX130" s="222"/>
      <c r="CY130" s="222"/>
      <c r="CZ130" s="222"/>
      <c r="DA130" s="222"/>
      <c r="DB130" s="222"/>
      <c r="DC130" s="222"/>
      <c r="DD130" s="222"/>
      <c r="DE130" s="222"/>
      <c r="DF130" s="222"/>
      <c r="DG130" s="222"/>
      <c r="DH130" s="222"/>
      <c r="DI130" s="222"/>
      <c r="DJ130" s="222"/>
      <c r="DK130" s="222"/>
      <c r="DL130" s="222"/>
      <c r="DM130" s="222"/>
      <c r="DN130" s="222"/>
      <c r="DO130" s="222"/>
      <c r="DP130" s="222"/>
      <c r="DQ130" s="222"/>
      <c r="DR130" s="222"/>
      <c r="DS130" s="222"/>
      <c r="DT130" s="222"/>
      <c r="DU130" s="222"/>
      <c r="DV130" s="222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</row>
    <row r="131" spans="1:138">
      <c r="A131" s="222"/>
      <c r="B131" s="318"/>
      <c r="C131" s="310" t="s">
        <v>304</v>
      </c>
      <c r="D131" s="311"/>
      <c r="E131" s="311">
        <f t="shared" ref="E131:BX131" si="47">-(E6+E92)</f>
        <v>0</v>
      </c>
      <c r="F131" s="311">
        <f t="shared" si="47"/>
        <v>0</v>
      </c>
      <c r="G131" s="311">
        <f t="shared" si="47"/>
        <v>0</v>
      </c>
      <c r="H131" s="311">
        <f t="shared" si="47"/>
        <v>0</v>
      </c>
      <c r="I131" s="311">
        <f t="shared" si="47"/>
        <v>0</v>
      </c>
      <c r="J131" s="311">
        <f t="shared" si="47"/>
        <v>0</v>
      </c>
      <c r="K131" s="311">
        <f t="shared" si="47"/>
        <v>-885000</v>
      </c>
      <c r="L131" s="311">
        <f t="shared" si="47"/>
        <v>-1940000</v>
      </c>
      <c r="M131" s="311">
        <f t="shared" si="47"/>
        <v>-4260000</v>
      </c>
      <c r="N131" s="311">
        <f t="shared" si="47"/>
        <v>0</v>
      </c>
      <c r="O131" s="311">
        <f t="shared" si="47"/>
        <v>-320000</v>
      </c>
      <c r="P131" s="311">
        <f t="shared" si="47"/>
        <v>-2000000</v>
      </c>
      <c r="Q131" s="311">
        <f t="shared" si="47"/>
        <v>-4550000</v>
      </c>
      <c r="R131" s="311">
        <f t="shared" si="47"/>
        <v>-1000000</v>
      </c>
      <c r="S131" s="311">
        <f t="shared" si="47"/>
        <v>-5550000</v>
      </c>
      <c r="T131" s="311">
        <f t="shared" si="47"/>
        <v>-4900000</v>
      </c>
      <c r="U131" s="311">
        <f t="shared" si="47"/>
        <v>-1100000</v>
      </c>
      <c r="V131" s="311">
        <f t="shared" si="47"/>
        <v>0</v>
      </c>
      <c r="W131" s="311">
        <f t="shared" si="47"/>
        <v>0</v>
      </c>
      <c r="X131" s="311">
        <f t="shared" si="47"/>
        <v>0</v>
      </c>
      <c r="Y131" s="311">
        <f t="shared" si="47"/>
        <v>0</v>
      </c>
      <c r="Z131" s="311">
        <f t="shared" si="47"/>
        <v>0</v>
      </c>
      <c r="AA131" s="311">
        <f t="shared" si="47"/>
        <v>26505000</v>
      </c>
      <c r="AB131" s="311">
        <f t="shared" si="47"/>
        <v>0</v>
      </c>
      <c r="AC131" s="311">
        <f t="shared" si="47"/>
        <v>0</v>
      </c>
      <c r="AD131" s="311">
        <f t="shared" si="47"/>
        <v>0</v>
      </c>
      <c r="AE131" s="311">
        <f t="shared" si="47"/>
        <v>0</v>
      </c>
      <c r="AF131" s="311">
        <f t="shared" si="47"/>
        <v>0</v>
      </c>
      <c r="AG131" s="311">
        <f t="shared" si="47"/>
        <v>0</v>
      </c>
      <c r="AH131" s="311">
        <f t="shared" si="47"/>
        <v>0</v>
      </c>
      <c r="AI131" s="311">
        <f t="shared" si="47"/>
        <v>0</v>
      </c>
      <c r="AJ131" s="311">
        <f t="shared" si="47"/>
        <v>0</v>
      </c>
      <c r="AK131" s="311">
        <f t="shared" si="47"/>
        <v>0</v>
      </c>
      <c r="AL131" s="311">
        <f t="shared" si="47"/>
        <v>0</v>
      </c>
      <c r="AM131" s="311">
        <f t="shared" si="47"/>
        <v>0</v>
      </c>
      <c r="AN131" s="311">
        <f t="shared" si="47"/>
        <v>0</v>
      </c>
      <c r="AO131" s="311">
        <f t="shared" si="47"/>
        <v>0</v>
      </c>
      <c r="AP131" s="311">
        <f t="shared" si="47"/>
        <v>0</v>
      </c>
      <c r="AQ131" s="311">
        <f t="shared" si="47"/>
        <v>0</v>
      </c>
      <c r="AR131" s="311">
        <f t="shared" si="47"/>
        <v>0</v>
      </c>
      <c r="AS131" s="311">
        <f t="shared" si="47"/>
        <v>0</v>
      </c>
      <c r="AT131" s="311">
        <f t="shared" si="47"/>
        <v>0</v>
      </c>
      <c r="AU131" s="311">
        <f t="shared" si="47"/>
        <v>0</v>
      </c>
      <c r="AV131" s="311">
        <f t="shared" si="47"/>
        <v>0</v>
      </c>
      <c r="AW131" s="311">
        <f t="shared" si="47"/>
        <v>0</v>
      </c>
      <c r="AX131" s="311">
        <f t="shared" si="47"/>
        <v>0</v>
      </c>
      <c r="AY131" s="311">
        <f t="shared" si="47"/>
        <v>0</v>
      </c>
      <c r="AZ131" s="311">
        <f t="shared" si="47"/>
        <v>0</v>
      </c>
      <c r="BA131" s="311">
        <f t="shared" si="47"/>
        <v>0</v>
      </c>
      <c r="BB131" s="311">
        <f t="shared" si="47"/>
        <v>0</v>
      </c>
      <c r="BC131" s="311">
        <f t="shared" si="47"/>
        <v>0</v>
      </c>
      <c r="BD131" s="311">
        <f t="shared" si="47"/>
        <v>0</v>
      </c>
      <c r="BE131" s="311">
        <f t="shared" si="47"/>
        <v>0</v>
      </c>
      <c r="BF131" s="311">
        <f t="shared" si="47"/>
        <v>0</v>
      </c>
      <c r="BG131" s="311">
        <f t="shared" si="47"/>
        <v>0</v>
      </c>
      <c r="BH131" s="311">
        <f t="shared" si="47"/>
        <v>0</v>
      </c>
      <c r="BI131" s="311">
        <f t="shared" si="47"/>
        <v>0</v>
      </c>
      <c r="BJ131" s="311">
        <f t="shared" si="47"/>
        <v>0</v>
      </c>
      <c r="BK131" s="311">
        <f t="shared" si="47"/>
        <v>0</v>
      </c>
      <c r="BL131" s="311">
        <f t="shared" si="47"/>
        <v>0</v>
      </c>
      <c r="BM131" s="311">
        <f t="shared" si="47"/>
        <v>0</v>
      </c>
      <c r="BN131" s="311">
        <f t="shared" si="47"/>
        <v>0</v>
      </c>
      <c r="BO131" s="311">
        <f t="shared" si="47"/>
        <v>0</v>
      </c>
      <c r="BP131" s="311">
        <f t="shared" si="47"/>
        <v>0</v>
      </c>
      <c r="BQ131" s="311">
        <f t="shared" si="47"/>
        <v>0</v>
      </c>
      <c r="BR131" s="311">
        <f t="shared" si="47"/>
        <v>0</v>
      </c>
      <c r="BS131" s="311">
        <f t="shared" si="47"/>
        <v>0</v>
      </c>
      <c r="BT131" s="311">
        <f t="shared" si="47"/>
        <v>0</v>
      </c>
      <c r="BU131" s="311">
        <f t="shared" si="47"/>
        <v>0</v>
      </c>
      <c r="BV131" s="311">
        <f t="shared" si="47"/>
        <v>0</v>
      </c>
      <c r="BW131" s="311">
        <f t="shared" si="47"/>
        <v>0</v>
      </c>
      <c r="BX131" s="311">
        <f t="shared" si="47"/>
        <v>0</v>
      </c>
      <c r="BY131" s="222"/>
      <c r="BZ131" s="222"/>
      <c r="CA131" s="222"/>
      <c r="CB131" s="222"/>
      <c r="CC131" s="222"/>
      <c r="CD131" s="222"/>
      <c r="CE131" s="222"/>
      <c r="CF131" s="222"/>
      <c r="CG131" s="222"/>
      <c r="CH131" s="222"/>
      <c r="CI131" s="222"/>
      <c r="CJ131" s="222"/>
      <c r="CK131" s="222"/>
      <c r="CL131" s="222"/>
      <c r="CM131" s="222"/>
      <c r="CN131" s="222"/>
      <c r="CO131" s="222"/>
      <c r="CP131" s="222"/>
      <c r="CQ131" s="222"/>
      <c r="CR131" s="222"/>
      <c r="CS131" s="222"/>
      <c r="CT131" s="222"/>
      <c r="CU131" s="222"/>
      <c r="CV131" s="222"/>
      <c r="CW131" s="222"/>
      <c r="CX131" s="222"/>
      <c r="CY131" s="222"/>
      <c r="CZ131" s="222"/>
      <c r="DA131" s="222"/>
      <c r="DB131" s="222"/>
      <c r="DC131" s="222"/>
      <c r="DD131" s="222"/>
      <c r="DE131" s="222"/>
      <c r="DF131" s="222"/>
      <c r="DG131" s="222"/>
      <c r="DH131" s="222"/>
      <c r="DI131" s="222"/>
      <c r="DJ131" s="222"/>
      <c r="DK131" s="222"/>
      <c r="DL131" s="222"/>
      <c r="DM131" s="222"/>
      <c r="DN131" s="222"/>
      <c r="DO131" s="222"/>
      <c r="DP131" s="222"/>
      <c r="DQ131" s="222"/>
      <c r="DR131" s="222"/>
      <c r="DS131" s="222"/>
      <c r="DT131" s="222"/>
      <c r="DU131" s="222"/>
      <c r="DV131" s="222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</row>
    <row r="132" spans="1:138">
      <c r="A132" s="222"/>
      <c r="B132" s="318"/>
      <c r="C132" s="310" t="s">
        <v>305</v>
      </c>
      <c r="D132" s="319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  <c r="T132" s="311"/>
      <c r="U132" s="311"/>
      <c r="V132" s="311"/>
      <c r="W132" s="311"/>
      <c r="X132" s="311"/>
      <c r="Y132" s="311"/>
      <c r="Z132" s="311"/>
      <c r="AA132" s="311"/>
      <c r="AB132" s="311"/>
      <c r="AC132" s="311"/>
      <c r="AD132" s="311"/>
      <c r="AE132" s="311"/>
      <c r="AF132" s="311"/>
      <c r="AG132" s="311"/>
      <c r="AH132" s="311"/>
      <c r="AI132" s="311"/>
      <c r="AJ132" s="311"/>
      <c r="AK132" s="311"/>
      <c r="AL132" s="311"/>
      <c r="AM132" s="311"/>
      <c r="AN132" s="311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1"/>
      <c r="AZ132" s="311"/>
      <c r="BA132" s="311"/>
      <c r="BB132" s="311"/>
      <c r="BC132" s="311"/>
      <c r="BD132" s="311"/>
      <c r="BE132" s="311"/>
      <c r="BF132" s="311"/>
      <c r="BG132" s="311"/>
      <c r="BH132" s="311"/>
      <c r="BI132" s="311"/>
      <c r="BJ132" s="311"/>
      <c r="BK132" s="311"/>
      <c r="BL132" s="311"/>
      <c r="BM132" s="311"/>
      <c r="BN132" s="311"/>
      <c r="BO132" s="311"/>
      <c r="BP132" s="311"/>
      <c r="BQ132" s="311"/>
      <c r="BR132" s="311"/>
      <c r="BS132" s="311"/>
      <c r="BT132" s="311"/>
      <c r="BU132" s="311"/>
      <c r="BV132" s="311"/>
      <c r="BW132" s="311"/>
      <c r="BX132" s="311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2"/>
      <c r="DL132" s="222"/>
      <c r="DM132" s="222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</row>
    <row r="133" spans="1:138">
      <c r="A133" s="222"/>
      <c r="B133" s="318"/>
      <c r="C133" s="310" t="s">
        <v>296</v>
      </c>
      <c r="D133" s="319"/>
      <c r="E133" s="311">
        <f t="shared" ref="E133:BX133" si="48">-E57</f>
        <v>0</v>
      </c>
      <c r="F133" s="311">
        <f t="shared" si="48"/>
        <v>0</v>
      </c>
      <c r="G133" s="311">
        <f t="shared" si="48"/>
        <v>0</v>
      </c>
      <c r="H133" s="311">
        <f t="shared" si="48"/>
        <v>0</v>
      </c>
      <c r="I133" s="311">
        <f t="shared" si="48"/>
        <v>0</v>
      </c>
      <c r="J133" s="311">
        <f t="shared" si="48"/>
        <v>0</v>
      </c>
      <c r="K133" s="311">
        <f t="shared" si="48"/>
        <v>0</v>
      </c>
      <c r="L133" s="311">
        <f t="shared" si="48"/>
        <v>0</v>
      </c>
      <c r="M133" s="311">
        <f t="shared" si="48"/>
        <v>0</v>
      </c>
      <c r="N133" s="311">
        <f t="shared" si="48"/>
        <v>0</v>
      </c>
      <c r="O133" s="311">
        <f t="shared" si="48"/>
        <v>0</v>
      </c>
      <c r="P133" s="311">
        <f t="shared" si="48"/>
        <v>0</v>
      </c>
      <c r="Q133" s="311">
        <f t="shared" si="48"/>
        <v>0</v>
      </c>
      <c r="R133" s="311">
        <f t="shared" si="48"/>
        <v>0</v>
      </c>
      <c r="S133" s="311">
        <f t="shared" si="48"/>
        <v>0</v>
      </c>
      <c r="T133" s="311">
        <f t="shared" si="48"/>
        <v>0</v>
      </c>
      <c r="U133" s="311">
        <f t="shared" si="48"/>
        <v>0</v>
      </c>
      <c r="V133" s="311">
        <f t="shared" si="48"/>
        <v>0</v>
      </c>
      <c r="W133" s="311">
        <f t="shared" si="48"/>
        <v>0</v>
      </c>
      <c r="X133" s="311">
        <f t="shared" si="48"/>
        <v>0</v>
      </c>
      <c r="Y133" s="311">
        <f t="shared" si="48"/>
        <v>0</v>
      </c>
      <c r="Z133" s="311">
        <f t="shared" si="48"/>
        <v>0</v>
      </c>
      <c r="AA133" s="311">
        <f t="shared" si="48"/>
        <v>0</v>
      </c>
      <c r="AB133" s="311">
        <f t="shared" si="48"/>
        <v>0</v>
      </c>
      <c r="AC133" s="311">
        <f t="shared" si="48"/>
        <v>0</v>
      </c>
      <c r="AD133" s="311">
        <f t="shared" si="48"/>
        <v>0</v>
      </c>
      <c r="AE133" s="311">
        <f t="shared" si="48"/>
        <v>0</v>
      </c>
      <c r="AF133" s="311">
        <f t="shared" si="48"/>
        <v>0</v>
      </c>
      <c r="AG133" s="311">
        <f t="shared" si="48"/>
        <v>0</v>
      </c>
      <c r="AH133" s="311">
        <f t="shared" si="48"/>
        <v>0</v>
      </c>
      <c r="AI133" s="311">
        <f t="shared" si="48"/>
        <v>0</v>
      </c>
      <c r="AJ133" s="311">
        <f t="shared" si="48"/>
        <v>0</v>
      </c>
      <c r="AK133" s="311">
        <f t="shared" si="48"/>
        <v>0</v>
      </c>
      <c r="AL133" s="311">
        <f t="shared" si="48"/>
        <v>0</v>
      </c>
      <c r="AM133" s="311">
        <f t="shared" si="48"/>
        <v>0</v>
      </c>
      <c r="AN133" s="311">
        <f t="shared" si="48"/>
        <v>0</v>
      </c>
      <c r="AO133" s="311">
        <f t="shared" si="48"/>
        <v>0</v>
      </c>
      <c r="AP133" s="311">
        <f t="shared" si="48"/>
        <v>0</v>
      </c>
      <c r="AQ133" s="311">
        <f t="shared" si="48"/>
        <v>0</v>
      </c>
      <c r="AR133" s="311">
        <f t="shared" si="48"/>
        <v>0</v>
      </c>
      <c r="AS133" s="311">
        <f t="shared" si="48"/>
        <v>0</v>
      </c>
      <c r="AT133" s="311">
        <f t="shared" si="48"/>
        <v>0</v>
      </c>
      <c r="AU133" s="311">
        <f t="shared" si="48"/>
        <v>0</v>
      </c>
      <c r="AV133" s="311">
        <f t="shared" si="48"/>
        <v>0</v>
      </c>
      <c r="AW133" s="311">
        <f t="shared" si="48"/>
        <v>0</v>
      </c>
      <c r="AX133" s="311">
        <f t="shared" si="48"/>
        <v>0</v>
      </c>
      <c r="AY133" s="311">
        <f t="shared" si="48"/>
        <v>0</v>
      </c>
      <c r="AZ133" s="311">
        <f t="shared" si="48"/>
        <v>0</v>
      </c>
      <c r="BA133" s="311">
        <f t="shared" si="48"/>
        <v>0</v>
      </c>
      <c r="BB133" s="311">
        <f t="shared" si="48"/>
        <v>0</v>
      </c>
      <c r="BC133" s="311">
        <f t="shared" si="48"/>
        <v>0</v>
      </c>
      <c r="BD133" s="311">
        <f t="shared" si="48"/>
        <v>0</v>
      </c>
      <c r="BE133" s="311">
        <f t="shared" si="48"/>
        <v>0</v>
      </c>
      <c r="BF133" s="311">
        <f t="shared" si="48"/>
        <v>0</v>
      </c>
      <c r="BG133" s="311">
        <f t="shared" si="48"/>
        <v>0</v>
      </c>
      <c r="BH133" s="311">
        <f t="shared" si="48"/>
        <v>0</v>
      </c>
      <c r="BI133" s="311">
        <f t="shared" si="48"/>
        <v>0</v>
      </c>
      <c r="BJ133" s="311">
        <f t="shared" si="48"/>
        <v>0</v>
      </c>
      <c r="BK133" s="311">
        <f t="shared" si="48"/>
        <v>0</v>
      </c>
      <c r="BL133" s="311">
        <f t="shared" si="48"/>
        <v>0</v>
      </c>
      <c r="BM133" s="311">
        <f t="shared" si="48"/>
        <v>0</v>
      </c>
      <c r="BN133" s="311">
        <f t="shared" si="48"/>
        <v>0</v>
      </c>
      <c r="BO133" s="311">
        <f t="shared" si="48"/>
        <v>0</v>
      </c>
      <c r="BP133" s="311">
        <f t="shared" si="48"/>
        <v>0</v>
      </c>
      <c r="BQ133" s="311">
        <f t="shared" si="48"/>
        <v>0</v>
      </c>
      <c r="BR133" s="311">
        <f t="shared" si="48"/>
        <v>0</v>
      </c>
      <c r="BS133" s="311">
        <f t="shared" si="48"/>
        <v>0</v>
      </c>
      <c r="BT133" s="311">
        <f t="shared" si="48"/>
        <v>0</v>
      </c>
      <c r="BU133" s="311">
        <f t="shared" si="48"/>
        <v>0</v>
      </c>
      <c r="BV133" s="311">
        <f t="shared" si="48"/>
        <v>0</v>
      </c>
      <c r="BW133" s="311">
        <f t="shared" si="48"/>
        <v>0</v>
      </c>
      <c r="BX133" s="311">
        <f t="shared" si="48"/>
        <v>0</v>
      </c>
      <c r="BY133" s="222"/>
      <c r="BZ133" s="222"/>
      <c r="CA133" s="222"/>
      <c r="CB133" s="222"/>
      <c r="CC133" s="222"/>
      <c r="CD133" s="222"/>
      <c r="CE133" s="222"/>
      <c r="CF133" s="222"/>
      <c r="CG133" s="222"/>
      <c r="CH133" s="222"/>
      <c r="CI133" s="222"/>
      <c r="CJ133" s="222"/>
      <c r="CK133" s="222"/>
      <c r="CL133" s="222"/>
      <c r="CM133" s="222"/>
      <c r="CN133" s="222"/>
      <c r="CO133" s="222"/>
      <c r="CP133" s="222"/>
      <c r="CQ133" s="222"/>
      <c r="CR133" s="222"/>
      <c r="CS133" s="222"/>
      <c r="CT133" s="222"/>
      <c r="CU133" s="222"/>
      <c r="CV133" s="222"/>
      <c r="CW133" s="222"/>
      <c r="CX133" s="222"/>
      <c r="CY133" s="222"/>
      <c r="CZ133" s="222"/>
      <c r="DA133" s="222"/>
      <c r="DB133" s="222"/>
      <c r="DC133" s="222"/>
      <c r="DD133" s="222"/>
      <c r="DE133" s="222"/>
      <c r="DF133" s="222"/>
      <c r="DG133" s="222"/>
      <c r="DH133" s="222"/>
      <c r="DI133" s="222"/>
      <c r="DJ133" s="222"/>
      <c r="DK133" s="222"/>
      <c r="DL133" s="222"/>
      <c r="DM133" s="222"/>
      <c r="DN133" s="222"/>
      <c r="DO133" s="222"/>
      <c r="DP133" s="222"/>
      <c r="DQ133" s="222"/>
      <c r="DR133" s="222"/>
      <c r="DS133" s="222"/>
      <c r="DT133" s="222"/>
      <c r="DU133" s="222"/>
      <c r="DV133" s="222"/>
      <c r="DW133" s="325"/>
      <c r="DX133" s="325"/>
      <c r="DY133" s="325"/>
      <c r="DZ133" s="325"/>
      <c r="EA133" s="325"/>
      <c r="EB133" s="325"/>
      <c r="EC133" s="325"/>
      <c r="ED133" s="325"/>
      <c r="EE133" s="325"/>
      <c r="EF133" s="325"/>
      <c r="EG133" s="325"/>
      <c r="EH133" s="325"/>
    </row>
    <row r="134" spans="1:138">
      <c r="A134" s="222"/>
      <c r="B134" s="318"/>
      <c r="C134" s="310" t="s">
        <v>297</v>
      </c>
      <c r="D134" s="319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  <c r="O134" s="311"/>
      <c r="P134" s="311"/>
      <c r="Q134" s="311"/>
      <c r="R134" s="311"/>
      <c r="S134" s="311"/>
      <c r="T134" s="311">
        <f>T101-T150-T166-T182</f>
        <v>-4990608.9795995858</v>
      </c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1"/>
      <c r="AJ134" s="311"/>
      <c r="AK134" s="311"/>
      <c r="AL134" s="311"/>
      <c r="AM134" s="311"/>
      <c r="AN134" s="311"/>
      <c r="AO134" s="311"/>
      <c r="AP134" s="311"/>
      <c r="AQ134" s="311"/>
      <c r="AR134" s="311"/>
      <c r="AS134" s="311"/>
      <c r="AT134" s="311"/>
      <c r="AU134" s="311"/>
      <c r="AV134" s="311"/>
      <c r="AW134" s="311"/>
      <c r="AX134" s="311"/>
      <c r="AY134" s="311"/>
      <c r="AZ134" s="311"/>
      <c r="BA134" s="311"/>
      <c r="BB134" s="311"/>
      <c r="BC134" s="311"/>
      <c r="BD134" s="311"/>
      <c r="BE134" s="311"/>
      <c r="BF134" s="311"/>
      <c r="BG134" s="311"/>
      <c r="BH134" s="311"/>
      <c r="BI134" s="311"/>
      <c r="BJ134" s="311"/>
      <c r="BK134" s="311"/>
      <c r="BL134" s="311"/>
      <c r="BM134" s="311"/>
      <c r="BN134" s="311"/>
      <c r="BO134" s="311"/>
      <c r="BP134" s="311"/>
      <c r="BQ134" s="311"/>
      <c r="BR134" s="311"/>
      <c r="BS134" s="311"/>
      <c r="BT134" s="311"/>
      <c r="BU134" s="311"/>
      <c r="BV134" s="311"/>
      <c r="BW134" s="311"/>
      <c r="BX134" s="311">
        <f>IF(D106&gt;0.25,(BX101-BX109)*D135,BX101*D135)</f>
        <v>0</v>
      </c>
      <c r="BY134" s="222"/>
      <c r="BZ134" s="222"/>
      <c r="CA134" s="222"/>
      <c r="CB134" s="222"/>
      <c r="CC134" s="222"/>
      <c r="CD134" s="222"/>
      <c r="CE134" s="222"/>
      <c r="CF134" s="222"/>
      <c r="CG134" s="222"/>
      <c r="CH134" s="222"/>
      <c r="CI134" s="222"/>
      <c r="CJ134" s="222"/>
      <c r="CK134" s="222"/>
      <c r="CL134" s="222"/>
      <c r="CM134" s="222"/>
      <c r="CN134" s="222"/>
      <c r="CO134" s="222"/>
      <c r="CP134" s="222"/>
      <c r="CQ134" s="222"/>
      <c r="CR134" s="222"/>
      <c r="CS134" s="222"/>
      <c r="CT134" s="222"/>
      <c r="CU134" s="222"/>
      <c r="CV134" s="222"/>
      <c r="CW134" s="222"/>
      <c r="CX134" s="222"/>
      <c r="CY134" s="222"/>
      <c r="CZ134" s="222"/>
      <c r="DA134" s="222"/>
      <c r="DB134" s="222"/>
      <c r="DC134" s="222"/>
      <c r="DD134" s="222"/>
      <c r="DE134" s="222"/>
      <c r="DF134" s="222"/>
      <c r="DG134" s="222"/>
      <c r="DH134" s="222"/>
      <c r="DI134" s="222"/>
      <c r="DJ134" s="222"/>
      <c r="DK134" s="222"/>
      <c r="DL134" s="222"/>
      <c r="DM134" s="222"/>
      <c r="DN134" s="222"/>
      <c r="DO134" s="222"/>
      <c r="DP134" s="222"/>
      <c r="DQ134" s="222"/>
      <c r="DR134" s="222"/>
      <c r="DS134" s="222"/>
      <c r="DT134" s="222"/>
      <c r="DU134" s="222"/>
      <c r="DV134" s="222"/>
      <c r="DW134" s="325"/>
      <c r="DX134" s="325"/>
      <c r="DY134" s="325"/>
      <c r="DZ134" s="325"/>
      <c r="EA134" s="325"/>
      <c r="EB134" s="325"/>
      <c r="EC134" s="325"/>
      <c r="ED134" s="325"/>
      <c r="EE134" s="325"/>
      <c r="EF134" s="325"/>
      <c r="EG134" s="325"/>
      <c r="EH134" s="325"/>
    </row>
    <row r="135" spans="1:138">
      <c r="A135" s="222"/>
      <c r="B135" s="318"/>
      <c r="C135" s="313" t="s">
        <v>298</v>
      </c>
      <c r="D135" s="319">
        <v>0</v>
      </c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22"/>
      <c r="BZ135" s="222"/>
      <c r="CA135" s="222"/>
      <c r="CB135" s="222"/>
      <c r="CC135" s="222"/>
      <c r="CD135" s="222"/>
      <c r="CE135" s="222"/>
      <c r="CF135" s="222"/>
      <c r="CG135" s="222"/>
      <c r="CH135" s="222"/>
      <c r="CI135" s="222"/>
      <c r="CJ135" s="222"/>
      <c r="CK135" s="222"/>
      <c r="CL135" s="222"/>
      <c r="CM135" s="222"/>
      <c r="CN135" s="222"/>
      <c r="CO135" s="222"/>
      <c r="CP135" s="222"/>
      <c r="CQ135" s="222"/>
      <c r="CR135" s="222"/>
      <c r="CS135" s="222"/>
      <c r="CT135" s="222"/>
      <c r="CU135" s="222"/>
      <c r="CV135" s="222"/>
      <c r="CW135" s="222"/>
      <c r="CX135" s="222"/>
      <c r="CY135" s="222"/>
      <c r="CZ135" s="222"/>
      <c r="DA135" s="222"/>
      <c r="DB135" s="222"/>
      <c r="DC135" s="222"/>
      <c r="DD135" s="222"/>
      <c r="DE135" s="222"/>
      <c r="DF135" s="222"/>
      <c r="DG135" s="222"/>
      <c r="DH135" s="222"/>
      <c r="DI135" s="222"/>
      <c r="DJ135" s="222"/>
      <c r="DK135" s="222"/>
      <c r="DL135" s="222"/>
      <c r="DM135" s="222"/>
      <c r="DN135" s="222"/>
      <c r="DO135" s="222"/>
      <c r="DP135" s="222"/>
      <c r="DQ135" s="222"/>
      <c r="DR135" s="222"/>
      <c r="DS135" s="222"/>
      <c r="DT135" s="222"/>
      <c r="DU135" s="222"/>
      <c r="DV135" s="222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</row>
    <row r="136" spans="1:138">
      <c r="A136" s="222"/>
      <c r="B136" s="318"/>
      <c r="C136" s="310" t="s">
        <v>299</v>
      </c>
      <c r="D136" s="311"/>
      <c r="E136" s="321">
        <f t="shared" ref="E136:BX136" si="49">E131+E132+E133+E134+E135</f>
        <v>0</v>
      </c>
      <c r="F136" s="321">
        <f t="shared" si="49"/>
        <v>0</v>
      </c>
      <c r="G136" s="321">
        <f t="shared" si="49"/>
        <v>0</v>
      </c>
      <c r="H136" s="321">
        <f t="shared" si="49"/>
        <v>0</v>
      </c>
      <c r="I136" s="321">
        <f t="shared" si="49"/>
        <v>0</v>
      </c>
      <c r="J136" s="321">
        <f t="shared" si="49"/>
        <v>0</v>
      </c>
      <c r="K136" s="321">
        <f t="shared" si="49"/>
        <v>-885000</v>
      </c>
      <c r="L136" s="321">
        <f t="shared" si="49"/>
        <v>-1940000</v>
      </c>
      <c r="M136" s="321">
        <f t="shared" si="49"/>
        <v>-4260000</v>
      </c>
      <c r="N136" s="321">
        <f t="shared" si="49"/>
        <v>0</v>
      </c>
      <c r="O136" s="321">
        <f t="shared" si="49"/>
        <v>-320000</v>
      </c>
      <c r="P136" s="321">
        <f t="shared" si="49"/>
        <v>-2000000</v>
      </c>
      <c r="Q136" s="321">
        <f t="shared" si="49"/>
        <v>-4550000</v>
      </c>
      <c r="R136" s="321">
        <f t="shared" si="49"/>
        <v>-1000000</v>
      </c>
      <c r="S136" s="321">
        <f t="shared" si="49"/>
        <v>-5550000</v>
      </c>
      <c r="T136" s="321">
        <f t="shared" si="49"/>
        <v>-9890608.9795995858</v>
      </c>
      <c r="U136" s="321">
        <f t="shared" si="49"/>
        <v>-1100000</v>
      </c>
      <c r="V136" s="321">
        <f t="shared" si="49"/>
        <v>0</v>
      </c>
      <c r="W136" s="321">
        <f t="shared" si="49"/>
        <v>0</v>
      </c>
      <c r="X136" s="321">
        <f t="shared" si="49"/>
        <v>0</v>
      </c>
      <c r="Y136" s="321">
        <f t="shared" si="49"/>
        <v>0</v>
      </c>
      <c r="Z136" s="321">
        <f t="shared" si="49"/>
        <v>0</v>
      </c>
      <c r="AA136" s="321">
        <f t="shared" si="49"/>
        <v>26505000</v>
      </c>
      <c r="AB136" s="321">
        <f t="shared" si="49"/>
        <v>0</v>
      </c>
      <c r="AC136" s="321">
        <f t="shared" si="49"/>
        <v>0</v>
      </c>
      <c r="AD136" s="321">
        <f t="shared" si="49"/>
        <v>0</v>
      </c>
      <c r="AE136" s="321">
        <f t="shared" si="49"/>
        <v>0</v>
      </c>
      <c r="AF136" s="321">
        <f t="shared" si="49"/>
        <v>0</v>
      </c>
      <c r="AG136" s="321">
        <f t="shared" si="49"/>
        <v>0</v>
      </c>
      <c r="AH136" s="321">
        <f t="shared" si="49"/>
        <v>0</v>
      </c>
      <c r="AI136" s="321">
        <f t="shared" si="49"/>
        <v>0</v>
      </c>
      <c r="AJ136" s="321">
        <f t="shared" si="49"/>
        <v>0</v>
      </c>
      <c r="AK136" s="321">
        <f t="shared" si="49"/>
        <v>0</v>
      </c>
      <c r="AL136" s="321">
        <f t="shared" si="49"/>
        <v>0</v>
      </c>
      <c r="AM136" s="321">
        <f t="shared" si="49"/>
        <v>0</v>
      </c>
      <c r="AN136" s="321">
        <f t="shared" si="49"/>
        <v>0</v>
      </c>
      <c r="AO136" s="321">
        <f t="shared" si="49"/>
        <v>0</v>
      </c>
      <c r="AP136" s="321">
        <f t="shared" si="49"/>
        <v>0</v>
      </c>
      <c r="AQ136" s="321">
        <f t="shared" si="49"/>
        <v>0</v>
      </c>
      <c r="AR136" s="321">
        <f t="shared" si="49"/>
        <v>0</v>
      </c>
      <c r="AS136" s="321">
        <f t="shared" si="49"/>
        <v>0</v>
      </c>
      <c r="AT136" s="321">
        <f t="shared" si="49"/>
        <v>0</v>
      </c>
      <c r="AU136" s="321">
        <f t="shared" si="49"/>
        <v>0</v>
      </c>
      <c r="AV136" s="321">
        <f t="shared" si="49"/>
        <v>0</v>
      </c>
      <c r="AW136" s="321">
        <f t="shared" si="49"/>
        <v>0</v>
      </c>
      <c r="AX136" s="321">
        <f t="shared" si="49"/>
        <v>0</v>
      </c>
      <c r="AY136" s="321">
        <f t="shared" si="49"/>
        <v>0</v>
      </c>
      <c r="AZ136" s="321">
        <f t="shared" si="49"/>
        <v>0</v>
      </c>
      <c r="BA136" s="321">
        <f t="shared" si="49"/>
        <v>0</v>
      </c>
      <c r="BB136" s="321">
        <f t="shared" si="49"/>
        <v>0</v>
      </c>
      <c r="BC136" s="321">
        <f t="shared" si="49"/>
        <v>0</v>
      </c>
      <c r="BD136" s="321">
        <f t="shared" si="49"/>
        <v>0</v>
      </c>
      <c r="BE136" s="321">
        <f t="shared" si="49"/>
        <v>0</v>
      </c>
      <c r="BF136" s="321">
        <f t="shared" si="49"/>
        <v>0</v>
      </c>
      <c r="BG136" s="321">
        <f t="shared" si="49"/>
        <v>0</v>
      </c>
      <c r="BH136" s="321">
        <f t="shared" si="49"/>
        <v>0</v>
      </c>
      <c r="BI136" s="321">
        <f t="shared" si="49"/>
        <v>0</v>
      </c>
      <c r="BJ136" s="321">
        <f t="shared" si="49"/>
        <v>0</v>
      </c>
      <c r="BK136" s="321">
        <f t="shared" si="49"/>
        <v>0</v>
      </c>
      <c r="BL136" s="321">
        <f t="shared" si="49"/>
        <v>0</v>
      </c>
      <c r="BM136" s="321">
        <f t="shared" si="49"/>
        <v>0</v>
      </c>
      <c r="BN136" s="321">
        <f t="shared" si="49"/>
        <v>0</v>
      </c>
      <c r="BO136" s="321">
        <f t="shared" si="49"/>
        <v>0</v>
      </c>
      <c r="BP136" s="321">
        <f t="shared" si="49"/>
        <v>0</v>
      </c>
      <c r="BQ136" s="321">
        <f t="shared" si="49"/>
        <v>0</v>
      </c>
      <c r="BR136" s="321">
        <f t="shared" si="49"/>
        <v>0</v>
      </c>
      <c r="BS136" s="321">
        <f t="shared" si="49"/>
        <v>0</v>
      </c>
      <c r="BT136" s="321">
        <f t="shared" si="49"/>
        <v>0</v>
      </c>
      <c r="BU136" s="321">
        <f t="shared" si="49"/>
        <v>0</v>
      </c>
      <c r="BV136" s="321">
        <f t="shared" si="49"/>
        <v>0</v>
      </c>
      <c r="BW136" s="321">
        <f t="shared" si="49"/>
        <v>0</v>
      </c>
      <c r="BX136" s="321">
        <f t="shared" si="49"/>
        <v>0</v>
      </c>
      <c r="BY136" s="222"/>
      <c r="BZ136" s="222"/>
      <c r="CA136" s="222"/>
      <c r="CB136" s="222"/>
      <c r="CC136" s="222"/>
      <c r="CD136" s="222"/>
      <c r="CE136" s="222"/>
      <c r="CF136" s="222"/>
      <c r="CG136" s="222"/>
      <c r="CH136" s="222"/>
      <c r="CI136" s="222"/>
      <c r="CJ136" s="222"/>
      <c r="CK136" s="222"/>
      <c r="CL136" s="222"/>
      <c r="CM136" s="222"/>
      <c r="CN136" s="222"/>
      <c r="CO136" s="222"/>
      <c r="CP136" s="222"/>
      <c r="CQ136" s="222"/>
      <c r="CR136" s="222"/>
      <c r="CS136" s="222"/>
      <c r="CT136" s="222"/>
      <c r="CU136" s="222"/>
      <c r="CV136" s="222"/>
      <c r="CW136" s="222"/>
      <c r="CX136" s="222"/>
      <c r="CY136" s="222"/>
      <c r="CZ136" s="222"/>
      <c r="DA136" s="222"/>
      <c r="DB136" s="222"/>
      <c r="DC136" s="222"/>
      <c r="DD136" s="222"/>
      <c r="DE136" s="222"/>
      <c r="DF136" s="222"/>
      <c r="DG136" s="222"/>
      <c r="DH136" s="222"/>
      <c r="DI136" s="222"/>
      <c r="DJ136" s="222"/>
      <c r="DK136" s="222"/>
      <c r="DL136" s="222"/>
      <c r="DM136" s="222"/>
      <c r="DN136" s="222"/>
      <c r="DO136" s="222"/>
      <c r="DP136" s="222"/>
      <c r="DQ136" s="222"/>
      <c r="DR136" s="222"/>
      <c r="DS136" s="222"/>
      <c r="DT136" s="222"/>
      <c r="DU136" s="222"/>
      <c r="DV136" s="222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</row>
    <row r="137" spans="1:138">
      <c r="A137" s="222"/>
      <c r="B137" s="318"/>
      <c r="C137" s="314"/>
      <c r="D137" s="322" t="s">
        <v>306</v>
      </c>
      <c r="E137" s="327">
        <f>E136</f>
        <v>0</v>
      </c>
      <c r="F137" s="327">
        <f t="shared" ref="F137:BX137" si="50">E137+F136</f>
        <v>0</v>
      </c>
      <c r="G137" s="327">
        <f t="shared" si="50"/>
        <v>0</v>
      </c>
      <c r="H137" s="327">
        <f t="shared" si="50"/>
        <v>0</v>
      </c>
      <c r="I137" s="327">
        <f t="shared" si="50"/>
        <v>0</v>
      </c>
      <c r="J137" s="327">
        <f t="shared" si="50"/>
        <v>0</v>
      </c>
      <c r="K137" s="327">
        <f t="shared" si="50"/>
        <v>-885000</v>
      </c>
      <c r="L137" s="327">
        <f t="shared" si="50"/>
        <v>-2825000</v>
      </c>
      <c r="M137" s="327">
        <f t="shared" si="50"/>
        <v>-7085000</v>
      </c>
      <c r="N137" s="327">
        <f t="shared" si="50"/>
        <v>-7085000</v>
      </c>
      <c r="O137" s="327">
        <f t="shared" si="50"/>
        <v>-7405000</v>
      </c>
      <c r="P137" s="327">
        <f t="shared" si="50"/>
        <v>-9405000</v>
      </c>
      <c r="Q137" s="327">
        <f t="shared" si="50"/>
        <v>-13955000</v>
      </c>
      <c r="R137" s="327">
        <f t="shared" si="50"/>
        <v>-14955000</v>
      </c>
      <c r="S137" s="327">
        <f t="shared" si="50"/>
        <v>-20505000</v>
      </c>
      <c r="T137" s="327">
        <f t="shared" si="50"/>
        <v>-30395608.979599588</v>
      </c>
      <c r="U137" s="327">
        <f t="shared" si="50"/>
        <v>-31495608.979599588</v>
      </c>
      <c r="V137" s="327">
        <f t="shared" si="50"/>
        <v>-31495608.979599588</v>
      </c>
      <c r="W137" s="327">
        <f t="shared" si="50"/>
        <v>-31495608.979599588</v>
      </c>
      <c r="X137" s="327">
        <f t="shared" si="50"/>
        <v>-31495608.979599588</v>
      </c>
      <c r="Y137" s="327">
        <f t="shared" si="50"/>
        <v>-31495608.979599588</v>
      </c>
      <c r="Z137" s="327">
        <f t="shared" si="50"/>
        <v>-31495608.979599588</v>
      </c>
      <c r="AA137" s="327">
        <f t="shared" si="50"/>
        <v>-4990608.9795995876</v>
      </c>
      <c r="AB137" s="327">
        <f t="shared" si="50"/>
        <v>-4990608.9795995876</v>
      </c>
      <c r="AC137" s="327">
        <f t="shared" si="50"/>
        <v>-4990608.9795995876</v>
      </c>
      <c r="AD137" s="327">
        <f t="shared" si="50"/>
        <v>-4990608.9795995876</v>
      </c>
      <c r="AE137" s="327">
        <f t="shared" si="50"/>
        <v>-4990608.9795995876</v>
      </c>
      <c r="AF137" s="327">
        <f t="shared" si="50"/>
        <v>-4990608.9795995876</v>
      </c>
      <c r="AG137" s="327">
        <f t="shared" si="50"/>
        <v>-4990608.9795995876</v>
      </c>
      <c r="AH137" s="327">
        <f t="shared" si="50"/>
        <v>-4990608.9795995876</v>
      </c>
      <c r="AI137" s="327">
        <f t="shared" si="50"/>
        <v>-4990608.9795995876</v>
      </c>
      <c r="AJ137" s="327">
        <f t="shared" si="50"/>
        <v>-4990608.9795995876</v>
      </c>
      <c r="AK137" s="327">
        <f t="shared" si="50"/>
        <v>-4990608.9795995876</v>
      </c>
      <c r="AL137" s="327">
        <f t="shared" si="50"/>
        <v>-4990608.9795995876</v>
      </c>
      <c r="AM137" s="327">
        <f t="shared" si="50"/>
        <v>-4990608.9795995876</v>
      </c>
      <c r="AN137" s="327">
        <f t="shared" si="50"/>
        <v>-4990608.9795995876</v>
      </c>
      <c r="AO137" s="327">
        <f t="shared" si="50"/>
        <v>-4990608.9795995876</v>
      </c>
      <c r="AP137" s="327">
        <f t="shared" si="50"/>
        <v>-4990608.9795995876</v>
      </c>
      <c r="AQ137" s="327">
        <f t="shared" si="50"/>
        <v>-4990608.9795995876</v>
      </c>
      <c r="AR137" s="327">
        <f t="shared" si="50"/>
        <v>-4990608.9795995876</v>
      </c>
      <c r="AS137" s="327">
        <f t="shared" si="50"/>
        <v>-4990608.9795995876</v>
      </c>
      <c r="AT137" s="327">
        <f t="shared" si="50"/>
        <v>-4990608.9795995876</v>
      </c>
      <c r="AU137" s="327">
        <f t="shared" si="50"/>
        <v>-4990608.9795995876</v>
      </c>
      <c r="AV137" s="327">
        <f t="shared" si="50"/>
        <v>-4990608.9795995876</v>
      </c>
      <c r="AW137" s="327">
        <f t="shared" si="50"/>
        <v>-4990608.9795995876</v>
      </c>
      <c r="AX137" s="327">
        <f t="shared" si="50"/>
        <v>-4990608.9795995876</v>
      </c>
      <c r="AY137" s="327">
        <f t="shared" si="50"/>
        <v>-4990608.9795995876</v>
      </c>
      <c r="AZ137" s="327">
        <f t="shared" si="50"/>
        <v>-4990608.9795995876</v>
      </c>
      <c r="BA137" s="327">
        <f t="shared" si="50"/>
        <v>-4990608.9795995876</v>
      </c>
      <c r="BB137" s="327">
        <f t="shared" si="50"/>
        <v>-4990608.9795995876</v>
      </c>
      <c r="BC137" s="327">
        <f t="shared" si="50"/>
        <v>-4990608.9795995876</v>
      </c>
      <c r="BD137" s="327">
        <f t="shared" si="50"/>
        <v>-4990608.9795995876</v>
      </c>
      <c r="BE137" s="327">
        <f t="shared" si="50"/>
        <v>-4990608.9795995876</v>
      </c>
      <c r="BF137" s="327">
        <f t="shared" si="50"/>
        <v>-4990608.9795995876</v>
      </c>
      <c r="BG137" s="327">
        <f t="shared" si="50"/>
        <v>-4990608.9795995876</v>
      </c>
      <c r="BH137" s="327">
        <f t="shared" si="50"/>
        <v>-4990608.9795995876</v>
      </c>
      <c r="BI137" s="327">
        <f t="shared" si="50"/>
        <v>-4990608.9795995876</v>
      </c>
      <c r="BJ137" s="327">
        <f t="shared" si="50"/>
        <v>-4990608.9795995876</v>
      </c>
      <c r="BK137" s="327">
        <f t="shared" si="50"/>
        <v>-4990608.9795995876</v>
      </c>
      <c r="BL137" s="327">
        <f t="shared" si="50"/>
        <v>-4990608.9795995876</v>
      </c>
      <c r="BM137" s="327">
        <f t="shared" si="50"/>
        <v>-4990608.9795995876</v>
      </c>
      <c r="BN137" s="327">
        <f t="shared" si="50"/>
        <v>-4990608.9795995876</v>
      </c>
      <c r="BO137" s="327">
        <f t="shared" si="50"/>
        <v>-4990608.9795995876</v>
      </c>
      <c r="BP137" s="327">
        <f t="shared" si="50"/>
        <v>-4990608.9795995876</v>
      </c>
      <c r="BQ137" s="327">
        <f t="shared" si="50"/>
        <v>-4990608.9795995876</v>
      </c>
      <c r="BR137" s="327">
        <f t="shared" si="50"/>
        <v>-4990608.9795995876</v>
      </c>
      <c r="BS137" s="327">
        <f t="shared" si="50"/>
        <v>-4990608.9795995876</v>
      </c>
      <c r="BT137" s="327">
        <f t="shared" si="50"/>
        <v>-4990608.9795995876</v>
      </c>
      <c r="BU137" s="327">
        <f t="shared" si="50"/>
        <v>-4990608.9795995876</v>
      </c>
      <c r="BV137" s="327">
        <f t="shared" si="50"/>
        <v>-4990608.9795995876</v>
      </c>
      <c r="BW137" s="327">
        <f t="shared" si="50"/>
        <v>-4990608.9795995876</v>
      </c>
      <c r="BX137" s="327">
        <f t="shared" si="50"/>
        <v>-4990608.9795995876</v>
      </c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2"/>
      <c r="CV137" s="222"/>
      <c r="CW137" s="222"/>
      <c r="CX137" s="222"/>
      <c r="CY137" s="222"/>
      <c r="CZ137" s="222"/>
      <c r="DA137" s="222"/>
      <c r="DB137" s="222"/>
      <c r="DC137" s="222"/>
      <c r="DD137" s="222"/>
      <c r="DE137" s="222"/>
      <c r="DF137" s="222"/>
      <c r="DG137" s="222"/>
      <c r="DH137" s="222"/>
      <c r="DI137" s="222"/>
      <c r="DJ137" s="222"/>
      <c r="DK137" s="222"/>
      <c r="DL137" s="222"/>
      <c r="DM137" s="222"/>
      <c r="DN137" s="222"/>
      <c r="DO137" s="222"/>
      <c r="DP137" s="222"/>
      <c r="DQ137" s="222"/>
      <c r="DR137" s="222"/>
      <c r="DS137" s="222"/>
      <c r="DT137" s="222"/>
      <c r="DU137" s="222"/>
      <c r="DV137" s="222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</row>
    <row r="138" spans="1:138">
      <c r="A138" s="222"/>
      <c r="B138" s="318"/>
      <c r="C138" s="313" t="s">
        <v>292</v>
      </c>
      <c r="D138" s="322">
        <f>IRR(E136:BX136)*12</f>
        <v>-0.21466918694024129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  <c r="BQ138" s="22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22"/>
      <c r="CO138" s="222"/>
      <c r="CP138" s="222"/>
      <c r="CQ138" s="222"/>
      <c r="CR138" s="222"/>
      <c r="CS138" s="222"/>
      <c r="CT138" s="222"/>
      <c r="CU138" s="222"/>
      <c r="CV138" s="222"/>
      <c r="CW138" s="222"/>
      <c r="CX138" s="222"/>
      <c r="CY138" s="222"/>
      <c r="CZ138" s="222"/>
      <c r="DA138" s="222"/>
      <c r="DB138" s="222"/>
      <c r="DC138" s="222"/>
      <c r="DD138" s="222"/>
      <c r="DE138" s="222"/>
      <c r="DF138" s="222"/>
      <c r="DG138" s="222"/>
      <c r="DH138" s="222"/>
      <c r="DI138" s="222"/>
      <c r="DJ138" s="222"/>
      <c r="DK138" s="222"/>
      <c r="DL138" s="222"/>
      <c r="DM138" s="222"/>
      <c r="DN138" s="222"/>
      <c r="DO138" s="222"/>
      <c r="DP138" s="222"/>
      <c r="DQ138" s="222"/>
      <c r="DR138" s="222"/>
      <c r="DS138" s="222"/>
      <c r="DT138" s="222"/>
      <c r="DU138" s="222"/>
      <c r="DV138" s="222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</row>
    <row r="139" spans="1:138">
      <c r="A139" s="222"/>
      <c r="B139" s="318"/>
      <c r="C139" s="323" t="s">
        <v>300</v>
      </c>
      <c r="D139" s="324">
        <f>-MIN(E131:BL131)</f>
        <v>5550000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  <c r="BQ139" s="22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22"/>
      <c r="CO139" s="222"/>
      <c r="CP139" s="222"/>
      <c r="CQ139" s="222"/>
      <c r="CR139" s="222"/>
      <c r="CS139" s="222"/>
      <c r="CT139" s="222"/>
      <c r="CU139" s="222"/>
      <c r="CV139" s="222"/>
      <c r="CW139" s="222"/>
      <c r="CX139" s="222"/>
      <c r="CY139" s="222"/>
      <c r="CZ139" s="222"/>
      <c r="DA139" s="222"/>
      <c r="DB139" s="222"/>
      <c r="DC139" s="222"/>
      <c r="DD139" s="222"/>
      <c r="DE139" s="222"/>
      <c r="DF139" s="222"/>
      <c r="DG139" s="222"/>
      <c r="DH139" s="222"/>
      <c r="DI139" s="222"/>
      <c r="DJ139" s="222"/>
      <c r="DK139" s="222"/>
      <c r="DL139" s="222"/>
      <c r="DM139" s="222"/>
      <c r="DN139" s="222"/>
      <c r="DO139" s="222"/>
      <c r="DP139" s="222"/>
      <c r="DQ139" s="222"/>
      <c r="DR139" s="222"/>
      <c r="DS139" s="222"/>
      <c r="DT139" s="222"/>
      <c r="DU139" s="222"/>
      <c r="DV139" s="222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</row>
    <row r="140" spans="1:138">
      <c r="A140" s="222"/>
      <c r="B140" s="318"/>
      <c r="C140" s="323" t="s">
        <v>301</v>
      </c>
      <c r="D140" s="324">
        <f>-SUM(M135:BB135)</f>
        <v>0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  <c r="BQ140" s="22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22"/>
      <c r="CO140" s="222"/>
      <c r="CP140" s="222"/>
      <c r="CQ140" s="222"/>
      <c r="CR140" s="222"/>
      <c r="CS140" s="222"/>
      <c r="CT140" s="222"/>
      <c r="CU140" s="222"/>
      <c r="CV140" s="222"/>
      <c r="CW140" s="222"/>
      <c r="CX140" s="222"/>
      <c r="CY140" s="222"/>
      <c r="CZ140" s="222"/>
      <c r="DA140" s="222"/>
      <c r="DB140" s="222"/>
      <c r="DC140" s="222"/>
      <c r="DD140" s="222"/>
      <c r="DE140" s="222"/>
      <c r="DF140" s="222"/>
      <c r="DG140" s="222"/>
      <c r="DH140" s="222"/>
      <c r="DI140" s="222"/>
      <c r="DJ140" s="222"/>
      <c r="DK140" s="222"/>
      <c r="DL140" s="222"/>
      <c r="DM140" s="222"/>
      <c r="DN140" s="222"/>
      <c r="DO140" s="222"/>
      <c r="DP140" s="222"/>
      <c r="DQ140" s="222"/>
      <c r="DR140" s="222"/>
      <c r="DS140" s="222"/>
      <c r="DT140" s="222"/>
      <c r="DU140" s="222"/>
      <c r="DV140" s="222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</row>
    <row r="141" spans="1:138">
      <c r="A141" s="222"/>
      <c r="B141" s="318"/>
      <c r="C141" s="313" t="s">
        <v>302</v>
      </c>
      <c r="D141" s="326">
        <f>D140+D139</f>
        <v>5550000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  <c r="BQ141" s="22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22"/>
      <c r="CO141" s="222"/>
      <c r="CP141" s="222"/>
      <c r="CQ141" s="222"/>
      <c r="CR141" s="222"/>
      <c r="CS141" s="222"/>
      <c r="CT141" s="222"/>
      <c r="CU141" s="222"/>
      <c r="CV141" s="222"/>
      <c r="CW141" s="222"/>
      <c r="CX141" s="222"/>
      <c r="CY141" s="222"/>
      <c r="CZ141" s="222"/>
      <c r="DA141" s="222"/>
      <c r="DB141" s="222"/>
      <c r="DC141" s="222"/>
      <c r="DD141" s="222"/>
      <c r="DE141" s="222"/>
      <c r="DF141" s="222"/>
      <c r="DG141" s="222"/>
      <c r="DH141" s="222"/>
      <c r="DI141" s="222"/>
      <c r="DJ141" s="222"/>
      <c r="DK141" s="222"/>
      <c r="DL141" s="222"/>
      <c r="DM141" s="222"/>
      <c r="DN141" s="222"/>
      <c r="DO141" s="222"/>
      <c r="DP141" s="222"/>
      <c r="DQ141" s="222"/>
      <c r="DR141" s="222"/>
      <c r="DS141" s="222"/>
      <c r="DT141" s="222"/>
      <c r="DU141" s="222"/>
      <c r="DV141" s="222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</row>
    <row r="142" spans="1:138">
      <c r="A142" s="222"/>
      <c r="B142" s="318"/>
      <c r="C142" s="313" t="s">
        <v>303</v>
      </c>
      <c r="D142" s="326">
        <f>BX133+BX134</f>
        <v>0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222"/>
      <c r="AF142" s="222"/>
      <c r="AG142" s="222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222"/>
      <c r="BN142" s="222"/>
      <c r="BO142" s="222"/>
      <c r="BP142" s="222"/>
      <c r="BQ142" s="22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2"/>
      <c r="CV142" s="222"/>
      <c r="CW142" s="222"/>
      <c r="CX142" s="222"/>
      <c r="CY142" s="222"/>
      <c r="CZ142" s="222"/>
      <c r="DA142" s="222"/>
      <c r="DB142" s="222"/>
      <c r="DC142" s="222"/>
      <c r="DD142" s="222"/>
      <c r="DE142" s="222"/>
      <c r="DF142" s="222"/>
      <c r="DG142" s="222"/>
      <c r="DH142" s="222"/>
      <c r="DI142" s="222"/>
      <c r="DJ142" s="222"/>
      <c r="DK142" s="222"/>
      <c r="DL142" s="222"/>
      <c r="DM142" s="222"/>
      <c r="DN142" s="222"/>
      <c r="DO142" s="222"/>
      <c r="DP142" s="222"/>
      <c r="DQ142" s="222"/>
      <c r="DR142" s="222"/>
      <c r="DS142" s="222"/>
      <c r="DT142" s="222"/>
      <c r="DU142" s="222"/>
      <c r="DV142" s="222"/>
      <c r="DW142" s="325"/>
      <c r="DX142" s="325"/>
      <c r="DY142" s="325"/>
      <c r="DZ142" s="325"/>
      <c r="EA142" s="325"/>
      <c r="EB142" s="325"/>
      <c r="EC142" s="325"/>
      <c r="ED142" s="325"/>
      <c r="EE142" s="325"/>
      <c r="EF142" s="325"/>
      <c r="EG142" s="325"/>
      <c r="EH142" s="325"/>
    </row>
    <row r="143" spans="1:138">
      <c r="A143" s="222"/>
      <c r="B143" s="318"/>
      <c r="C143" s="313" t="s">
        <v>147</v>
      </c>
      <c r="D143" s="322">
        <f>(D142-D140)/D141</f>
        <v>0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  <c r="BL143" s="222"/>
      <c r="BM143" s="222"/>
      <c r="BN143" s="222"/>
      <c r="BO143" s="222"/>
      <c r="BP143" s="222"/>
      <c r="BQ143" s="22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22"/>
      <c r="CL143" s="222"/>
      <c r="CM143" s="222"/>
      <c r="CN143" s="222"/>
      <c r="CO143" s="222"/>
      <c r="CP143" s="222"/>
      <c r="CQ143" s="222"/>
      <c r="CR143" s="222"/>
      <c r="CS143" s="222"/>
      <c r="CT143" s="222"/>
      <c r="CU143" s="222"/>
      <c r="CV143" s="222"/>
      <c r="CW143" s="222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2"/>
      <c r="DI143" s="222"/>
      <c r="DJ143" s="222"/>
      <c r="DK143" s="222"/>
      <c r="DL143" s="222"/>
      <c r="DM143" s="222"/>
      <c r="DN143" s="222"/>
      <c r="DO143" s="222"/>
      <c r="DP143" s="222"/>
      <c r="DQ143" s="222"/>
      <c r="DR143" s="222"/>
      <c r="DS143" s="222"/>
      <c r="DT143" s="222"/>
      <c r="DU143" s="222"/>
      <c r="DV143" s="222"/>
      <c r="DW143" s="325"/>
      <c r="DX143" s="325"/>
      <c r="DY143" s="325"/>
      <c r="DZ143" s="325"/>
      <c r="EA143" s="325"/>
      <c r="EB143" s="325"/>
      <c r="EC143" s="325"/>
      <c r="ED143" s="325"/>
      <c r="EE143" s="325"/>
      <c r="EF143" s="325"/>
      <c r="EG143" s="325"/>
      <c r="EH143" s="325"/>
    </row>
    <row r="144" spans="1:138">
      <c r="A144" s="222"/>
      <c r="B144" s="318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AT144" s="222"/>
      <c r="AU144" s="222"/>
      <c r="AV144" s="222"/>
      <c r="AW144" s="222"/>
      <c r="AX144" s="222"/>
      <c r="AY144" s="222"/>
      <c r="AZ144" s="222"/>
      <c r="BA144" s="222"/>
      <c r="BB144" s="222"/>
      <c r="BC144" s="222"/>
      <c r="BD144" s="222"/>
      <c r="BE144" s="222"/>
      <c r="BF144" s="222"/>
      <c r="BG144" s="222"/>
      <c r="BH144" s="222"/>
      <c r="BI144" s="222"/>
      <c r="BJ144" s="222"/>
      <c r="BK144" s="222"/>
      <c r="BL144" s="222"/>
      <c r="BM144" s="222"/>
      <c r="BN144" s="222"/>
      <c r="BO144" s="222"/>
      <c r="BP144" s="222"/>
      <c r="BQ144" s="22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22"/>
      <c r="CL144" s="222"/>
      <c r="CM144" s="222"/>
      <c r="CN144" s="222"/>
      <c r="CO144" s="222"/>
      <c r="CP144" s="222"/>
      <c r="CQ144" s="222"/>
      <c r="CR144" s="222"/>
      <c r="CS144" s="222"/>
      <c r="CT144" s="222"/>
      <c r="CU144" s="222"/>
      <c r="CV144" s="222"/>
      <c r="CW144" s="222"/>
      <c r="CX144" s="222"/>
      <c r="CY144" s="222"/>
      <c r="CZ144" s="222"/>
      <c r="DA144" s="222"/>
      <c r="DB144" s="222"/>
      <c r="DC144" s="222"/>
      <c r="DD144" s="222"/>
      <c r="DE144" s="222"/>
      <c r="DF144" s="222"/>
      <c r="DG144" s="222"/>
      <c r="DH144" s="222"/>
      <c r="DI144" s="222"/>
      <c r="DJ144" s="222"/>
      <c r="DK144" s="222"/>
      <c r="DL144" s="222"/>
      <c r="DM144" s="222"/>
      <c r="DN144" s="222"/>
      <c r="DO144" s="222"/>
      <c r="DP144" s="222"/>
      <c r="DQ144" s="222"/>
      <c r="DR144" s="222"/>
      <c r="DS144" s="222"/>
      <c r="DT144" s="222"/>
      <c r="DU144" s="222"/>
      <c r="DV144" s="222"/>
      <c r="DW144" s="325"/>
      <c r="DX144" s="325"/>
      <c r="DY144" s="325"/>
      <c r="DZ144" s="325"/>
      <c r="EA144" s="325"/>
      <c r="EB144" s="325"/>
      <c r="EC144" s="325"/>
      <c r="ED144" s="325"/>
      <c r="EE144" s="325"/>
      <c r="EF144" s="325"/>
      <c r="EG144" s="325"/>
      <c r="EH144" s="325"/>
    </row>
    <row r="145" spans="1:138">
      <c r="A145" s="222"/>
      <c r="B145" s="318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222"/>
      <c r="AF145" s="222"/>
      <c r="AG145" s="222"/>
      <c r="AH145" s="222"/>
      <c r="AI145" s="222"/>
      <c r="AJ145" s="222"/>
      <c r="AK145" s="222"/>
      <c r="AL145" s="222"/>
      <c r="AM145" s="222"/>
      <c r="AN145" s="222"/>
      <c r="AO145" s="222"/>
      <c r="AP145" s="222"/>
      <c r="AQ145" s="222"/>
      <c r="AR145" s="222"/>
      <c r="AS145" s="222"/>
      <c r="AT145" s="222"/>
      <c r="AU145" s="222"/>
      <c r="AV145" s="222"/>
      <c r="AW145" s="222"/>
      <c r="AX145" s="222"/>
      <c r="AY145" s="222"/>
      <c r="AZ145" s="222"/>
      <c r="BA145" s="222"/>
      <c r="BB145" s="222"/>
      <c r="BC145" s="222"/>
      <c r="BD145" s="222"/>
      <c r="BE145" s="222"/>
      <c r="BF145" s="222"/>
      <c r="BG145" s="222"/>
      <c r="BH145" s="222"/>
      <c r="BI145" s="222"/>
      <c r="BJ145" s="222"/>
      <c r="BK145" s="222"/>
      <c r="BL145" s="222"/>
      <c r="BM145" s="222"/>
      <c r="BN145" s="222"/>
      <c r="BO145" s="222"/>
      <c r="BP145" s="222"/>
      <c r="BQ145" s="222"/>
      <c r="BR145" s="222"/>
      <c r="BS145" s="222"/>
      <c r="BT145" s="22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22"/>
      <c r="CL145" s="222"/>
      <c r="CM145" s="222"/>
      <c r="CN145" s="222"/>
      <c r="CO145" s="222"/>
      <c r="CP145" s="222"/>
      <c r="CQ145" s="222"/>
      <c r="CR145" s="222"/>
      <c r="CS145" s="222"/>
      <c r="CT145" s="222"/>
      <c r="CU145" s="222"/>
      <c r="CV145" s="222"/>
      <c r="CW145" s="222"/>
      <c r="CX145" s="222"/>
      <c r="CY145" s="222"/>
      <c r="CZ145" s="222"/>
      <c r="DA145" s="222"/>
      <c r="DB145" s="222"/>
      <c r="DC145" s="222"/>
      <c r="DD145" s="222"/>
      <c r="DE145" s="222"/>
      <c r="DF145" s="222"/>
      <c r="DG145" s="222"/>
      <c r="DH145" s="222"/>
      <c r="DI145" s="222"/>
      <c r="DJ145" s="222"/>
      <c r="DK145" s="222"/>
      <c r="DL145" s="222"/>
      <c r="DM145" s="222"/>
      <c r="DN145" s="222"/>
      <c r="DO145" s="222"/>
      <c r="DP145" s="222"/>
      <c r="DQ145" s="222"/>
      <c r="DR145" s="222"/>
      <c r="DS145" s="222"/>
      <c r="DT145" s="222"/>
      <c r="DU145" s="222"/>
      <c r="DV145" s="222"/>
      <c r="DW145" s="325"/>
      <c r="DX145" s="325"/>
      <c r="DY145" s="325"/>
      <c r="DZ145" s="325"/>
      <c r="EA145" s="325"/>
      <c r="EB145" s="325"/>
      <c r="EC145" s="325"/>
      <c r="ED145" s="325"/>
      <c r="EE145" s="325"/>
      <c r="EF145" s="325"/>
      <c r="EG145" s="325"/>
      <c r="EH145" s="325"/>
    </row>
    <row r="146" spans="1:138">
      <c r="A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2"/>
      <c r="BN146" s="222"/>
      <c r="BO146" s="222"/>
      <c r="BP146" s="222"/>
      <c r="BQ146" s="222"/>
      <c r="BR146" s="222"/>
      <c r="BS146" s="222"/>
      <c r="BT146" s="22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22"/>
      <c r="CO146" s="222"/>
      <c r="CP146" s="222"/>
      <c r="CQ146" s="222"/>
      <c r="CR146" s="222"/>
      <c r="CS146" s="222"/>
      <c r="CT146" s="222"/>
      <c r="CU146" s="222"/>
      <c r="CV146" s="222"/>
      <c r="CW146" s="222"/>
      <c r="CX146" s="222"/>
      <c r="CY146" s="222"/>
      <c r="CZ146" s="222"/>
      <c r="DA146" s="222"/>
      <c r="DB146" s="222"/>
      <c r="DC146" s="222"/>
      <c r="DD146" s="222"/>
      <c r="DE146" s="222"/>
      <c r="DF146" s="222"/>
      <c r="DG146" s="222"/>
      <c r="DH146" s="222"/>
      <c r="DI146" s="222"/>
      <c r="DJ146" s="222"/>
      <c r="DK146" s="222"/>
      <c r="DL146" s="222"/>
      <c r="DM146" s="222"/>
      <c r="DN146" s="222"/>
      <c r="DO146" s="222"/>
      <c r="DP146" s="222"/>
      <c r="DQ146" s="222"/>
      <c r="DR146" s="222"/>
      <c r="DS146" s="222"/>
      <c r="DT146" s="222"/>
      <c r="DU146" s="222"/>
      <c r="DV146" s="222"/>
      <c r="DW146" s="325"/>
      <c r="DX146" s="325"/>
      <c r="DY146" s="325"/>
      <c r="DZ146" s="325"/>
      <c r="EA146" s="325"/>
      <c r="EB146" s="325"/>
      <c r="EC146" s="325"/>
      <c r="ED146" s="325"/>
      <c r="EE146" s="325"/>
      <c r="EF146" s="325"/>
      <c r="EG146" s="325"/>
      <c r="EH146" s="325"/>
    </row>
    <row r="147" spans="1:138">
      <c r="A147" s="222"/>
      <c r="B147" s="318"/>
      <c r="C147" s="310" t="s">
        <v>307</v>
      </c>
      <c r="D147" s="311"/>
      <c r="E147" s="312">
        <f t="shared" ref="E147:G147" si="51">-(E24+E111)</f>
        <v>0</v>
      </c>
      <c r="F147" s="312">
        <f t="shared" si="51"/>
        <v>0</v>
      </c>
      <c r="G147" s="312">
        <f t="shared" si="51"/>
        <v>0</v>
      </c>
      <c r="H147" s="312">
        <f>-10682501</f>
        <v>-10682501</v>
      </c>
      <c r="I147" s="312">
        <v>0</v>
      </c>
      <c r="J147" s="312">
        <f>-(J24+J111)</f>
        <v>0</v>
      </c>
      <c r="K147" s="312">
        <v>0</v>
      </c>
      <c r="L147" s="312">
        <f t="shared" ref="L147:S147" si="52">-(L24+L111)</f>
        <v>15913.92</v>
      </c>
      <c r="M147" s="312">
        <f t="shared" si="52"/>
        <v>0</v>
      </c>
      <c r="N147" s="312">
        <f t="shared" si="52"/>
        <v>0</v>
      </c>
      <c r="O147" s="312">
        <f t="shared" si="52"/>
        <v>0</v>
      </c>
      <c r="P147" s="312">
        <f t="shared" si="52"/>
        <v>619336.08000000007</v>
      </c>
      <c r="Q147" s="312">
        <f t="shared" si="52"/>
        <v>393250</v>
      </c>
      <c r="R147" s="312">
        <f t="shared" si="52"/>
        <v>393250</v>
      </c>
      <c r="S147" s="312">
        <f t="shared" si="52"/>
        <v>0</v>
      </c>
      <c r="T147" s="312">
        <f>-H147</f>
        <v>10682501</v>
      </c>
      <c r="U147" s="312">
        <f t="shared" ref="U147:BX147" si="53">-(U24+U111)</f>
        <v>0</v>
      </c>
      <c r="V147" s="312">
        <f t="shared" si="53"/>
        <v>0</v>
      </c>
      <c r="W147" s="312">
        <f t="shared" si="53"/>
        <v>0</v>
      </c>
      <c r="X147" s="312">
        <f t="shared" si="53"/>
        <v>0</v>
      </c>
      <c r="Y147" s="312">
        <f t="shared" si="53"/>
        <v>0</v>
      </c>
      <c r="Z147" s="312">
        <f t="shared" si="53"/>
        <v>0</v>
      </c>
      <c r="AA147" s="312">
        <f t="shared" si="53"/>
        <v>0</v>
      </c>
      <c r="AB147" s="312">
        <f t="shared" si="53"/>
        <v>0</v>
      </c>
      <c r="AC147" s="312">
        <f t="shared" si="53"/>
        <v>0</v>
      </c>
      <c r="AD147" s="312">
        <f t="shared" si="53"/>
        <v>0</v>
      </c>
      <c r="AE147" s="312">
        <f t="shared" si="53"/>
        <v>0</v>
      </c>
      <c r="AF147" s="312">
        <f t="shared" si="53"/>
        <v>0</v>
      </c>
      <c r="AG147" s="312">
        <f t="shared" si="53"/>
        <v>0</v>
      </c>
      <c r="AH147" s="312">
        <f t="shared" si="53"/>
        <v>0</v>
      </c>
      <c r="AI147" s="312">
        <f t="shared" si="53"/>
        <v>0</v>
      </c>
      <c r="AJ147" s="312">
        <f t="shared" si="53"/>
        <v>0</v>
      </c>
      <c r="AK147" s="312">
        <f t="shared" si="53"/>
        <v>0</v>
      </c>
      <c r="AL147" s="312">
        <f t="shared" si="53"/>
        <v>0</v>
      </c>
      <c r="AM147" s="312">
        <f t="shared" si="53"/>
        <v>0</v>
      </c>
      <c r="AN147" s="312">
        <f t="shared" si="53"/>
        <v>0</v>
      </c>
      <c r="AO147" s="312">
        <f t="shared" si="53"/>
        <v>0</v>
      </c>
      <c r="AP147" s="312">
        <f t="shared" si="53"/>
        <v>0</v>
      </c>
      <c r="AQ147" s="312">
        <f t="shared" si="53"/>
        <v>0</v>
      </c>
      <c r="AR147" s="312">
        <f t="shared" si="53"/>
        <v>0</v>
      </c>
      <c r="AS147" s="312">
        <f t="shared" si="53"/>
        <v>0</v>
      </c>
      <c r="AT147" s="312">
        <f t="shared" si="53"/>
        <v>0</v>
      </c>
      <c r="AU147" s="312">
        <f t="shared" si="53"/>
        <v>0</v>
      </c>
      <c r="AV147" s="312">
        <f t="shared" si="53"/>
        <v>0</v>
      </c>
      <c r="AW147" s="312">
        <f t="shared" si="53"/>
        <v>0</v>
      </c>
      <c r="AX147" s="312">
        <f t="shared" si="53"/>
        <v>0</v>
      </c>
      <c r="AY147" s="312">
        <f t="shared" si="53"/>
        <v>0</v>
      </c>
      <c r="AZ147" s="312">
        <f t="shared" si="53"/>
        <v>0</v>
      </c>
      <c r="BA147" s="312">
        <f t="shared" si="53"/>
        <v>0</v>
      </c>
      <c r="BB147" s="312">
        <f t="shared" si="53"/>
        <v>0</v>
      </c>
      <c r="BC147" s="312">
        <f t="shared" si="53"/>
        <v>0</v>
      </c>
      <c r="BD147" s="312">
        <f t="shared" si="53"/>
        <v>0</v>
      </c>
      <c r="BE147" s="312">
        <f t="shared" si="53"/>
        <v>0</v>
      </c>
      <c r="BF147" s="312">
        <f t="shared" si="53"/>
        <v>0</v>
      </c>
      <c r="BG147" s="312">
        <f t="shared" si="53"/>
        <v>0</v>
      </c>
      <c r="BH147" s="312">
        <f t="shared" si="53"/>
        <v>0</v>
      </c>
      <c r="BI147" s="312">
        <f t="shared" si="53"/>
        <v>0</v>
      </c>
      <c r="BJ147" s="312">
        <f t="shared" si="53"/>
        <v>0</v>
      </c>
      <c r="BK147" s="312">
        <f t="shared" si="53"/>
        <v>0</v>
      </c>
      <c r="BL147" s="312">
        <f t="shared" si="53"/>
        <v>0</v>
      </c>
      <c r="BM147" s="312">
        <f t="shared" si="53"/>
        <v>0</v>
      </c>
      <c r="BN147" s="312">
        <f t="shared" si="53"/>
        <v>0</v>
      </c>
      <c r="BO147" s="312">
        <f t="shared" si="53"/>
        <v>0</v>
      </c>
      <c r="BP147" s="312">
        <f t="shared" si="53"/>
        <v>0</v>
      </c>
      <c r="BQ147" s="312">
        <f t="shared" si="53"/>
        <v>0</v>
      </c>
      <c r="BR147" s="312">
        <f t="shared" si="53"/>
        <v>0</v>
      </c>
      <c r="BS147" s="312">
        <f t="shared" si="53"/>
        <v>0</v>
      </c>
      <c r="BT147" s="312">
        <f t="shared" si="53"/>
        <v>0</v>
      </c>
      <c r="BU147" s="312">
        <f t="shared" si="53"/>
        <v>0</v>
      </c>
      <c r="BV147" s="312">
        <f t="shared" si="53"/>
        <v>0</v>
      </c>
      <c r="BW147" s="312">
        <f t="shared" si="53"/>
        <v>0</v>
      </c>
      <c r="BX147" s="312">
        <f t="shared" si="53"/>
        <v>0</v>
      </c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22"/>
      <c r="CO147" s="222"/>
      <c r="CP147" s="222"/>
      <c r="CQ147" s="222"/>
      <c r="CR147" s="222"/>
      <c r="CS147" s="222"/>
      <c r="CT147" s="222"/>
      <c r="CU147" s="222"/>
      <c r="CV147" s="222"/>
      <c r="CW147" s="222"/>
      <c r="CX147" s="222"/>
      <c r="CY147" s="222"/>
      <c r="CZ147" s="222"/>
      <c r="DA147" s="222"/>
      <c r="DB147" s="222"/>
      <c r="DC147" s="222"/>
      <c r="DD147" s="222"/>
      <c r="DE147" s="222"/>
      <c r="DF147" s="222"/>
      <c r="DG147" s="222"/>
      <c r="DH147" s="222"/>
      <c r="DI147" s="222"/>
      <c r="DJ147" s="222"/>
      <c r="DK147" s="222"/>
      <c r="DL147" s="222"/>
      <c r="DM147" s="222"/>
      <c r="DN147" s="222"/>
      <c r="DO147" s="222"/>
      <c r="DP147" s="222"/>
      <c r="DQ147" s="222"/>
      <c r="DR147" s="222"/>
      <c r="DS147" s="222"/>
      <c r="DT147" s="222"/>
      <c r="DU147" s="222"/>
      <c r="DV147" s="222"/>
      <c r="DW147" s="222"/>
      <c r="DX147" s="222"/>
      <c r="DY147" s="222"/>
      <c r="DZ147" s="222"/>
      <c r="EA147" s="222"/>
      <c r="EB147" s="222"/>
      <c r="EC147" s="222"/>
      <c r="ED147" s="222"/>
      <c r="EE147" s="222"/>
      <c r="EF147" s="222"/>
      <c r="EG147" s="222"/>
      <c r="EH147" s="222"/>
    </row>
    <row r="148" spans="1:138">
      <c r="A148" s="222"/>
      <c r="B148" s="318"/>
      <c r="C148" s="310" t="s">
        <v>305</v>
      </c>
      <c r="D148" s="319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/>
      <c r="R148" s="311"/>
      <c r="S148" s="311"/>
      <c r="T148" s="311"/>
      <c r="U148" s="311"/>
      <c r="V148" s="311"/>
      <c r="W148" s="311"/>
      <c r="X148" s="311"/>
      <c r="Y148" s="311"/>
      <c r="Z148" s="311"/>
      <c r="AA148" s="311"/>
      <c r="AB148" s="311"/>
      <c r="AC148" s="311"/>
      <c r="AD148" s="311"/>
      <c r="AE148" s="311"/>
      <c r="AF148" s="311"/>
      <c r="AG148" s="311"/>
      <c r="AH148" s="311"/>
      <c r="AI148" s="311"/>
      <c r="AJ148" s="311"/>
      <c r="AK148" s="311"/>
      <c r="AL148" s="311"/>
      <c r="AM148" s="311"/>
      <c r="AN148" s="311"/>
      <c r="AO148" s="311"/>
      <c r="AP148" s="311"/>
      <c r="AQ148" s="311"/>
      <c r="AR148" s="311"/>
      <c r="AS148" s="311"/>
      <c r="AT148" s="311"/>
      <c r="AU148" s="311"/>
      <c r="AV148" s="311"/>
      <c r="AW148" s="311"/>
      <c r="AX148" s="311"/>
      <c r="AY148" s="311"/>
      <c r="AZ148" s="311"/>
      <c r="BA148" s="311"/>
      <c r="BB148" s="311"/>
      <c r="BC148" s="312"/>
      <c r="BD148" s="311"/>
      <c r="BE148" s="311"/>
      <c r="BF148" s="311"/>
      <c r="BG148" s="311"/>
      <c r="BH148" s="311"/>
      <c r="BI148" s="311"/>
      <c r="BJ148" s="311"/>
      <c r="BK148" s="311"/>
      <c r="BL148" s="311"/>
      <c r="BM148" s="311"/>
      <c r="BN148" s="311"/>
      <c r="BO148" s="311"/>
      <c r="BP148" s="311"/>
      <c r="BQ148" s="311"/>
      <c r="BR148" s="311"/>
      <c r="BS148" s="311"/>
      <c r="BT148" s="311"/>
      <c r="BU148" s="311"/>
      <c r="BV148" s="311"/>
      <c r="BW148" s="311"/>
      <c r="BX148" s="311"/>
      <c r="BY148" s="307"/>
      <c r="BZ148" s="307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2"/>
      <c r="CU148" s="222"/>
      <c r="CV148" s="222"/>
      <c r="CW148" s="222"/>
      <c r="CX148" s="222"/>
      <c r="CY148" s="222"/>
      <c r="CZ148" s="222"/>
      <c r="DA148" s="222"/>
      <c r="DB148" s="222"/>
      <c r="DC148" s="222"/>
      <c r="DD148" s="222"/>
      <c r="DE148" s="222"/>
      <c r="DF148" s="222"/>
      <c r="DG148" s="222"/>
      <c r="DH148" s="222"/>
      <c r="DI148" s="222"/>
      <c r="DJ148" s="222"/>
      <c r="DK148" s="222"/>
      <c r="DL148" s="222"/>
      <c r="DM148" s="222"/>
      <c r="DN148" s="222"/>
      <c r="DO148" s="222"/>
      <c r="DP148" s="222"/>
      <c r="DQ148" s="222"/>
      <c r="DR148" s="222"/>
      <c r="DS148" s="222"/>
      <c r="DT148" s="222"/>
      <c r="DU148" s="222"/>
      <c r="DV148" s="222"/>
      <c r="DW148" s="222"/>
      <c r="DX148" s="222"/>
      <c r="DY148" s="222"/>
      <c r="DZ148" s="222"/>
      <c r="EA148" s="222"/>
      <c r="EB148" s="222"/>
      <c r="EC148" s="222"/>
      <c r="ED148" s="222"/>
      <c r="EE148" s="222"/>
      <c r="EF148" s="222"/>
      <c r="EG148" s="222"/>
      <c r="EH148" s="222"/>
    </row>
    <row r="149" spans="1:138">
      <c r="A149" s="222"/>
      <c r="B149" s="318"/>
      <c r="C149" s="310" t="s">
        <v>296</v>
      </c>
      <c r="D149" s="319"/>
      <c r="E149" s="311">
        <f t="shared" ref="E149:BX149" si="54">-E75</f>
        <v>0</v>
      </c>
      <c r="F149" s="311">
        <f t="shared" si="54"/>
        <v>0</v>
      </c>
      <c r="G149" s="311">
        <f t="shared" si="54"/>
        <v>0</v>
      </c>
      <c r="H149" s="311">
        <f t="shared" si="54"/>
        <v>0</v>
      </c>
      <c r="I149" s="311">
        <f t="shared" si="54"/>
        <v>0</v>
      </c>
      <c r="J149" s="311">
        <f t="shared" si="54"/>
        <v>0</v>
      </c>
      <c r="K149" s="311">
        <f t="shared" si="54"/>
        <v>0</v>
      </c>
      <c r="L149" s="311">
        <f t="shared" si="54"/>
        <v>0</v>
      </c>
      <c r="M149" s="311">
        <f t="shared" si="54"/>
        <v>0</v>
      </c>
      <c r="N149" s="311">
        <f t="shared" si="54"/>
        <v>0</v>
      </c>
      <c r="O149" s="311">
        <f t="shared" si="54"/>
        <v>0</v>
      </c>
      <c r="P149" s="311">
        <f t="shared" si="54"/>
        <v>0</v>
      </c>
      <c r="Q149" s="311">
        <f t="shared" si="54"/>
        <v>0</v>
      </c>
      <c r="R149" s="311">
        <f t="shared" si="54"/>
        <v>0</v>
      </c>
      <c r="S149" s="311">
        <f t="shared" si="54"/>
        <v>0</v>
      </c>
      <c r="T149" s="311">
        <f t="shared" si="54"/>
        <v>0</v>
      </c>
      <c r="U149" s="311">
        <f t="shared" si="54"/>
        <v>0</v>
      </c>
      <c r="V149" s="311">
        <f t="shared" si="54"/>
        <v>0</v>
      </c>
      <c r="W149" s="311">
        <f t="shared" si="54"/>
        <v>0</v>
      </c>
      <c r="X149" s="311">
        <f t="shared" si="54"/>
        <v>0</v>
      </c>
      <c r="Y149" s="311">
        <f t="shared" si="54"/>
        <v>0</v>
      </c>
      <c r="Z149" s="311">
        <f t="shared" si="54"/>
        <v>0</v>
      </c>
      <c r="AA149" s="311">
        <f t="shared" si="54"/>
        <v>0</v>
      </c>
      <c r="AB149" s="311">
        <f t="shared" si="54"/>
        <v>0</v>
      </c>
      <c r="AC149" s="311">
        <f t="shared" si="54"/>
        <v>0</v>
      </c>
      <c r="AD149" s="311">
        <f t="shared" si="54"/>
        <v>0</v>
      </c>
      <c r="AE149" s="311">
        <f t="shared" si="54"/>
        <v>0</v>
      </c>
      <c r="AF149" s="311">
        <f t="shared" si="54"/>
        <v>0</v>
      </c>
      <c r="AG149" s="311">
        <f t="shared" si="54"/>
        <v>0</v>
      </c>
      <c r="AH149" s="311">
        <f t="shared" si="54"/>
        <v>0</v>
      </c>
      <c r="AI149" s="311">
        <f t="shared" si="54"/>
        <v>0</v>
      </c>
      <c r="AJ149" s="311">
        <f t="shared" si="54"/>
        <v>0</v>
      </c>
      <c r="AK149" s="311">
        <f t="shared" si="54"/>
        <v>0</v>
      </c>
      <c r="AL149" s="311">
        <f t="shared" si="54"/>
        <v>0</v>
      </c>
      <c r="AM149" s="311">
        <f t="shared" si="54"/>
        <v>0</v>
      </c>
      <c r="AN149" s="311">
        <f t="shared" si="54"/>
        <v>0</v>
      </c>
      <c r="AO149" s="311">
        <f t="shared" si="54"/>
        <v>0</v>
      </c>
      <c r="AP149" s="311">
        <f t="shared" si="54"/>
        <v>0</v>
      </c>
      <c r="AQ149" s="311">
        <f t="shared" si="54"/>
        <v>0</v>
      </c>
      <c r="AR149" s="311">
        <f t="shared" si="54"/>
        <v>0</v>
      </c>
      <c r="AS149" s="311">
        <f t="shared" si="54"/>
        <v>0</v>
      </c>
      <c r="AT149" s="311">
        <f t="shared" si="54"/>
        <v>0</v>
      </c>
      <c r="AU149" s="311">
        <f t="shared" si="54"/>
        <v>0</v>
      </c>
      <c r="AV149" s="311">
        <f t="shared" si="54"/>
        <v>0</v>
      </c>
      <c r="AW149" s="311">
        <f t="shared" si="54"/>
        <v>0</v>
      </c>
      <c r="AX149" s="311">
        <f t="shared" si="54"/>
        <v>0</v>
      </c>
      <c r="AY149" s="311">
        <f t="shared" si="54"/>
        <v>0</v>
      </c>
      <c r="AZ149" s="311">
        <f t="shared" si="54"/>
        <v>0</v>
      </c>
      <c r="BA149" s="311">
        <f t="shared" si="54"/>
        <v>0</v>
      </c>
      <c r="BB149" s="311">
        <f t="shared" si="54"/>
        <v>0</v>
      </c>
      <c r="BC149" s="311">
        <f t="shared" si="54"/>
        <v>0</v>
      </c>
      <c r="BD149" s="311">
        <f t="shared" si="54"/>
        <v>0</v>
      </c>
      <c r="BE149" s="311">
        <f t="shared" si="54"/>
        <v>0</v>
      </c>
      <c r="BF149" s="311">
        <f t="shared" si="54"/>
        <v>0</v>
      </c>
      <c r="BG149" s="311">
        <f t="shared" si="54"/>
        <v>0</v>
      </c>
      <c r="BH149" s="311">
        <f t="shared" si="54"/>
        <v>0</v>
      </c>
      <c r="BI149" s="311">
        <f t="shared" si="54"/>
        <v>0</v>
      </c>
      <c r="BJ149" s="311">
        <f t="shared" si="54"/>
        <v>0</v>
      </c>
      <c r="BK149" s="311">
        <f t="shared" si="54"/>
        <v>0</v>
      </c>
      <c r="BL149" s="311">
        <f t="shared" si="54"/>
        <v>0</v>
      </c>
      <c r="BM149" s="311">
        <f t="shared" si="54"/>
        <v>0</v>
      </c>
      <c r="BN149" s="311">
        <f t="shared" si="54"/>
        <v>0</v>
      </c>
      <c r="BO149" s="311">
        <f t="shared" si="54"/>
        <v>0</v>
      </c>
      <c r="BP149" s="311">
        <f t="shared" si="54"/>
        <v>0</v>
      </c>
      <c r="BQ149" s="311">
        <f t="shared" si="54"/>
        <v>0</v>
      </c>
      <c r="BR149" s="311">
        <f t="shared" si="54"/>
        <v>0</v>
      </c>
      <c r="BS149" s="311">
        <f t="shared" si="54"/>
        <v>0</v>
      </c>
      <c r="BT149" s="311">
        <f t="shared" si="54"/>
        <v>0</v>
      </c>
      <c r="BU149" s="311">
        <f t="shared" si="54"/>
        <v>0</v>
      </c>
      <c r="BV149" s="311">
        <f t="shared" si="54"/>
        <v>0</v>
      </c>
      <c r="BW149" s="311">
        <f t="shared" si="54"/>
        <v>0</v>
      </c>
      <c r="BX149" s="311">
        <f t="shared" si="54"/>
        <v>0</v>
      </c>
      <c r="BY149" s="307"/>
      <c r="BZ149" s="307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22"/>
      <c r="CO149" s="222"/>
      <c r="CP149" s="222"/>
      <c r="CQ149" s="222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222"/>
      <c r="DC149" s="222"/>
      <c r="DD149" s="222"/>
      <c r="DE149" s="222"/>
      <c r="DF149" s="222"/>
      <c r="DG149" s="222"/>
      <c r="DH149" s="222"/>
      <c r="DI149" s="222"/>
      <c r="DJ149" s="222"/>
      <c r="DK149" s="222"/>
      <c r="DL149" s="222"/>
      <c r="DM149" s="222"/>
      <c r="DN149" s="222"/>
      <c r="DO149" s="222"/>
      <c r="DP149" s="222"/>
      <c r="DQ149" s="222"/>
      <c r="DR149" s="222"/>
      <c r="DS149" s="222"/>
      <c r="DT149" s="222"/>
      <c r="DU149" s="222"/>
      <c r="DV149" s="222"/>
      <c r="DW149" s="222"/>
      <c r="DX149" s="222"/>
      <c r="DY149" s="222"/>
      <c r="DZ149" s="222"/>
      <c r="EA149" s="222"/>
      <c r="EB149" s="222"/>
      <c r="EC149" s="222"/>
      <c r="ED149" s="222"/>
      <c r="EE149" s="222"/>
      <c r="EF149" s="222"/>
      <c r="EG149" s="222"/>
      <c r="EH149" s="222"/>
    </row>
    <row r="150" spans="1:138">
      <c r="A150" s="222"/>
      <c r="B150" s="318"/>
      <c r="C150" s="310" t="s">
        <v>297</v>
      </c>
      <c r="D150" s="319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311"/>
      <c r="P150" s="311"/>
      <c r="Q150" s="311"/>
      <c r="R150" s="311"/>
      <c r="S150" s="311"/>
      <c r="T150" s="311">
        <f>5500000</f>
        <v>5500000</v>
      </c>
      <c r="U150" s="311"/>
      <c r="V150" s="311"/>
      <c r="W150" s="311"/>
      <c r="X150" s="311"/>
      <c r="Y150" s="311"/>
      <c r="Z150" s="311"/>
      <c r="AA150" s="311"/>
      <c r="AB150" s="311"/>
      <c r="AC150" s="311"/>
      <c r="AD150" s="311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1"/>
      <c r="AZ150" s="311"/>
      <c r="BA150" s="311"/>
      <c r="BB150" s="311"/>
      <c r="BC150" s="312"/>
      <c r="BD150" s="311"/>
      <c r="BE150" s="311"/>
      <c r="BF150" s="311"/>
      <c r="BG150" s="311"/>
      <c r="BH150" s="311"/>
      <c r="BI150" s="311"/>
      <c r="BJ150" s="311"/>
      <c r="BK150" s="311"/>
      <c r="BL150" s="311"/>
      <c r="BM150" s="311"/>
      <c r="BN150" s="311"/>
      <c r="BO150" s="311"/>
      <c r="BP150" s="311"/>
      <c r="BQ150" s="311"/>
      <c r="BR150" s="311"/>
      <c r="BS150" s="311"/>
      <c r="BT150" s="311"/>
      <c r="BU150" s="311"/>
      <c r="BV150" s="311"/>
      <c r="BW150" s="311"/>
      <c r="BX150" s="311">
        <f>IF(D122&gt;0.25,(BX117-BX125)*D151,BX117*D151)</f>
        <v>0</v>
      </c>
      <c r="BY150" s="307"/>
      <c r="BZ150" s="307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22"/>
      <c r="CO150" s="222"/>
      <c r="CP150" s="222"/>
      <c r="CQ150" s="222"/>
      <c r="CR150" s="222"/>
      <c r="CS150" s="222"/>
      <c r="CT150" s="222"/>
      <c r="CU150" s="222"/>
      <c r="CV150" s="222"/>
      <c r="CW150" s="222"/>
      <c r="CX150" s="222"/>
      <c r="CY150" s="222"/>
      <c r="CZ150" s="222"/>
      <c r="DA150" s="222"/>
      <c r="DB150" s="222"/>
      <c r="DC150" s="222"/>
      <c r="DD150" s="222"/>
      <c r="DE150" s="222"/>
      <c r="DF150" s="222"/>
      <c r="DG150" s="222"/>
      <c r="DH150" s="222"/>
      <c r="DI150" s="222"/>
      <c r="DJ150" s="222"/>
      <c r="DK150" s="222"/>
      <c r="DL150" s="222"/>
      <c r="DM150" s="222"/>
      <c r="DN150" s="222"/>
      <c r="DO150" s="222"/>
      <c r="DP150" s="222"/>
      <c r="DQ150" s="222"/>
      <c r="DR150" s="222"/>
      <c r="DS150" s="222"/>
      <c r="DT150" s="222"/>
      <c r="DU150" s="222"/>
      <c r="DV150" s="222"/>
      <c r="DW150" s="222"/>
      <c r="DX150" s="222"/>
      <c r="DY150" s="222"/>
      <c r="DZ150" s="222"/>
      <c r="EA150" s="222"/>
      <c r="EB150" s="222"/>
      <c r="EC150" s="222"/>
      <c r="ED150" s="222"/>
      <c r="EE150" s="222"/>
      <c r="EF150" s="222"/>
      <c r="EG150" s="222"/>
      <c r="EH150" s="222"/>
    </row>
    <row r="151" spans="1:138">
      <c r="A151" s="222"/>
      <c r="B151" s="318"/>
      <c r="C151" s="313" t="s">
        <v>298</v>
      </c>
      <c r="D151" s="319">
        <v>0</v>
      </c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311"/>
      <c r="AA151" s="311"/>
      <c r="AB151" s="311"/>
      <c r="AC151" s="311"/>
      <c r="AD151" s="311"/>
      <c r="AE151" s="311"/>
      <c r="AF151" s="311"/>
      <c r="AG151" s="311"/>
      <c r="AH151" s="311"/>
      <c r="AI151" s="311"/>
      <c r="AJ151" s="311"/>
      <c r="AK151" s="311"/>
      <c r="AL151" s="311"/>
      <c r="AM151" s="311"/>
      <c r="AN151" s="311"/>
      <c r="AO151" s="311"/>
      <c r="AP151" s="311"/>
      <c r="AQ151" s="311"/>
      <c r="AR151" s="311"/>
      <c r="AS151" s="311"/>
      <c r="AT151" s="311"/>
      <c r="AU151" s="311"/>
      <c r="AV151" s="311"/>
      <c r="AW151" s="311"/>
      <c r="AX151" s="311"/>
      <c r="AY151" s="311"/>
      <c r="AZ151" s="311"/>
      <c r="BA151" s="311"/>
      <c r="BB151" s="311"/>
      <c r="BC151" s="312"/>
      <c r="BD151" s="311"/>
      <c r="BE151" s="311"/>
      <c r="BF151" s="311"/>
      <c r="BG151" s="311"/>
      <c r="BH151" s="311"/>
      <c r="BI151" s="311"/>
      <c r="BJ151" s="311"/>
      <c r="BK151" s="311"/>
      <c r="BL151" s="311"/>
      <c r="BM151" s="311"/>
      <c r="BN151" s="311"/>
      <c r="BO151" s="311"/>
      <c r="BP151" s="311"/>
      <c r="BQ151" s="311"/>
      <c r="BR151" s="311"/>
      <c r="BS151" s="311"/>
      <c r="BT151" s="311"/>
      <c r="BU151" s="311"/>
      <c r="BV151" s="311"/>
      <c r="BW151" s="311"/>
      <c r="BX151" s="311"/>
      <c r="BY151" s="307"/>
      <c r="BZ151" s="307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222"/>
      <c r="DX151" s="222"/>
      <c r="DY151" s="222"/>
      <c r="DZ151" s="222"/>
      <c r="EA151" s="222"/>
      <c r="EB151" s="222"/>
      <c r="EC151" s="222"/>
      <c r="ED151" s="222"/>
      <c r="EE151" s="222"/>
      <c r="EF151" s="222"/>
      <c r="EG151" s="222"/>
      <c r="EH151" s="222"/>
    </row>
    <row r="152" spans="1:138">
      <c r="A152" s="222"/>
      <c r="B152" s="318"/>
      <c r="C152" s="310" t="s">
        <v>299</v>
      </c>
      <c r="D152" s="311"/>
      <c r="E152" s="321">
        <f t="shared" ref="E152:BX152" si="55">E147+E148+E149+E150+E151</f>
        <v>0</v>
      </c>
      <c r="F152" s="321">
        <f t="shared" si="55"/>
        <v>0</v>
      </c>
      <c r="G152" s="321">
        <f t="shared" si="55"/>
        <v>0</v>
      </c>
      <c r="H152" s="321">
        <f t="shared" si="55"/>
        <v>-10682501</v>
      </c>
      <c r="I152" s="321">
        <f t="shared" si="55"/>
        <v>0</v>
      </c>
      <c r="J152" s="321">
        <f t="shared" si="55"/>
        <v>0</v>
      </c>
      <c r="K152" s="321">
        <f t="shared" si="55"/>
        <v>0</v>
      </c>
      <c r="L152" s="321">
        <f t="shared" si="55"/>
        <v>15913.92</v>
      </c>
      <c r="M152" s="321">
        <f t="shared" si="55"/>
        <v>0</v>
      </c>
      <c r="N152" s="321">
        <f t="shared" si="55"/>
        <v>0</v>
      </c>
      <c r="O152" s="321">
        <f t="shared" si="55"/>
        <v>0</v>
      </c>
      <c r="P152" s="321">
        <f t="shared" si="55"/>
        <v>619336.08000000007</v>
      </c>
      <c r="Q152" s="321">
        <f t="shared" si="55"/>
        <v>393250</v>
      </c>
      <c r="R152" s="321">
        <f t="shared" si="55"/>
        <v>393250</v>
      </c>
      <c r="S152" s="321">
        <f t="shared" si="55"/>
        <v>0</v>
      </c>
      <c r="T152" s="321">
        <f t="shared" si="55"/>
        <v>16182501</v>
      </c>
      <c r="U152" s="321">
        <f t="shared" si="55"/>
        <v>0</v>
      </c>
      <c r="V152" s="321">
        <f t="shared" si="55"/>
        <v>0</v>
      </c>
      <c r="W152" s="321">
        <f t="shared" si="55"/>
        <v>0</v>
      </c>
      <c r="X152" s="321">
        <f t="shared" si="55"/>
        <v>0</v>
      </c>
      <c r="Y152" s="321">
        <f t="shared" si="55"/>
        <v>0</v>
      </c>
      <c r="Z152" s="321">
        <f t="shared" si="55"/>
        <v>0</v>
      </c>
      <c r="AA152" s="321">
        <f t="shared" si="55"/>
        <v>0</v>
      </c>
      <c r="AB152" s="321">
        <f t="shared" si="55"/>
        <v>0</v>
      </c>
      <c r="AC152" s="321">
        <f t="shared" si="55"/>
        <v>0</v>
      </c>
      <c r="AD152" s="321">
        <f t="shared" si="55"/>
        <v>0</v>
      </c>
      <c r="AE152" s="321">
        <f t="shared" si="55"/>
        <v>0</v>
      </c>
      <c r="AF152" s="321">
        <f t="shared" si="55"/>
        <v>0</v>
      </c>
      <c r="AG152" s="321">
        <f t="shared" si="55"/>
        <v>0</v>
      </c>
      <c r="AH152" s="321">
        <f t="shared" si="55"/>
        <v>0</v>
      </c>
      <c r="AI152" s="321">
        <f t="shared" si="55"/>
        <v>0</v>
      </c>
      <c r="AJ152" s="321">
        <f t="shared" si="55"/>
        <v>0</v>
      </c>
      <c r="AK152" s="321">
        <f t="shared" si="55"/>
        <v>0</v>
      </c>
      <c r="AL152" s="321">
        <f t="shared" si="55"/>
        <v>0</v>
      </c>
      <c r="AM152" s="321">
        <f t="shared" si="55"/>
        <v>0</v>
      </c>
      <c r="AN152" s="321">
        <f t="shared" si="55"/>
        <v>0</v>
      </c>
      <c r="AO152" s="321">
        <f t="shared" si="55"/>
        <v>0</v>
      </c>
      <c r="AP152" s="321">
        <f t="shared" si="55"/>
        <v>0</v>
      </c>
      <c r="AQ152" s="321">
        <f t="shared" si="55"/>
        <v>0</v>
      </c>
      <c r="AR152" s="321">
        <f t="shared" si="55"/>
        <v>0</v>
      </c>
      <c r="AS152" s="321">
        <f t="shared" si="55"/>
        <v>0</v>
      </c>
      <c r="AT152" s="321">
        <f t="shared" si="55"/>
        <v>0</v>
      </c>
      <c r="AU152" s="321">
        <f t="shared" si="55"/>
        <v>0</v>
      </c>
      <c r="AV152" s="321">
        <f t="shared" si="55"/>
        <v>0</v>
      </c>
      <c r="AW152" s="321">
        <f t="shared" si="55"/>
        <v>0</v>
      </c>
      <c r="AX152" s="321">
        <f t="shared" si="55"/>
        <v>0</v>
      </c>
      <c r="AY152" s="321">
        <f t="shared" si="55"/>
        <v>0</v>
      </c>
      <c r="AZ152" s="321">
        <f t="shared" si="55"/>
        <v>0</v>
      </c>
      <c r="BA152" s="321">
        <f t="shared" si="55"/>
        <v>0</v>
      </c>
      <c r="BB152" s="321">
        <f t="shared" si="55"/>
        <v>0</v>
      </c>
      <c r="BC152" s="321">
        <f t="shared" si="55"/>
        <v>0</v>
      </c>
      <c r="BD152" s="321">
        <f t="shared" si="55"/>
        <v>0</v>
      </c>
      <c r="BE152" s="321">
        <f t="shared" si="55"/>
        <v>0</v>
      </c>
      <c r="BF152" s="321">
        <f t="shared" si="55"/>
        <v>0</v>
      </c>
      <c r="BG152" s="321">
        <f t="shared" si="55"/>
        <v>0</v>
      </c>
      <c r="BH152" s="321">
        <f t="shared" si="55"/>
        <v>0</v>
      </c>
      <c r="BI152" s="321">
        <f t="shared" si="55"/>
        <v>0</v>
      </c>
      <c r="BJ152" s="321">
        <f t="shared" si="55"/>
        <v>0</v>
      </c>
      <c r="BK152" s="321">
        <f t="shared" si="55"/>
        <v>0</v>
      </c>
      <c r="BL152" s="321">
        <f t="shared" si="55"/>
        <v>0</v>
      </c>
      <c r="BM152" s="321">
        <f t="shared" si="55"/>
        <v>0</v>
      </c>
      <c r="BN152" s="321">
        <f t="shared" si="55"/>
        <v>0</v>
      </c>
      <c r="BO152" s="321">
        <f t="shared" si="55"/>
        <v>0</v>
      </c>
      <c r="BP152" s="321">
        <f t="shared" si="55"/>
        <v>0</v>
      </c>
      <c r="BQ152" s="321">
        <f t="shared" si="55"/>
        <v>0</v>
      </c>
      <c r="BR152" s="321">
        <f t="shared" si="55"/>
        <v>0</v>
      </c>
      <c r="BS152" s="321">
        <f t="shared" si="55"/>
        <v>0</v>
      </c>
      <c r="BT152" s="321">
        <f t="shared" si="55"/>
        <v>0</v>
      </c>
      <c r="BU152" s="321">
        <f t="shared" si="55"/>
        <v>0</v>
      </c>
      <c r="BV152" s="321">
        <f t="shared" si="55"/>
        <v>0</v>
      </c>
      <c r="BW152" s="321">
        <f t="shared" si="55"/>
        <v>0</v>
      </c>
      <c r="BX152" s="321">
        <f t="shared" si="55"/>
        <v>0</v>
      </c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22"/>
      <c r="CO152" s="222"/>
      <c r="CP152" s="222"/>
      <c r="CQ152" s="222"/>
      <c r="CR152" s="222"/>
      <c r="CS152" s="222"/>
      <c r="CT152" s="222"/>
      <c r="CU152" s="222"/>
      <c r="CV152" s="222"/>
      <c r="CW152" s="222"/>
      <c r="CX152" s="222"/>
      <c r="CY152" s="222"/>
      <c r="CZ152" s="222"/>
      <c r="DA152" s="222"/>
      <c r="DB152" s="222"/>
      <c r="DC152" s="222"/>
      <c r="DD152" s="222"/>
      <c r="DE152" s="222"/>
      <c r="DF152" s="222"/>
      <c r="DG152" s="222"/>
      <c r="DH152" s="222"/>
      <c r="DI152" s="222"/>
      <c r="DJ152" s="222"/>
      <c r="DK152" s="222"/>
      <c r="DL152" s="222"/>
      <c r="DM152" s="222"/>
      <c r="DN152" s="222"/>
      <c r="DO152" s="222"/>
      <c r="DP152" s="222"/>
      <c r="DQ152" s="222"/>
      <c r="DR152" s="222"/>
      <c r="DS152" s="222"/>
      <c r="DT152" s="222"/>
      <c r="DU152" s="222"/>
      <c r="DV152" s="222"/>
      <c r="DW152" s="222"/>
      <c r="DX152" s="222"/>
      <c r="DY152" s="222"/>
      <c r="DZ152" s="222"/>
      <c r="EA152" s="222"/>
      <c r="EB152" s="222"/>
      <c r="EC152" s="222"/>
      <c r="ED152" s="222"/>
      <c r="EE152" s="222"/>
      <c r="EF152" s="222"/>
      <c r="EG152" s="222"/>
      <c r="EH152" s="222"/>
    </row>
    <row r="153" spans="1:138">
      <c r="A153" s="222"/>
      <c r="B153" s="318"/>
      <c r="C153" s="314"/>
      <c r="D153" s="322" t="s">
        <v>306</v>
      </c>
      <c r="E153" s="327">
        <f>E152</f>
        <v>0</v>
      </c>
      <c r="F153" s="327">
        <f t="shared" ref="F153:BX153" si="56">E153+F152</f>
        <v>0</v>
      </c>
      <c r="G153" s="327">
        <f t="shared" si="56"/>
        <v>0</v>
      </c>
      <c r="H153" s="327">
        <f t="shared" si="56"/>
        <v>-10682501</v>
      </c>
      <c r="I153" s="327">
        <f t="shared" si="56"/>
        <v>-10682501</v>
      </c>
      <c r="J153" s="327">
        <f t="shared" si="56"/>
        <v>-10682501</v>
      </c>
      <c r="K153" s="327">
        <f t="shared" si="56"/>
        <v>-10682501</v>
      </c>
      <c r="L153" s="327">
        <f t="shared" si="56"/>
        <v>-10666587.08</v>
      </c>
      <c r="M153" s="327">
        <f t="shared" si="56"/>
        <v>-10666587.08</v>
      </c>
      <c r="N153" s="327">
        <f t="shared" si="56"/>
        <v>-10666587.08</v>
      </c>
      <c r="O153" s="327">
        <f t="shared" si="56"/>
        <v>-10666587.08</v>
      </c>
      <c r="P153" s="327">
        <f t="shared" si="56"/>
        <v>-10047251</v>
      </c>
      <c r="Q153" s="327">
        <f t="shared" si="56"/>
        <v>-9654001</v>
      </c>
      <c r="R153" s="327">
        <f t="shared" si="56"/>
        <v>-9260751</v>
      </c>
      <c r="S153" s="327">
        <f t="shared" si="56"/>
        <v>-9260751</v>
      </c>
      <c r="T153" s="327">
        <f t="shared" si="56"/>
        <v>6921750</v>
      </c>
      <c r="U153" s="327">
        <f t="shared" si="56"/>
        <v>6921750</v>
      </c>
      <c r="V153" s="328">
        <f t="shared" si="56"/>
        <v>6921750</v>
      </c>
      <c r="W153" s="328">
        <f t="shared" si="56"/>
        <v>6921750</v>
      </c>
      <c r="X153" s="328">
        <f t="shared" si="56"/>
        <v>6921750</v>
      </c>
      <c r="Y153" s="328">
        <f t="shared" si="56"/>
        <v>6921750</v>
      </c>
      <c r="Z153" s="328">
        <f t="shared" si="56"/>
        <v>6921750</v>
      </c>
      <c r="AA153" s="328">
        <f t="shared" si="56"/>
        <v>6921750</v>
      </c>
      <c r="AB153" s="328">
        <f t="shared" si="56"/>
        <v>6921750</v>
      </c>
      <c r="AC153" s="328">
        <f t="shared" si="56"/>
        <v>6921750</v>
      </c>
      <c r="AD153" s="328">
        <f t="shared" si="56"/>
        <v>6921750</v>
      </c>
      <c r="AE153" s="328">
        <f t="shared" si="56"/>
        <v>6921750</v>
      </c>
      <c r="AF153" s="328">
        <f t="shared" si="56"/>
        <v>6921750</v>
      </c>
      <c r="AG153" s="328">
        <f t="shared" si="56"/>
        <v>6921750</v>
      </c>
      <c r="AH153" s="328">
        <f t="shared" si="56"/>
        <v>6921750</v>
      </c>
      <c r="AI153" s="328">
        <f t="shared" si="56"/>
        <v>6921750</v>
      </c>
      <c r="AJ153" s="328">
        <f t="shared" si="56"/>
        <v>6921750</v>
      </c>
      <c r="AK153" s="328">
        <f t="shared" si="56"/>
        <v>6921750</v>
      </c>
      <c r="AL153" s="328">
        <f t="shared" si="56"/>
        <v>6921750</v>
      </c>
      <c r="AM153" s="328">
        <f t="shared" si="56"/>
        <v>6921750</v>
      </c>
      <c r="AN153" s="328">
        <f t="shared" si="56"/>
        <v>6921750</v>
      </c>
      <c r="AO153" s="328">
        <f t="shared" si="56"/>
        <v>6921750</v>
      </c>
      <c r="AP153" s="328">
        <f t="shared" si="56"/>
        <v>6921750</v>
      </c>
      <c r="AQ153" s="328">
        <f t="shared" si="56"/>
        <v>6921750</v>
      </c>
      <c r="AR153" s="328">
        <f t="shared" si="56"/>
        <v>6921750</v>
      </c>
      <c r="AS153" s="328">
        <f t="shared" si="56"/>
        <v>6921750</v>
      </c>
      <c r="AT153" s="328">
        <f t="shared" si="56"/>
        <v>6921750</v>
      </c>
      <c r="AU153" s="328">
        <f t="shared" si="56"/>
        <v>6921750</v>
      </c>
      <c r="AV153" s="328">
        <f t="shared" si="56"/>
        <v>6921750</v>
      </c>
      <c r="AW153" s="328">
        <f t="shared" si="56"/>
        <v>6921750</v>
      </c>
      <c r="AX153" s="328">
        <f t="shared" si="56"/>
        <v>6921750</v>
      </c>
      <c r="AY153" s="328">
        <f t="shared" si="56"/>
        <v>6921750</v>
      </c>
      <c r="AZ153" s="328">
        <f t="shared" si="56"/>
        <v>6921750</v>
      </c>
      <c r="BA153" s="328">
        <f t="shared" si="56"/>
        <v>6921750</v>
      </c>
      <c r="BB153" s="328">
        <f t="shared" si="56"/>
        <v>6921750</v>
      </c>
      <c r="BC153" s="327">
        <f t="shared" si="56"/>
        <v>6921750</v>
      </c>
      <c r="BD153" s="327">
        <f t="shared" si="56"/>
        <v>6921750</v>
      </c>
      <c r="BE153" s="327">
        <f t="shared" si="56"/>
        <v>6921750</v>
      </c>
      <c r="BF153" s="327">
        <f t="shared" si="56"/>
        <v>6921750</v>
      </c>
      <c r="BG153" s="327">
        <f t="shared" si="56"/>
        <v>6921750</v>
      </c>
      <c r="BH153" s="327">
        <f t="shared" si="56"/>
        <v>6921750</v>
      </c>
      <c r="BI153" s="327">
        <f t="shared" si="56"/>
        <v>6921750</v>
      </c>
      <c r="BJ153" s="327">
        <f t="shared" si="56"/>
        <v>6921750</v>
      </c>
      <c r="BK153" s="327">
        <f t="shared" si="56"/>
        <v>6921750</v>
      </c>
      <c r="BL153" s="327">
        <f t="shared" si="56"/>
        <v>6921750</v>
      </c>
      <c r="BM153" s="327">
        <f t="shared" si="56"/>
        <v>6921750</v>
      </c>
      <c r="BN153" s="327">
        <f t="shared" si="56"/>
        <v>6921750</v>
      </c>
      <c r="BO153" s="327">
        <f t="shared" si="56"/>
        <v>6921750</v>
      </c>
      <c r="BP153" s="327">
        <f t="shared" si="56"/>
        <v>6921750</v>
      </c>
      <c r="BQ153" s="327">
        <f t="shared" si="56"/>
        <v>6921750</v>
      </c>
      <c r="BR153" s="327">
        <f t="shared" si="56"/>
        <v>6921750</v>
      </c>
      <c r="BS153" s="327">
        <f t="shared" si="56"/>
        <v>6921750</v>
      </c>
      <c r="BT153" s="327">
        <f t="shared" si="56"/>
        <v>6921750</v>
      </c>
      <c r="BU153" s="327">
        <f t="shared" si="56"/>
        <v>6921750</v>
      </c>
      <c r="BV153" s="327">
        <f t="shared" si="56"/>
        <v>6921750</v>
      </c>
      <c r="BW153" s="327">
        <f t="shared" si="56"/>
        <v>6921750</v>
      </c>
      <c r="BX153" s="327">
        <f t="shared" si="56"/>
        <v>6921750</v>
      </c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22"/>
      <c r="CO153" s="222"/>
      <c r="CP153" s="222"/>
      <c r="CQ153" s="222"/>
      <c r="CR153" s="222"/>
      <c r="CS153" s="222"/>
      <c r="CT153" s="222"/>
      <c r="CU153" s="222"/>
      <c r="CV153" s="222"/>
      <c r="CW153" s="222"/>
      <c r="CX153" s="222"/>
      <c r="CY153" s="222"/>
      <c r="CZ153" s="222"/>
      <c r="DA153" s="222"/>
      <c r="DB153" s="222"/>
      <c r="DC153" s="222"/>
      <c r="DD153" s="222"/>
      <c r="DE153" s="222"/>
      <c r="DF153" s="222"/>
      <c r="DG153" s="222"/>
      <c r="DH153" s="222"/>
      <c r="DI153" s="222"/>
      <c r="DJ153" s="222"/>
      <c r="DK153" s="222"/>
      <c r="DL153" s="222"/>
      <c r="DM153" s="222"/>
      <c r="DN153" s="222"/>
      <c r="DO153" s="222"/>
      <c r="DP153" s="222"/>
      <c r="DQ153" s="222"/>
      <c r="DR153" s="222"/>
      <c r="DS153" s="222"/>
      <c r="DT153" s="222"/>
      <c r="DU153" s="222"/>
      <c r="DV153" s="222"/>
      <c r="DW153" s="222"/>
      <c r="DX153" s="222"/>
      <c r="DY153" s="222"/>
      <c r="DZ153" s="222"/>
      <c r="EA153" s="222"/>
      <c r="EB153" s="222"/>
      <c r="EC153" s="222"/>
      <c r="ED153" s="222"/>
      <c r="EE153" s="222"/>
      <c r="EF153" s="222"/>
      <c r="EG153" s="222"/>
      <c r="EH153" s="222"/>
    </row>
    <row r="154" spans="1:138">
      <c r="A154" s="222"/>
      <c r="B154" s="318"/>
      <c r="C154" s="313" t="s">
        <v>292</v>
      </c>
      <c r="D154" s="322">
        <f>IRR(H152:T152)*12</f>
        <v>0.52245640286799322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2"/>
      <c r="BN154" s="222"/>
      <c r="BO154" s="222"/>
      <c r="BP154" s="222"/>
      <c r="BQ154" s="22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22"/>
      <c r="CO154" s="222"/>
      <c r="CP154" s="222"/>
      <c r="CQ154" s="222"/>
      <c r="CR154" s="222"/>
      <c r="CS154" s="222"/>
      <c r="CT154" s="222"/>
      <c r="CU154" s="222"/>
      <c r="CV154" s="222"/>
      <c r="CW154" s="222"/>
      <c r="CX154" s="222"/>
      <c r="CY154" s="222"/>
      <c r="CZ154" s="222"/>
      <c r="DA154" s="222"/>
      <c r="DB154" s="222"/>
      <c r="DC154" s="222"/>
      <c r="DD154" s="222"/>
      <c r="DE154" s="222"/>
      <c r="DF154" s="222"/>
      <c r="DG154" s="222"/>
      <c r="DH154" s="222"/>
      <c r="DI154" s="222"/>
      <c r="DJ154" s="222"/>
      <c r="DK154" s="222"/>
      <c r="DL154" s="222"/>
      <c r="DM154" s="222"/>
      <c r="DN154" s="222"/>
      <c r="DO154" s="222"/>
      <c r="DP154" s="222"/>
      <c r="DQ154" s="222"/>
      <c r="DR154" s="222"/>
      <c r="DS154" s="222"/>
      <c r="DT154" s="222"/>
      <c r="DU154" s="222"/>
      <c r="DV154" s="222"/>
      <c r="DW154" s="222"/>
      <c r="DX154" s="222"/>
      <c r="DY154" s="222"/>
      <c r="DZ154" s="222"/>
      <c r="EA154" s="222"/>
      <c r="EB154" s="222"/>
      <c r="EC154" s="222"/>
      <c r="ED154" s="222"/>
      <c r="EE154" s="222"/>
      <c r="EF154" s="222"/>
      <c r="EG154" s="222"/>
      <c r="EH154" s="222"/>
    </row>
    <row r="155" spans="1:138">
      <c r="A155" s="222"/>
      <c r="B155" s="318"/>
      <c r="C155" s="323" t="s">
        <v>300</v>
      </c>
      <c r="D155" s="324">
        <f>-MIN(M153:BL153)-D156</f>
        <v>10666587.08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  <c r="BQ155" s="22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22"/>
      <c r="CO155" s="222"/>
      <c r="CP155" s="222"/>
      <c r="CQ155" s="222"/>
      <c r="CR155" s="222"/>
      <c r="CS155" s="222"/>
      <c r="CT155" s="222"/>
      <c r="CU155" s="222"/>
      <c r="CV155" s="222"/>
      <c r="CW155" s="222"/>
      <c r="CX155" s="222"/>
      <c r="CY155" s="222"/>
      <c r="CZ155" s="222"/>
      <c r="DA155" s="222"/>
      <c r="DB155" s="222"/>
      <c r="DC155" s="222"/>
      <c r="DD155" s="222"/>
      <c r="DE155" s="222"/>
      <c r="DF155" s="222"/>
      <c r="DG155" s="222"/>
      <c r="DH155" s="222"/>
      <c r="DI155" s="222"/>
      <c r="DJ155" s="222"/>
      <c r="DK155" s="222"/>
      <c r="DL155" s="222"/>
      <c r="DM155" s="222"/>
      <c r="DN155" s="222"/>
      <c r="DO155" s="222"/>
      <c r="DP155" s="222"/>
      <c r="DQ155" s="222"/>
      <c r="DR155" s="222"/>
      <c r="DS155" s="222"/>
      <c r="DT155" s="222"/>
      <c r="DU155" s="222"/>
      <c r="DV155" s="222"/>
      <c r="DW155" s="222"/>
      <c r="DX155" s="222"/>
      <c r="DY155" s="222"/>
      <c r="DZ155" s="222"/>
      <c r="EA155" s="222"/>
      <c r="EB155" s="222"/>
      <c r="EC155" s="222"/>
      <c r="ED155" s="222"/>
      <c r="EE155" s="222"/>
      <c r="EF155" s="222"/>
      <c r="EG155" s="222"/>
      <c r="EH155" s="222"/>
    </row>
    <row r="156" spans="1:138">
      <c r="A156" s="222"/>
      <c r="B156" s="318"/>
      <c r="C156" s="323" t="s">
        <v>301</v>
      </c>
      <c r="D156" s="324">
        <f>-SUM(M151:BB151)</f>
        <v>0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2"/>
      <c r="BN156" s="222"/>
      <c r="BO156" s="222"/>
      <c r="BP156" s="222"/>
      <c r="BQ156" s="222"/>
      <c r="BR156" s="222"/>
      <c r="BS156" s="222"/>
      <c r="BT156" s="222"/>
      <c r="BU156" s="222"/>
      <c r="BV156" s="222"/>
      <c r="BW156" s="222"/>
      <c r="BX156" s="222"/>
      <c r="BY156" s="222"/>
      <c r="BZ156" s="222"/>
      <c r="CA156" s="222"/>
      <c r="CB156" s="222"/>
      <c r="CC156" s="222"/>
      <c r="CD156" s="222"/>
      <c r="CE156" s="222"/>
      <c r="CF156" s="222"/>
      <c r="CG156" s="222"/>
      <c r="CH156" s="222"/>
      <c r="CI156" s="222"/>
      <c r="CJ156" s="222"/>
      <c r="CK156" s="222"/>
      <c r="CL156" s="222"/>
      <c r="CM156" s="222"/>
      <c r="CN156" s="222"/>
      <c r="CO156" s="222"/>
      <c r="CP156" s="222"/>
      <c r="CQ156" s="222"/>
      <c r="CR156" s="222"/>
      <c r="CS156" s="222"/>
      <c r="CT156" s="222"/>
      <c r="CU156" s="222"/>
      <c r="CV156" s="222"/>
      <c r="CW156" s="222"/>
      <c r="CX156" s="222"/>
      <c r="CY156" s="222"/>
      <c r="CZ156" s="222"/>
      <c r="DA156" s="222"/>
      <c r="DB156" s="222"/>
      <c r="DC156" s="222"/>
      <c r="DD156" s="222"/>
      <c r="DE156" s="222"/>
      <c r="DF156" s="222"/>
      <c r="DG156" s="222"/>
      <c r="DH156" s="222"/>
      <c r="DI156" s="222"/>
      <c r="DJ156" s="222"/>
      <c r="DK156" s="222"/>
      <c r="DL156" s="222"/>
      <c r="DM156" s="222"/>
      <c r="DN156" s="222"/>
      <c r="DO156" s="222"/>
      <c r="DP156" s="222"/>
      <c r="DQ156" s="222"/>
      <c r="DR156" s="222"/>
      <c r="DS156" s="222"/>
      <c r="DT156" s="222"/>
      <c r="DU156" s="222"/>
      <c r="DV156" s="222"/>
      <c r="DW156" s="222"/>
      <c r="DX156" s="222"/>
      <c r="DY156" s="222"/>
      <c r="DZ156" s="222"/>
      <c r="EA156" s="222"/>
      <c r="EB156" s="222"/>
      <c r="EC156" s="222"/>
      <c r="ED156" s="222"/>
      <c r="EE156" s="222"/>
      <c r="EF156" s="222"/>
      <c r="EG156" s="222"/>
      <c r="EH156" s="222"/>
    </row>
    <row r="157" spans="1:138">
      <c r="A157" s="222"/>
      <c r="B157" s="318"/>
      <c r="C157" s="313" t="s">
        <v>302</v>
      </c>
      <c r="D157" s="326">
        <f>D156+D155</f>
        <v>10666587.08</v>
      </c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  <c r="BQ157" s="222"/>
      <c r="BR157" s="222"/>
      <c r="BS157" s="222"/>
      <c r="BT157" s="222"/>
      <c r="BU157" s="222"/>
      <c r="BV157" s="222"/>
      <c r="BW157" s="222"/>
      <c r="BX157" s="222"/>
      <c r="BY157" s="222"/>
      <c r="BZ157" s="222"/>
      <c r="CA157" s="222"/>
      <c r="CB157" s="222"/>
      <c r="CC157" s="222"/>
      <c r="CD157" s="222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2"/>
      <c r="CV157" s="222"/>
      <c r="CW157" s="222"/>
      <c r="CX157" s="222"/>
      <c r="CY157" s="222"/>
      <c r="CZ157" s="222"/>
      <c r="DA157" s="222"/>
      <c r="DB157" s="222"/>
      <c r="DC157" s="222"/>
      <c r="DD157" s="222"/>
      <c r="DE157" s="222"/>
      <c r="DF157" s="222"/>
      <c r="DG157" s="222"/>
      <c r="DH157" s="222"/>
      <c r="DI157" s="222"/>
      <c r="DJ157" s="222"/>
      <c r="DK157" s="222"/>
      <c r="DL157" s="222"/>
      <c r="DM157" s="222"/>
      <c r="DN157" s="222"/>
      <c r="DO157" s="222"/>
      <c r="DP157" s="222"/>
      <c r="DQ157" s="222"/>
      <c r="DR157" s="222"/>
      <c r="DS157" s="222"/>
      <c r="DT157" s="222"/>
      <c r="DU157" s="222"/>
      <c r="DV157" s="222"/>
      <c r="DW157" s="325"/>
      <c r="DX157" s="325"/>
      <c r="DY157" s="325"/>
      <c r="DZ157" s="325"/>
      <c r="EA157" s="325"/>
      <c r="EB157" s="325"/>
      <c r="EC157" s="325"/>
      <c r="ED157" s="325"/>
      <c r="EE157" s="325"/>
      <c r="EF157" s="325"/>
      <c r="EG157" s="325"/>
      <c r="EH157" s="325"/>
    </row>
    <row r="158" spans="1:138">
      <c r="A158" s="222"/>
      <c r="B158" s="318"/>
      <c r="C158" s="313" t="s">
        <v>303</v>
      </c>
      <c r="D158" s="326">
        <f>BX149+BX150</f>
        <v>0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  <c r="BL158" s="222"/>
      <c r="BM158" s="222"/>
      <c r="BN158" s="222"/>
      <c r="BO158" s="222"/>
      <c r="BP158" s="222"/>
      <c r="BQ158" s="222"/>
      <c r="BR158" s="222"/>
      <c r="BS158" s="222"/>
      <c r="BT158" s="222"/>
      <c r="BU158" s="222"/>
      <c r="BV158" s="222"/>
      <c r="BW158" s="222"/>
      <c r="BX158" s="222"/>
      <c r="BY158" s="222"/>
      <c r="BZ158" s="222"/>
      <c r="CA158" s="222"/>
      <c r="CB158" s="222"/>
      <c r="CC158" s="222"/>
      <c r="CD158" s="222"/>
      <c r="CE158" s="222"/>
      <c r="CF158" s="222"/>
      <c r="CG158" s="222"/>
      <c r="CH158" s="222"/>
      <c r="CI158" s="222"/>
      <c r="CJ158" s="222"/>
      <c r="CK158" s="222"/>
      <c r="CL158" s="222"/>
      <c r="CM158" s="222"/>
      <c r="CN158" s="222"/>
      <c r="CO158" s="222"/>
      <c r="CP158" s="222"/>
      <c r="CQ158" s="222"/>
      <c r="CR158" s="222"/>
      <c r="CS158" s="222"/>
      <c r="CT158" s="222"/>
      <c r="CU158" s="222"/>
      <c r="CV158" s="222"/>
      <c r="CW158" s="222"/>
      <c r="CX158" s="222"/>
      <c r="CY158" s="222"/>
      <c r="CZ158" s="222"/>
      <c r="DA158" s="222"/>
      <c r="DB158" s="222"/>
      <c r="DC158" s="222"/>
      <c r="DD158" s="222"/>
      <c r="DE158" s="222"/>
      <c r="DF158" s="222"/>
      <c r="DG158" s="222"/>
      <c r="DH158" s="222"/>
      <c r="DI158" s="222"/>
      <c r="DJ158" s="222"/>
      <c r="DK158" s="222"/>
      <c r="DL158" s="222"/>
      <c r="DM158" s="222"/>
      <c r="DN158" s="222"/>
      <c r="DO158" s="222"/>
      <c r="DP158" s="222"/>
      <c r="DQ158" s="222"/>
      <c r="DR158" s="222"/>
      <c r="DS158" s="222"/>
      <c r="DT158" s="222"/>
      <c r="DU158" s="222"/>
      <c r="DV158" s="222"/>
      <c r="DW158" s="325"/>
      <c r="DX158" s="325"/>
      <c r="DY158" s="325"/>
      <c r="DZ158" s="325"/>
      <c r="EA158" s="325"/>
      <c r="EB158" s="325"/>
      <c r="EC158" s="325"/>
      <c r="ED158" s="325"/>
      <c r="EE158" s="325"/>
      <c r="EF158" s="325"/>
      <c r="EG158" s="325"/>
      <c r="EH158" s="325"/>
    </row>
    <row r="159" spans="1:138">
      <c r="A159" s="222"/>
      <c r="B159" s="318"/>
      <c r="C159" s="313" t="s">
        <v>147</v>
      </c>
      <c r="D159" s="322">
        <f>T150/T147</f>
        <v>0.51486070537227191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2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2"/>
      <c r="BK159" s="222"/>
      <c r="BL159" s="222"/>
      <c r="BM159" s="222"/>
      <c r="BN159" s="222"/>
      <c r="BO159" s="222"/>
      <c r="BP159" s="222"/>
      <c r="BQ159" s="222"/>
      <c r="BR159" s="222"/>
      <c r="BS159" s="222"/>
      <c r="BT159" s="222"/>
      <c r="BU159" s="222"/>
      <c r="BV159" s="222"/>
      <c r="BW159" s="222"/>
      <c r="BX159" s="222"/>
      <c r="BY159" s="222"/>
      <c r="BZ159" s="222"/>
      <c r="CA159" s="222"/>
      <c r="CB159" s="222"/>
      <c r="CC159" s="222"/>
      <c r="CD159" s="222"/>
      <c r="CE159" s="222"/>
      <c r="CF159" s="222"/>
      <c r="CG159" s="222"/>
      <c r="CH159" s="222"/>
      <c r="CI159" s="222"/>
      <c r="CJ159" s="222"/>
      <c r="CK159" s="222"/>
      <c r="CL159" s="222"/>
      <c r="CM159" s="222"/>
      <c r="CN159" s="222"/>
      <c r="CO159" s="222"/>
      <c r="CP159" s="222"/>
      <c r="CQ159" s="222"/>
      <c r="CR159" s="222"/>
      <c r="CS159" s="222"/>
      <c r="CT159" s="222"/>
      <c r="CU159" s="222"/>
      <c r="CV159" s="222"/>
      <c r="CW159" s="222"/>
      <c r="CX159" s="222"/>
      <c r="CY159" s="222"/>
      <c r="CZ159" s="222"/>
      <c r="DA159" s="222"/>
      <c r="DB159" s="222"/>
      <c r="DC159" s="222"/>
      <c r="DD159" s="222"/>
      <c r="DE159" s="222"/>
      <c r="DF159" s="222"/>
      <c r="DG159" s="222"/>
      <c r="DH159" s="222"/>
      <c r="DI159" s="222"/>
      <c r="DJ159" s="222"/>
      <c r="DK159" s="222"/>
      <c r="DL159" s="222"/>
      <c r="DM159" s="222"/>
      <c r="DN159" s="222"/>
      <c r="DO159" s="222"/>
      <c r="DP159" s="222"/>
      <c r="DQ159" s="222"/>
      <c r="DR159" s="222"/>
      <c r="DS159" s="222"/>
      <c r="DT159" s="222"/>
      <c r="DU159" s="222"/>
      <c r="DV159" s="222"/>
      <c r="DW159" s="325"/>
      <c r="DX159" s="325"/>
      <c r="DY159" s="325"/>
      <c r="DZ159" s="325"/>
      <c r="EA159" s="325"/>
      <c r="EB159" s="325"/>
      <c r="EC159" s="325"/>
      <c r="ED159" s="325"/>
      <c r="EE159" s="325"/>
      <c r="EF159" s="325"/>
      <c r="EG159" s="325"/>
      <c r="EH159" s="325"/>
    </row>
    <row r="162" spans="1:138">
      <c r="A162" s="222"/>
      <c r="B162" s="318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222"/>
      <c r="AF162" s="222"/>
      <c r="AG162" s="222"/>
      <c r="AH162" s="222"/>
      <c r="AI162" s="222"/>
      <c r="AJ162" s="222"/>
      <c r="AK162" s="222"/>
      <c r="AL162" s="222"/>
      <c r="AM162" s="222"/>
      <c r="AN162" s="222"/>
      <c r="AO162" s="222"/>
      <c r="AP162" s="222"/>
      <c r="AQ162" s="222"/>
      <c r="AR162" s="222"/>
      <c r="AS162" s="222"/>
      <c r="AT162" s="222"/>
      <c r="AU162" s="222"/>
      <c r="AV162" s="222"/>
      <c r="AW162" s="222"/>
      <c r="AX162" s="222"/>
      <c r="AY162" s="222"/>
      <c r="AZ162" s="222"/>
      <c r="BA162" s="222"/>
      <c r="BB162" s="222"/>
      <c r="BC162" s="222"/>
      <c r="BD162" s="222"/>
      <c r="BE162" s="222"/>
      <c r="BF162" s="222"/>
      <c r="BG162" s="222"/>
      <c r="BH162" s="222"/>
      <c r="BI162" s="222"/>
      <c r="BJ162" s="222"/>
      <c r="BK162" s="222"/>
      <c r="BL162" s="222"/>
      <c r="BM162" s="222"/>
      <c r="BN162" s="222"/>
      <c r="BO162" s="222"/>
      <c r="BP162" s="222"/>
      <c r="BQ162" s="222"/>
      <c r="BR162" s="222"/>
      <c r="BS162" s="222"/>
      <c r="BT162" s="222"/>
      <c r="BU162" s="222"/>
      <c r="BV162" s="222"/>
      <c r="BW162" s="222"/>
      <c r="BX162" s="222"/>
      <c r="BY162" s="222"/>
      <c r="BZ162" s="222"/>
      <c r="CA162" s="222"/>
      <c r="CB162" s="222"/>
      <c r="CC162" s="222"/>
      <c r="CD162" s="222"/>
      <c r="CE162" s="222"/>
      <c r="CF162" s="222"/>
      <c r="CG162" s="222"/>
      <c r="CH162" s="222"/>
      <c r="CI162" s="222"/>
      <c r="CJ162" s="222"/>
      <c r="CK162" s="222"/>
      <c r="CL162" s="222"/>
      <c r="CM162" s="222"/>
      <c r="CN162" s="222"/>
      <c r="CO162" s="222"/>
      <c r="CP162" s="222"/>
      <c r="CQ162" s="222"/>
      <c r="CR162" s="222"/>
      <c r="CS162" s="222"/>
      <c r="CT162" s="222"/>
      <c r="CU162" s="222"/>
      <c r="CV162" s="222"/>
      <c r="CW162" s="222"/>
      <c r="CX162" s="222"/>
      <c r="CY162" s="222"/>
      <c r="CZ162" s="222"/>
      <c r="DA162" s="222"/>
      <c r="DB162" s="222"/>
      <c r="DC162" s="222"/>
      <c r="DD162" s="222"/>
      <c r="DE162" s="222"/>
      <c r="DF162" s="222"/>
      <c r="DG162" s="222"/>
      <c r="DH162" s="222"/>
      <c r="DI162" s="222"/>
      <c r="DJ162" s="222"/>
      <c r="DK162" s="222"/>
      <c r="DL162" s="222"/>
      <c r="DM162" s="222"/>
      <c r="DN162" s="222"/>
      <c r="DO162" s="222"/>
      <c r="DP162" s="222"/>
      <c r="DQ162" s="222"/>
      <c r="DR162" s="222"/>
      <c r="DS162" s="222"/>
      <c r="DT162" s="222"/>
      <c r="DU162" s="222"/>
      <c r="DV162" s="222"/>
      <c r="DW162" s="325"/>
      <c r="DX162" s="325"/>
      <c r="DY162" s="325"/>
      <c r="DZ162" s="325"/>
      <c r="EA162" s="325"/>
      <c r="EB162" s="325"/>
      <c r="EC162" s="325"/>
      <c r="ED162" s="325"/>
      <c r="EE162" s="325"/>
      <c r="EF162" s="325"/>
      <c r="EG162" s="325"/>
      <c r="EH162" s="325"/>
    </row>
    <row r="163" spans="1:138">
      <c r="A163" s="222"/>
      <c r="B163" s="318"/>
      <c r="C163" s="310" t="s">
        <v>308</v>
      </c>
      <c r="D163" s="311"/>
      <c r="E163" s="311">
        <f t="shared" ref="E163:G163" si="57">-(E7+E93)</f>
        <v>0</v>
      </c>
      <c r="F163" s="311">
        <f t="shared" si="57"/>
        <v>0</v>
      </c>
      <c r="G163" s="311">
        <f t="shared" si="57"/>
        <v>0</v>
      </c>
      <c r="H163" s="311">
        <f>-5341205.5</f>
        <v>-5341205.5</v>
      </c>
      <c r="I163" s="311">
        <f t="shared" ref="I163:S163" si="58">-(I7+I93)</f>
        <v>0</v>
      </c>
      <c r="J163" s="311">
        <f t="shared" si="58"/>
        <v>0</v>
      </c>
      <c r="K163" s="311">
        <f t="shared" si="58"/>
        <v>0</v>
      </c>
      <c r="L163" s="311">
        <f t="shared" si="58"/>
        <v>0</v>
      </c>
      <c r="M163" s="311">
        <f t="shared" si="58"/>
        <v>0</v>
      </c>
      <c r="N163" s="311">
        <f t="shared" si="58"/>
        <v>0</v>
      </c>
      <c r="O163" s="311">
        <f t="shared" si="58"/>
        <v>0</v>
      </c>
      <c r="P163" s="311">
        <f t="shared" si="58"/>
        <v>0</v>
      </c>
      <c r="Q163" s="311">
        <f t="shared" si="58"/>
        <v>0</v>
      </c>
      <c r="R163" s="311">
        <f t="shared" si="58"/>
        <v>0</v>
      </c>
      <c r="S163" s="311">
        <f t="shared" si="58"/>
        <v>0</v>
      </c>
      <c r="T163" s="311">
        <f>5341205.5</f>
        <v>5341205.5</v>
      </c>
      <c r="U163" s="311">
        <f t="shared" ref="U163:BX163" si="59">-(U7+U93)</f>
        <v>0</v>
      </c>
      <c r="V163" s="311">
        <f t="shared" si="59"/>
        <v>0</v>
      </c>
      <c r="W163" s="311">
        <f t="shared" si="59"/>
        <v>0</v>
      </c>
      <c r="X163" s="311">
        <f t="shared" si="59"/>
        <v>0</v>
      </c>
      <c r="Y163" s="311">
        <f t="shared" si="59"/>
        <v>0</v>
      </c>
      <c r="Z163" s="311">
        <f t="shared" si="59"/>
        <v>0</v>
      </c>
      <c r="AA163" s="311">
        <f t="shared" si="59"/>
        <v>0</v>
      </c>
      <c r="AB163" s="311">
        <f t="shared" si="59"/>
        <v>0</v>
      </c>
      <c r="AC163" s="311">
        <f t="shared" si="59"/>
        <v>0</v>
      </c>
      <c r="AD163" s="311">
        <f t="shared" si="59"/>
        <v>0</v>
      </c>
      <c r="AE163" s="311">
        <f t="shared" si="59"/>
        <v>0</v>
      </c>
      <c r="AF163" s="311">
        <f t="shared" si="59"/>
        <v>0</v>
      </c>
      <c r="AG163" s="311">
        <f t="shared" si="59"/>
        <v>0</v>
      </c>
      <c r="AH163" s="311">
        <f t="shared" si="59"/>
        <v>0</v>
      </c>
      <c r="AI163" s="311">
        <f t="shared" si="59"/>
        <v>0</v>
      </c>
      <c r="AJ163" s="311">
        <f t="shared" si="59"/>
        <v>0</v>
      </c>
      <c r="AK163" s="311">
        <f t="shared" si="59"/>
        <v>0</v>
      </c>
      <c r="AL163" s="311">
        <f t="shared" si="59"/>
        <v>0</v>
      </c>
      <c r="AM163" s="311">
        <f t="shared" si="59"/>
        <v>0</v>
      </c>
      <c r="AN163" s="311">
        <f t="shared" si="59"/>
        <v>0</v>
      </c>
      <c r="AO163" s="311">
        <f t="shared" si="59"/>
        <v>0</v>
      </c>
      <c r="AP163" s="311">
        <f t="shared" si="59"/>
        <v>0</v>
      </c>
      <c r="AQ163" s="311">
        <f t="shared" si="59"/>
        <v>0</v>
      </c>
      <c r="AR163" s="311">
        <f t="shared" si="59"/>
        <v>0</v>
      </c>
      <c r="AS163" s="311">
        <f t="shared" si="59"/>
        <v>0</v>
      </c>
      <c r="AT163" s="311">
        <f t="shared" si="59"/>
        <v>0</v>
      </c>
      <c r="AU163" s="311">
        <f t="shared" si="59"/>
        <v>0</v>
      </c>
      <c r="AV163" s="311">
        <f t="shared" si="59"/>
        <v>0</v>
      </c>
      <c r="AW163" s="311">
        <f t="shared" si="59"/>
        <v>0</v>
      </c>
      <c r="AX163" s="311">
        <f t="shared" si="59"/>
        <v>0</v>
      </c>
      <c r="AY163" s="311">
        <f t="shared" si="59"/>
        <v>0</v>
      </c>
      <c r="AZ163" s="311">
        <f t="shared" si="59"/>
        <v>0</v>
      </c>
      <c r="BA163" s="311">
        <f t="shared" si="59"/>
        <v>0</v>
      </c>
      <c r="BB163" s="311">
        <f t="shared" si="59"/>
        <v>0</v>
      </c>
      <c r="BC163" s="311">
        <f t="shared" si="59"/>
        <v>0</v>
      </c>
      <c r="BD163" s="311">
        <f t="shared" si="59"/>
        <v>0</v>
      </c>
      <c r="BE163" s="311">
        <f t="shared" si="59"/>
        <v>0</v>
      </c>
      <c r="BF163" s="311">
        <f t="shared" si="59"/>
        <v>0</v>
      </c>
      <c r="BG163" s="311">
        <f t="shared" si="59"/>
        <v>0</v>
      </c>
      <c r="BH163" s="311">
        <f t="shared" si="59"/>
        <v>0</v>
      </c>
      <c r="BI163" s="311">
        <f t="shared" si="59"/>
        <v>0</v>
      </c>
      <c r="BJ163" s="311">
        <f t="shared" si="59"/>
        <v>0</v>
      </c>
      <c r="BK163" s="311">
        <f t="shared" si="59"/>
        <v>0</v>
      </c>
      <c r="BL163" s="311">
        <f t="shared" si="59"/>
        <v>0</v>
      </c>
      <c r="BM163" s="311">
        <f t="shared" si="59"/>
        <v>0</v>
      </c>
      <c r="BN163" s="311">
        <f t="shared" si="59"/>
        <v>0</v>
      </c>
      <c r="BO163" s="311">
        <f t="shared" si="59"/>
        <v>0</v>
      </c>
      <c r="BP163" s="311">
        <f t="shared" si="59"/>
        <v>0</v>
      </c>
      <c r="BQ163" s="311">
        <f t="shared" si="59"/>
        <v>0</v>
      </c>
      <c r="BR163" s="311">
        <f t="shared" si="59"/>
        <v>0</v>
      </c>
      <c r="BS163" s="311">
        <f t="shared" si="59"/>
        <v>0</v>
      </c>
      <c r="BT163" s="311">
        <f t="shared" si="59"/>
        <v>0</v>
      </c>
      <c r="BU163" s="311">
        <f t="shared" si="59"/>
        <v>0</v>
      </c>
      <c r="BV163" s="311">
        <f t="shared" si="59"/>
        <v>0</v>
      </c>
      <c r="BW163" s="311">
        <f t="shared" si="59"/>
        <v>0</v>
      </c>
      <c r="BX163" s="311">
        <f t="shared" si="59"/>
        <v>0</v>
      </c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  <c r="CJ163" s="222"/>
      <c r="CK163" s="222"/>
      <c r="CL163" s="222"/>
      <c r="CM163" s="222"/>
      <c r="CN163" s="222"/>
      <c r="CO163" s="222"/>
      <c r="CP163" s="222"/>
      <c r="CQ163" s="222"/>
      <c r="CR163" s="222"/>
      <c r="CS163" s="222"/>
      <c r="CT163" s="222"/>
      <c r="CU163" s="222"/>
      <c r="CV163" s="222"/>
      <c r="CW163" s="222"/>
      <c r="CX163" s="222"/>
      <c r="CY163" s="222"/>
      <c r="CZ163" s="222"/>
      <c r="DA163" s="222"/>
      <c r="DB163" s="222"/>
      <c r="DC163" s="222"/>
      <c r="DD163" s="222"/>
      <c r="DE163" s="222"/>
      <c r="DF163" s="222"/>
      <c r="DG163" s="222"/>
      <c r="DH163" s="222"/>
      <c r="DI163" s="222"/>
      <c r="DJ163" s="222"/>
      <c r="DK163" s="222"/>
      <c r="DL163" s="222"/>
      <c r="DM163" s="222"/>
      <c r="DN163" s="222"/>
      <c r="DO163" s="222"/>
      <c r="DP163" s="222"/>
      <c r="DQ163" s="222"/>
      <c r="DR163" s="222"/>
      <c r="DS163" s="222"/>
      <c r="DT163" s="222"/>
      <c r="DU163" s="222"/>
      <c r="DV163" s="222"/>
      <c r="DW163" s="325"/>
      <c r="DX163" s="325"/>
      <c r="DY163" s="325"/>
      <c r="DZ163" s="325"/>
      <c r="EA163" s="325"/>
      <c r="EB163" s="325"/>
      <c r="EC163" s="325"/>
      <c r="ED163" s="325"/>
      <c r="EE163" s="325"/>
      <c r="EF163" s="325"/>
      <c r="EG163" s="325"/>
      <c r="EH163" s="325"/>
    </row>
    <row r="164" spans="1:138">
      <c r="A164" s="222"/>
      <c r="B164" s="318"/>
      <c r="C164" s="310" t="s">
        <v>305</v>
      </c>
      <c r="D164" s="319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222"/>
      <c r="BZ164" s="222"/>
      <c r="CA164" s="222"/>
      <c r="CB164" s="222"/>
      <c r="CC164" s="222"/>
      <c r="CD164" s="222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2"/>
      <c r="CV164" s="222"/>
      <c r="CW164" s="222"/>
      <c r="CX164" s="222"/>
      <c r="CY164" s="222"/>
      <c r="CZ164" s="222"/>
      <c r="DA164" s="222"/>
      <c r="DB164" s="222"/>
      <c r="DC164" s="222"/>
      <c r="DD164" s="222"/>
      <c r="DE164" s="222"/>
      <c r="DF164" s="222"/>
      <c r="DG164" s="222"/>
      <c r="DH164" s="222"/>
      <c r="DI164" s="222"/>
      <c r="DJ164" s="222"/>
      <c r="DK164" s="222"/>
      <c r="DL164" s="222"/>
      <c r="DM164" s="222"/>
      <c r="DN164" s="222"/>
      <c r="DO164" s="222"/>
      <c r="DP164" s="222"/>
      <c r="DQ164" s="222"/>
      <c r="DR164" s="222"/>
      <c r="DS164" s="222"/>
      <c r="DT164" s="222"/>
      <c r="DU164" s="222"/>
      <c r="DV164" s="222"/>
      <c r="DW164" s="325"/>
      <c r="DX164" s="325"/>
      <c r="DY164" s="325"/>
      <c r="DZ164" s="325"/>
      <c r="EA164" s="325"/>
      <c r="EB164" s="325"/>
      <c r="EC164" s="325"/>
      <c r="ED164" s="325"/>
      <c r="EE164" s="325"/>
      <c r="EF164" s="325"/>
      <c r="EG164" s="325"/>
      <c r="EH164" s="325"/>
    </row>
    <row r="165" spans="1:138">
      <c r="A165" s="222"/>
      <c r="B165" s="318"/>
      <c r="C165" s="310" t="s">
        <v>296</v>
      </c>
      <c r="D165" s="319"/>
      <c r="E165" s="311">
        <f t="shared" ref="E165:BX165" si="60">-E58</f>
        <v>0</v>
      </c>
      <c r="F165" s="311">
        <f t="shared" si="60"/>
        <v>0</v>
      </c>
      <c r="G165" s="311">
        <f t="shared" si="60"/>
        <v>0</v>
      </c>
      <c r="H165" s="311">
        <f t="shared" si="60"/>
        <v>0</v>
      </c>
      <c r="I165" s="311">
        <f t="shared" si="60"/>
        <v>0</v>
      </c>
      <c r="J165" s="311">
        <f t="shared" si="60"/>
        <v>0</v>
      </c>
      <c r="K165" s="311">
        <f t="shared" si="60"/>
        <v>0</v>
      </c>
      <c r="L165" s="311">
        <f t="shared" si="60"/>
        <v>0</v>
      </c>
      <c r="M165" s="311">
        <f t="shared" si="60"/>
        <v>0</v>
      </c>
      <c r="N165" s="311">
        <f t="shared" si="60"/>
        <v>0</v>
      </c>
      <c r="O165" s="311">
        <f t="shared" si="60"/>
        <v>0</v>
      </c>
      <c r="P165" s="311">
        <f t="shared" si="60"/>
        <v>0</v>
      </c>
      <c r="Q165" s="311">
        <f t="shared" si="60"/>
        <v>0</v>
      </c>
      <c r="R165" s="311">
        <f t="shared" si="60"/>
        <v>0</v>
      </c>
      <c r="S165" s="311">
        <f t="shared" si="60"/>
        <v>0</v>
      </c>
      <c r="T165" s="311">
        <f t="shared" si="60"/>
        <v>0</v>
      </c>
      <c r="U165" s="311">
        <f t="shared" si="60"/>
        <v>0</v>
      </c>
      <c r="V165" s="311">
        <f t="shared" si="60"/>
        <v>0</v>
      </c>
      <c r="W165" s="311">
        <f t="shared" si="60"/>
        <v>0</v>
      </c>
      <c r="X165" s="311">
        <f t="shared" si="60"/>
        <v>0</v>
      </c>
      <c r="Y165" s="311">
        <f t="shared" si="60"/>
        <v>0</v>
      </c>
      <c r="Z165" s="311">
        <f t="shared" si="60"/>
        <v>0</v>
      </c>
      <c r="AA165" s="311">
        <f t="shared" si="60"/>
        <v>0</v>
      </c>
      <c r="AB165" s="311">
        <f t="shared" si="60"/>
        <v>0</v>
      </c>
      <c r="AC165" s="311">
        <f t="shared" si="60"/>
        <v>0</v>
      </c>
      <c r="AD165" s="311">
        <f t="shared" si="60"/>
        <v>0</v>
      </c>
      <c r="AE165" s="311">
        <f t="shared" si="60"/>
        <v>0</v>
      </c>
      <c r="AF165" s="311">
        <f t="shared" si="60"/>
        <v>0</v>
      </c>
      <c r="AG165" s="311">
        <f t="shared" si="60"/>
        <v>0</v>
      </c>
      <c r="AH165" s="311">
        <f t="shared" si="60"/>
        <v>0</v>
      </c>
      <c r="AI165" s="311">
        <f t="shared" si="60"/>
        <v>0</v>
      </c>
      <c r="AJ165" s="311">
        <f t="shared" si="60"/>
        <v>0</v>
      </c>
      <c r="AK165" s="311">
        <f t="shared" si="60"/>
        <v>0</v>
      </c>
      <c r="AL165" s="311">
        <f t="shared" si="60"/>
        <v>0</v>
      </c>
      <c r="AM165" s="311">
        <f t="shared" si="60"/>
        <v>0</v>
      </c>
      <c r="AN165" s="311">
        <f t="shared" si="60"/>
        <v>0</v>
      </c>
      <c r="AO165" s="311">
        <f t="shared" si="60"/>
        <v>0</v>
      </c>
      <c r="AP165" s="311">
        <f t="shared" si="60"/>
        <v>0</v>
      </c>
      <c r="AQ165" s="311">
        <f t="shared" si="60"/>
        <v>0</v>
      </c>
      <c r="AR165" s="311">
        <f t="shared" si="60"/>
        <v>0</v>
      </c>
      <c r="AS165" s="311">
        <f t="shared" si="60"/>
        <v>0</v>
      </c>
      <c r="AT165" s="311">
        <f t="shared" si="60"/>
        <v>0</v>
      </c>
      <c r="AU165" s="311">
        <f t="shared" si="60"/>
        <v>0</v>
      </c>
      <c r="AV165" s="311">
        <f t="shared" si="60"/>
        <v>0</v>
      </c>
      <c r="AW165" s="311">
        <f t="shared" si="60"/>
        <v>0</v>
      </c>
      <c r="AX165" s="311">
        <f t="shared" si="60"/>
        <v>0</v>
      </c>
      <c r="AY165" s="311">
        <f t="shared" si="60"/>
        <v>0</v>
      </c>
      <c r="AZ165" s="311">
        <f t="shared" si="60"/>
        <v>0</v>
      </c>
      <c r="BA165" s="311">
        <f t="shared" si="60"/>
        <v>0</v>
      </c>
      <c r="BB165" s="311">
        <f t="shared" si="60"/>
        <v>0</v>
      </c>
      <c r="BC165" s="311">
        <f t="shared" si="60"/>
        <v>0</v>
      </c>
      <c r="BD165" s="311">
        <f t="shared" si="60"/>
        <v>0</v>
      </c>
      <c r="BE165" s="311">
        <f t="shared" si="60"/>
        <v>0</v>
      </c>
      <c r="BF165" s="311">
        <f t="shared" si="60"/>
        <v>0</v>
      </c>
      <c r="BG165" s="311">
        <f t="shared" si="60"/>
        <v>0</v>
      </c>
      <c r="BH165" s="311">
        <f t="shared" si="60"/>
        <v>0</v>
      </c>
      <c r="BI165" s="311">
        <f t="shared" si="60"/>
        <v>0</v>
      </c>
      <c r="BJ165" s="311">
        <f t="shared" si="60"/>
        <v>0</v>
      </c>
      <c r="BK165" s="311">
        <f t="shared" si="60"/>
        <v>0</v>
      </c>
      <c r="BL165" s="311">
        <f t="shared" si="60"/>
        <v>0</v>
      </c>
      <c r="BM165" s="311">
        <f t="shared" si="60"/>
        <v>0</v>
      </c>
      <c r="BN165" s="311">
        <f t="shared" si="60"/>
        <v>0</v>
      </c>
      <c r="BO165" s="311">
        <f t="shared" si="60"/>
        <v>0</v>
      </c>
      <c r="BP165" s="311">
        <f t="shared" si="60"/>
        <v>0</v>
      </c>
      <c r="BQ165" s="311">
        <f t="shared" si="60"/>
        <v>0</v>
      </c>
      <c r="BR165" s="311">
        <f t="shared" si="60"/>
        <v>0</v>
      </c>
      <c r="BS165" s="311">
        <f t="shared" si="60"/>
        <v>0</v>
      </c>
      <c r="BT165" s="311">
        <f t="shared" si="60"/>
        <v>0</v>
      </c>
      <c r="BU165" s="311">
        <f t="shared" si="60"/>
        <v>0</v>
      </c>
      <c r="BV165" s="311">
        <f t="shared" si="60"/>
        <v>0</v>
      </c>
      <c r="BW165" s="311">
        <f t="shared" si="60"/>
        <v>0</v>
      </c>
      <c r="BX165" s="311">
        <f t="shared" si="60"/>
        <v>0</v>
      </c>
      <c r="BY165" s="222"/>
      <c r="BZ165" s="222"/>
      <c r="CA165" s="222"/>
      <c r="CB165" s="222"/>
      <c r="CC165" s="222"/>
      <c r="CD165" s="222"/>
      <c r="CE165" s="222"/>
      <c r="CF165" s="222"/>
      <c r="CG165" s="222"/>
      <c r="CH165" s="222"/>
      <c r="CI165" s="222"/>
      <c r="CJ165" s="222"/>
      <c r="CK165" s="222"/>
      <c r="CL165" s="222"/>
      <c r="CM165" s="222"/>
      <c r="CN165" s="222"/>
      <c r="CO165" s="222"/>
      <c r="CP165" s="222"/>
      <c r="CQ165" s="222"/>
      <c r="CR165" s="222"/>
      <c r="CS165" s="222"/>
      <c r="CT165" s="222"/>
      <c r="CU165" s="222"/>
      <c r="CV165" s="222"/>
      <c r="CW165" s="222"/>
      <c r="CX165" s="222"/>
      <c r="CY165" s="222"/>
      <c r="CZ165" s="222"/>
      <c r="DA165" s="222"/>
      <c r="DB165" s="222"/>
      <c r="DC165" s="222"/>
      <c r="DD165" s="222"/>
      <c r="DE165" s="222"/>
      <c r="DF165" s="222"/>
      <c r="DG165" s="222"/>
      <c r="DH165" s="222"/>
      <c r="DI165" s="222"/>
      <c r="DJ165" s="222"/>
      <c r="DK165" s="222"/>
      <c r="DL165" s="222"/>
      <c r="DM165" s="222"/>
      <c r="DN165" s="222"/>
      <c r="DO165" s="222"/>
      <c r="DP165" s="222"/>
      <c r="DQ165" s="222"/>
      <c r="DR165" s="222"/>
      <c r="DS165" s="222"/>
      <c r="DT165" s="222"/>
      <c r="DU165" s="222"/>
      <c r="DV165" s="222"/>
      <c r="DW165" s="325"/>
      <c r="DX165" s="325"/>
      <c r="DY165" s="325"/>
      <c r="DZ165" s="325"/>
      <c r="EA165" s="325"/>
      <c r="EB165" s="325"/>
      <c r="EC165" s="325"/>
      <c r="ED165" s="325"/>
      <c r="EE165" s="325"/>
      <c r="EF165" s="325"/>
      <c r="EG165" s="325"/>
      <c r="EH165" s="325"/>
    </row>
    <row r="166" spans="1:138">
      <c r="A166" s="222"/>
      <c r="B166" s="318"/>
      <c r="C166" s="310" t="s">
        <v>297</v>
      </c>
      <c r="D166" s="319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  <c r="O166" s="311"/>
      <c r="P166" s="311"/>
      <c r="Q166" s="311"/>
      <c r="R166" s="311"/>
      <c r="S166" s="311"/>
      <c r="T166" s="311">
        <v>2750000</v>
      </c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1"/>
      <c r="AH166" s="311"/>
      <c r="AI166" s="311"/>
      <c r="AJ166" s="311"/>
      <c r="AK166" s="311"/>
      <c r="AL166" s="311"/>
      <c r="AM166" s="311"/>
      <c r="AN166" s="311"/>
      <c r="AO166" s="311"/>
      <c r="AP166" s="311"/>
      <c r="AQ166" s="311"/>
      <c r="AR166" s="311"/>
      <c r="AS166" s="311"/>
      <c r="AT166" s="311"/>
      <c r="AU166" s="311"/>
      <c r="AV166" s="311"/>
      <c r="AW166" s="311"/>
      <c r="AX166" s="311"/>
      <c r="AY166" s="311"/>
      <c r="AZ166" s="311"/>
      <c r="BA166" s="311"/>
      <c r="BB166" s="311"/>
      <c r="BC166" s="311"/>
      <c r="BD166" s="311"/>
      <c r="BE166" s="311"/>
      <c r="BF166" s="311"/>
      <c r="BG166" s="311"/>
      <c r="BH166" s="311"/>
      <c r="BI166" s="311"/>
      <c r="BJ166" s="311"/>
      <c r="BK166" s="311"/>
      <c r="BL166" s="311"/>
      <c r="BM166" s="311"/>
      <c r="BN166" s="311"/>
      <c r="BO166" s="311"/>
      <c r="BP166" s="311"/>
      <c r="BQ166" s="311"/>
      <c r="BR166" s="311"/>
      <c r="BS166" s="311"/>
      <c r="BT166" s="311"/>
      <c r="BU166" s="311"/>
      <c r="BV166" s="311"/>
      <c r="BW166" s="311"/>
      <c r="BX166" s="311">
        <f>IF(D106&gt;0.25,(BX101-BX109)*D167,BX101*D167)</f>
        <v>0</v>
      </c>
      <c r="BY166" s="222"/>
      <c r="BZ166" s="222"/>
      <c r="CA166" s="222"/>
      <c r="CB166" s="222"/>
      <c r="CC166" s="222"/>
      <c r="CD166" s="222"/>
      <c r="CE166" s="222"/>
      <c r="CF166" s="222"/>
      <c r="CG166" s="222"/>
      <c r="CH166" s="222"/>
      <c r="CI166" s="222"/>
      <c r="CJ166" s="222"/>
      <c r="CK166" s="222"/>
      <c r="CL166" s="222"/>
      <c r="CM166" s="222"/>
      <c r="CN166" s="222"/>
      <c r="CO166" s="222"/>
      <c r="CP166" s="222"/>
      <c r="CQ166" s="222"/>
      <c r="CR166" s="222"/>
      <c r="CS166" s="222"/>
      <c r="CT166" s="222"/>
      <c r="CU166" s="222"/>
      <c r="CV166" s="222"/>
      <c r="CW166" s="222"/>
      <c r="CX166" s="222"/>
      <c r="CY166" s="222"/>
      <c r="CZ166" s="222"/>
      <c r="DA166" s="222"/>
      <c r="DB166" s="222"/>
      <c r="DC166" s="222"/>
      <c r="DD166" s="222"/>
      <c r="DE166" s="222"/>
      <c r="DF166" s="222"/>
      <c r="DG166" s="222"/>
      <c r="DH166" s="222"/>
      <c r="DI166" s="222"/>
      <c r="DJ166" s="222"/>
      <c r="DK166" s="222"/>
      <c r="DL166" s="222"/>
      <c r="DM166" s="222"/>
      <c r="DN166" s="222"/>
      <c r="DO166" s="222"/>
      <c r="DP166" s="222"/>
      <c r="DQ166" s="222"/>
      <c r="DR166" s="222"/>
      <c r="DS166" s="222"/>
      <c r="DT166" s="222"/>
      <c r="DU166" s="222"/>
      <c r="DV166" s="222"/>
      <c r="DW166" s="325"/>
      <c r="DX166" s="325"/>
      <c r="DY166" s="325"/>
      <c r="DZ166" s="325"/>
      <c r="EA166" s="325"/>
      <c r="EB166" s="325"/>
      <c r="EC166" s="325"/>
      <c r="ED166" s="325"/>
      <c r="EE166" s="325"/>
      <c r="EF166" s="325"/>
      <c r="EG166" s="325"/>
      <c r="EH166" s="325"/>
    </row>
    <row r="167" spans="1:138">
      <c r="A167" s="222"/>
      <c r="B167" s="318"/>
      <c r="C167" s="313" t="s">
        <v>298</v>
      </c>
      <c r="D167" s="319">
        <v>0</v>
      </c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  <c r="CJ167" s="222"/>
      <c r="CK167" s="222"/>
      <c r="CL167" s="222"/>
      <c r="CM167" s="222"/>
      <c r="CN167" s="222"/>
      <c r="CO167" s="222"/>
      <c r="CP167" s="222"/>
      <c r="CQ167" s="222"/>
      <c r="CR167" s="222"/>
      <c r="CS167" s="222"/>
      <c r="CT167" s="222"/>
      <c r="CU167" s="222"/>
      <c r="CV167" s="222"/>
      <c r="CW167" s="222"/>
      <c r="CX167" s="222"/>
      <c r="CY167" s="222"/>
      <c r="CZ167" s="222"/>
      <c r="DA167" s="222"/>
      <c r="DB167" s="222"/>
      <c r="DC167" s="222"/>
      <c r="DD167" s="222"/>
      <c r="DE167" s="222"/>
      <c r="DF167" s="222"/>
      <c r="DG167" s="222"/>
      <c r="DH167" s="222"/>
      <c r="DI167" s="222"/>
      <c r="DJ167" s="222"/>
      <c r="DK167" s="222"/>
      <c r="DL167" s="222"/>
      <c r="DM167" s="222"/>
      <c r="DN167" s="222"/>
      <c r="DO167" s="222"/>
      <c r="DP167" s="222"/>
      <c r="DQ167" s="222"/>
      <c r="DR167" s="222"/>
      <c r="DS167" s="222"/>
      <c r="DT167" s="222"/>
      <c r="DU167" s="222"/>
      <c r="DV167" s="222"/>
      <c r="DW167" s="325"/>
      <c r="DX167" s="325"/>
      <c r="DY167" s="325"/>
      <c r="DZ167" s="325"/>
      <c r="EA167" s="325"/>
      <c r="EB167" s="325"/>
      <c r="EC167" s="325"/>
      <c r="ED167" s="325"/>
      <c r="EE167" s="325"/>
      <c r="EF167" s="325"/>
      <c r="EG167" s="325"/>
      <c r="EH167" s="325"/>
    </row>
    <row r="168" spans="1:138">
      <c r="A168" s="222"/>
      <c r="B168" s="318"/>
      <c r="C168" s="310" t="s">
        <v>299</v>
      </c>
      <c r="D168" s="311"/>
      <c r="E168" s="321">
        <f t="shared" ref="E168:BX168" si="61">E163+E164+E165+E166+E167</f>
        <v>0</v>
      </c>
      <c r="F168" s="321">
        <f t="shared" si="61"/>
        <v>0</v>
      </c>
      <c r="G168" s="321">
        <f t="shared" si="61"/>
        <v>0</v>
      </c>
      <c r="H168" s="321">
        <f t="shared" si="61"/>
        <v>-5341205.5</v>
      </c>
      <c r="I168" s="321">
        <f t="shared" si="61"/>
        <v>0</v>
      </c>
      <c r="J168" s="321">
        <f t="shared" si="61"/>
        <v>0</v>
      </c>
      <c r="K168" s="321">
        <f t="shared" si="61"/>
        <v>0</v>
      </c>
      <c r="L168" s="321">
        <f t="shared" si="61"/>
        <v>0</v>
      </c>
      <c r="M168" s="321">
        <f t="shared" si="61"/>
        <v>0</v>
      </c>
      <c r="N168" s="321">
        <f t="shared" si="61"/>
        <v>0</v>
      </c>
      <c r="O168" s="321">
        <f t="shared" si="61"/>
        <v>0</v>
      </c>
      <c r="P168" s="321">
        <f t="shared" si="61"/>
        <v>0</v>
      </c>
      <c r="Q168" s="321">
        <f t="shared" si="61"/>
        <v>0</v>
      </c>
      <c r="R168" s="321">
        <f t="shared" si="61"/>
        <v>0</v>
      </c>
      <c r="S168" s="321">
        <f t="shared" si="61"/>
        <v>0</v>
      </c>
      <c r="T168" s="321">
        <f t="shared" si="61"/>
        <v>8091205.5</v>
      </c>
      <c r="U168" s="321">
        <f t="shared" si="61"/>
        <v>0</v>
      </c>
      <c r="V168" s="321">
        <f t="shared" si="61"/>
        <v>0</v>
      </c>
      <c r="W168" s="321">
        <f t="shared" si="61"/>
        <v>0</v>
      </c>
      <c r="X168" s="321">
        <f t="shared" si="61"/>
        <v>0</v>
      </c>
      <c r="Y168" s="321">
        <f t="shared" si="61"/>
        <v>0</v>
      </c>
      <c r="Z168" s="321">
        <f t="shared" si="61"/>
        <v>0</v>
      </c>
      <c r="AA168" s="321">
        <f t="shared" si="61"/>
        <v>0</v>
      </c>
      <c r="AB168" s="321">
        <f t="shared" si="61"/>
        <v>0</v>
      </c>
      <c r="AC168" s="321">
        <f t="shared" si="61"/>
        <v>0</v>
      </c>
      <c r="AD168" s="321">
        <f t="shared" si="61"/>
        <v>0</v>
      </c>
      <c r="AE168" s="321">
        <f t="shared" si="61"/>
        <v>0</v>
      </c>
      <c r="AF168" s="321">
        <f t="shared" si="61"/>
        <v>0</v>
      </c>
      <c r="AG168" s="321">
        <f t="shared" si="61"/>
        <v>0</v>
      </c>
      <c r="AH168" s="321">
        <f t="shared" si="61"/>
        <v>0</v>
      </c>
      <c r="AI168" s="321">
        <f t="shared" si="61"/>
        <v>0</v>
      </c>
      <c r="AJ168" s="321">
        <f t="shared" si="61"/>
        <v>0</v>
      </c>
      <c r="AK168" s="321">
        <f t="shared" si="61"/>
        <v>0</v>
      </c>
      <c r="AL168" s="321">
        <f t="shared" si="61"/>
        <v>0</v>
      </c>
      <c r="AM168" s="321">
        <f t="shared" si="61"/>
        <v>0</v>
      </c>
      <c r="AN168" s="321">
        <f t="shared" si="61"/>
        <v>0</v>
      </c>
      <c r="AO168" s="321">
        <f t="shared" si="61"/>
        <v>0</v>
      </c>
      <c r="AP168" s="321">
        <f t="shared" si="61"/>
        <v>0</v>
      </c>
      <c r="AQ168" s="321">
        <f t="shared" si="61"/>
        <v>0</v>
      </c>
      <c r="AR168" s="321">
        <f t="shared" si="61"/>
        <v>0</v>
      </c>
      <c r="AS168" s="321">
        <f t="shared" si="61"/>
        <v>0</v>
      </c>
      <c r="AT168" s="321">
        <f t="shared" si="61"/>
        <v>0</v>
      </c>
      <c r="AU168" s="321">
        <f t="shared" si="61"/>
        <v>0</v>
      </c>
      <c r="AV168" s="321">
        <f t="shared" si="61"/>
        <v>0</v>
      </c>
      <c r="AW168" s="321">
        <f t="shared" si="61"/>
        <v>0</v>
      </c>
      <c r="AX168" s="321">
        <f t="shared" si="61"/>
        <v>0</v>
      </c>
      <c r="AY168" s="321">
        <f t="shared" si="61"/>
        <v>0</v>
      </c>
      <c r="AZ168" s="321">
        <f t="shared" si="61"/>
        <v>0</v>
      </c>
      <c r="BA168" s="321">
        <f t="shared" si="61"/>
        <v>0</v>
      </c>
      <c r="BB168" s="321">
        <f t="shared" si="61"/>
        <v>0</v>
      </c>
      <c r="BC168" s="321">
        <f t="shared" si="61"/>
        <v>0</v>
      </c>
      <c r="BD168" s="321">
        <f t="shared" si="61"/>
        <v>0</v>
      </c>
      <c r="BE168" s="321">
        <f t="shared" si="61"/>
        <v>0</v>
      </c>
      <c r="BF168" s="321">
        <f t="shared" si="61"/>
        <v>0</v>
      </c>
      <c r="BG168" s="321">
        <f t="shared" si="61"/>
        <v>0</v>
      </c>
      <c r="BH168" s="321">
        <f t="shared" si="61"/>
        <v>0</v>
      </c>
      <c r="BI168" s="321">
        <f t="shared" si="61"/>
        <v>0</v>
      </c>
      <c r="BJ168" s="321">
        <f t="shared" si="61"/>
        <v>0</v>
      </c>
      <c r="BK168" s="321">
        <f t="shared" si="61"/>
        <v>0</v>
      </c>
      <c r="BL168" s="321">
        <f t="shared" si="61"/>
        <v>0</v>
      </c>
      <c r="BM168" s="321">
        <f t="shared" si="61"/>
        <v>0</v>
      </c>
      <c r="BN168" s="321">
        <f t="shared" si="61"/>
        <v>0</v>
      </c>
      <c r="BO168" s="321">
        <f t="shared" si="61"/>
        <v>0</v>
      </c>
      <c r="BP168" s="321">
        <f t="shared" si="61"/>
        <v>0</v>
      </c>
      <c r="BQ168" s="321">
        <f t="shared" si="61"/>
        <v>0</v>
      </c>
      <c r="BR168" s="321">
        <f t="shared" si="61"/>
        <v>0</v>
      </c>
      <c r="BS168" s="321">
        <f t="shared" si="61"/>
        <v>0</v>
      </c>
      <c r="BT168" s="321">
        <f t="shared" si="61"/>
        <v>0</v>
      </c>
      <c r="BU168" s="321">
        <f t="shared" si="61"/>
        <v>0</v>
      </c>
      <c r="BV168" s="321">
        <f t="shared" si="61"/>
        <v>0</v>
      </c>
      <c r="BW168" s="321">
        <f t="shared" si="61"/>
        <v>0</v>
      </c>
      <c r="BX168" s="321">
        <f t="shared" si="61"/>
        <v>0</v>
      </c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  <c r="CJ168" s="222"/>
      <c r="CK168" s="222"/>
      <c r="CL168" s="222"/>
      <c r="CM168" s="222"/>
      <c r="CN168" s="222"/>
      <c r="CO168" s="222"/>
      <c r="CP168" s="222"/>
      <c r="CQ168" s="222"/>
      <c r="CR168" s="222"/>
      <c r="CS168" s="222"/>
      <c r="CT168" s="222"/>
      <c r="CU168" s="222"/>
      <c r="CV168" s="222"/>
      <c r="CW168" s="222"/>
      <c r="CX168" s="222"/>
      <c r="CY168" s="222"/>
      <c r="CZ168" s="222"/>
      <c r="DA168" s="222"/>
      <c r="DB168" s="222"/>
      <c r="DC168" s="222"/>
      <c r="DD168" s="222"/>
      <c r="DE168" s="222"/>
      <c r="DF168" s="222"/>
      <c r="DG168" s="222"/>
      <c r="DH168" s="222"/>
      <c r="DI168" s="222"/>
      <c r="DJ168" s="222"/>
      <c r="DK168" s="222"/>
      <c r="DL168" s="222"/>
      <c r="DM168" s="222"/>
      <c r="DN168" s="222"/>
      <c r="DO168" s="222"/>
      <c r="DP168" s="222"/>
      <c r="DQ168" s="222"/>
      <c r="DR168" s="222"/>
      <c r="DS168" s="222"/>
      <c r="DT168" s="222"/>
      <c r="DU168" s="222"/>
      <c r="DV168" s="222"/>
      <c r="DW168" s="325"/>
      <c r="DX168" s="325"/>
      <c r="DY168" s="325"/>
      <c r="DZ168" s="325"/>
      <c r="EA168" s="325"/>
      <c r="EB168" s="325"/>
      <c r="EC168" s="325"/>
      <c r="ED168" s="325"/>
      <c r="EE168" s="325"/>
      <c r="EF168" s="325"/>
      <c r="EG168" s="325"/>
      <c r="EH168" s="325"/>
    </row>
    <row r="169" spans="1:138">
      <c r="A169" s="222"/>
      <c r="B169" s="318"/>
      <c r="C169" s="314"/>
      <c r="D169" s="322" t="s">
        <v>306</v>
      </c>
      <c r="E169" s="327">
        <f>E168</f>
        <v>0</v>
      </c>
      <c r="F169" s="327">
        <f t="shared" ref="F169:BX169" si="62">E169+F168</f>
        <v>0</v>
      </c>
      <c r="G169" s="327">
        <f t="shared" si="62"/>
        <v>0</v>
      </c>
      <c r="H169" s="327">
        <f t="shared" si="62"/>
        <v>-5341205.5</v>
      </c>
      <c r="I169" s="327">
        <f t="shared" si="62"/>
        <v>-5341205.5</v>
      </c>
      <c r="J169" s="327">
        <f t="shared" si="62"/>
        <v>-5341205.5</v>
      </c>
      <c r="K169" s="327">
        <f t="shared" si="62"/>
        <v>-5341205.5</v>
      </c>
      <c r="L169" s="327">
        <f t="shared" si="62"/>
        <v>-5341205.5</v>
      </c>
      <c r="M169" s="327">
        <f t="shared" si="62"/>
        <v>-5341205.5</v>
      </c>
      <c r="N169" s="327">
        <f t="shared" si="62"/>
        <v>-5341205.5</v>
      </c>
      <c r="O169" s="327">
        <f t="shared" si="62"/>
        <v>-5341205.5</v>
      </c>
      <c r="P169" s="327">
        <f t="shared" si="62"/>
        <v>-5341205.5</v>
      </c>
      <c r="Q169" s="327">
        <f t="shared" si="62"/>
        <v>-5341205.5</v>
      </c>
      <c r="R169" s="327">
        <f t="shared" si="62"/>
        <v>-5341205.5</v>
      </c>
      <c r="S169" s="327">
        <f t="shared" si="62"/>
        <v>-5341205.5</v>
      </c>
      <c r="T169" s="327">
        <f t="shared" si="62"/>
        <v>2750000</v>
      </c>
      <c r="U169" s="327">
        <f t="shared" si="62"/>
        <v>2750000</v>
      </c>
      <c r="V169" s="327">
        <f t="shared" si="62"/>
        <v>2750000</v>
      </c>
      <c r="W169" s="327">
        <f t="shared" si="62"/>
        <v>2750000</v>
      </c>
      <c r="X169" s="327">
        <f t="shared" si="62"/>
        <v>2750000</v>
      </c>
      <c r="Y169" s="327">
        <f t="shared" si="62"/>
        <v>2750000</v>
      </c>
      <c r="Z169" s="327">
        <f t="shared" si="62"/>
        <v>2750000</v>
      </c>
      <c r="AA169" s="327">
        <f t="shared" si="62"/>
        <v>2750000</v>
      </c>
      <c r="AB169" s="327">
        <f t="shared" si="62"/>
        <v>2750000</v>
      </c>
      <c r="AC169" s="327">
        <f t="shared" si="62"/>
        <v>2750000</v>
      </c>
      <c r="AD169" s="327">
        <f t="shared" si="62"/>
        <v>2750000</v>
      </c>
      <c r="AE169" s="327">
        <f t="shared" si="62"/>
        <v>2750000</v>
      </c>
      <c r="AF169" s="327">
        <f t="shared" si="62"/>
        <v>2750000</v>
      </c>
      <c r="AG169" s="327">
        <f t="shared" si="62"/>
        <v>2750000</v>
      </c>
      <c r="AH169" s="327">
        <f t="shared" si="62"/>
        <v>2750000</v>
      </c>
      <c r="AI169" s="327">
        <f t="shared" si="62"/>
        <v>2750000</v>
      </c>
      <c r="AJ169" s="327">
        <f t="shared" si="62"/>
        <v>2750000</v>
      </c>
      <c r="AK169" s="327">
        <f t="shared" si="62"/>
        <v>2750000</v>
      </c>
      <c r="AL169" s="327">
        <f t="shared" si="62"/>
        <v>2750000</v>
      </c>
      <c r="AM169" s="327">
        <f t="shared" si="62"/>
        <v>2750000</v>
      </c>
      <c r="AN169" s="327">
        <f t="shared" si="62"/>
        <v>2750000</v>
      </c>
      <c r="AO169" s="327">
        <f t="shared" si="62"/>
        <v>2750000</v>
      </c>
      <c r="AP169" s="327">
        <f t="shared" si="62"/>
        <v>2750000</v>
      </c>
      <c r="AQ169" s="327">
        <f t="shared" si="62"/>
        <v>2750000</v>
      </c>
      <c r="AR169" s="327">
        <f t="shared" si="62"/>
        <v>2750000</v>
      </c>
      <c r="AS169" s="327">
        <f t="shared" si="62"/>
        <v>2750000</v>
      </c>
      <c r="AT169" s="327">
        <f t="shared" si="62"/>
        <v>2750000</v>
      </c>
      <c r="AU169" s="327">
        <f t="shared" si="62"/>
        <v>2750000</v>
      </c>
      <c r="AV169" s="327">
        <f t="shared" si="62"/>
        <v>2750000</v>
      </c>
      <c r="AW169" s="327">
        <f t="shared" si="62"/>
        <v>2750000</v>
      </c>
      <c r="AX169" s="327">
        <f t="shared" si="62"/>
        <v>2750000</v>
      </c>
      <c r="AY169" s="327">
        <f t="shared" si="62"/>
        <v>2750000</v>
      </c>
      <c r="AZ169" s="327">
        <f t="shared" si="62"/>
        <v>2750000</v>
      </c>
      <c r="BA169" s="327">
        <f t="shared" si="62"/>
        <v>2750000</v>
      </c>
      <c r="BB169" s="327">
        <f t="shared" si="62"/>
        <v>2750000</v>
      </c>
      <c r="BC169" s="327">
        <f t="shared" si="62"/>
        <v>2750000</v>
      </c>
      <c r="BD169" s="327">
        <f t="shared" si="62"/>
        <v>2750000</v>
      </c>
      <c r="BE169" s="327">
        <f t="shared" si="62"/>
        <v>2750000</v>
      </c>
      <c r="BF169" s="327">
        <f t="shared" si="62"/>
        <v>2750000</v>
      </c>
      <c r="BG169" s="327">
        <f t="shared" si="62"/>
        <v>2750000</v>
      </c>
      <c r="BH169" s="327">
        <f t="shared" si="62"/>
        <v>2750000</v>
      </c>
      <c r="BI169" s="327">
        <f t="shared" si="62"/>
        <v>2750000</v>
      </c>
      <c r="BJ169" s="327">
        <f t="shared" si="62"/>
        <v>2750000</v>
      </c>
      <c r="BK169" s="327">
        <f t="shared" si="62"/>
        <v>2750000</v>
      </c>
      <c r="BL169" s="327">
        <f t="shared" si="62"/>
        <v>2750000</v>
      </c>
      <c r="BM169" s="327">
        <f t="shared" si="62"/>
        <v>2750000</v>
      </c>
      <c r="BN169" s="327">
        <f t="shared" si="62"/>
        <v>2750000</v>
      </c>
      <c r="BO169" s="327">
        <f t="shared" si="62"/>
        <v>2750000</v>
      </c>
      <c r="BP169" s="327">
        <f t="shared" si="62"/>
        <v>2750000</v>
      </c>
      <c r="BQ169" s="327">
        <f t="shared" si="62"/>
        <v>2750000</v>
      </c>
      <c r="BR169" s="327">
        <f t="shared" si="62"/>
        <v>2750000</v>
      </c>
      <c r="BS169" s="327">
        <f t="shared" si="62"/>
        <v>2750000</v>
      </c>
      <c r="BT169" s="327">
        <f t="shared" si="62"/>
        <v>2750000</v>
      </c>
      <c r="BU169" s="327">
        <f t="shared" si="62"/>
        <v>2750000</v>
      </c>
      <c r="BV169" s="327">
        <f t="shared" si="62"/>
        <v>2750000</v>
      </c>
      <c r="BW169" s="327">
        <f t="shared" si="62"/>
        <v>2750000</v>
      </c>
      <c r="BX169" s="327">
        <f t="shared" si="62"/>
        <v>2750000</v>
      </c>
      <c r="BY169" s="222"/>
      <c r="BZ169" s="222"/>
      <c r="CA169" s="222"/>
      <c r="CB169" s="222"/>
      <c r="CC169" s="222"/>
      <c r="CD169" s="222"/>
      <c r="CE169" s="222"/>
      <c r="CF169" s="222"/>
      <c r="CG169" s="222"/>
      <c r="CH169" s="222"/>
      <c r="CI169" s="222"/>
      <c r="CJ169" s="222"/>
      <c r="CK169" s="222"/>
      <c r="CL169" s="222"/>
      <c r="CM169" s="222"/>
      <c r="CN169" s="222"/>
      <c r="CO169" s="222"/>
      <c r="CP169" s="222"/>
      <c r="CQ169" s="222"/>
      <c r="CR169" s="222"/>
      <c r="CS169" s="222"/>
      <c r="CT169" s="222"/>
      <c r="CU169" s="222"/>
      <c r="CV169" s="222"/>
      <c r="CW169" s="222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2"/>
      <c r="DI169" s="222"/>
      <c r="DJ169" s="222"/>
      <c r="DK169" s="222"/>
      <c r="DL169" s="222"/>
      <c r="DM169" s="222"/>
      <c r="DN169" s="222"/>
      <c r="DO169" s="222"/>
      <c r="DP169" s="222"/>
      <c r="DQ169" s="222"/>
      <c r="DR169" s="222"/>
      <c r="DS169" s="222"/>
      <c r="DT169" s="222"/>
      <c r="DU169" s="222"/>
      <c r="DV169" s="222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</row>
    <row r="170" spans="1:138">
      <c r="A170" s="222"/>
      <c r="B170" s="318"/>
      <c r="C170" s="313" t="s">
        <v>292</v>
      </c>
      <c r="D170" s="322">
        <f>IRR(E168:BX168)*12</f>
        <v>0.42259732866030397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  <c r="BQ170" s="222"/>
      <c r="BR170" s="222"/>
      <c r="BS170" s="222"/>
      <c r="BT170" s="222"/>
      <c r="BU170" s="222"/>
      <c r="BV170" s="222"/>
      <c r="BW170" s="222"/>
      <c r="BX170" s="222"/>
      <c r="BY170" s="222"/>
      <c r="BZ170" s="222"/>
      <c r="CA170" s="222"/>
      <c r="CB170" s="222"/>
      <c r="CC170" s="222"/>
      <c r="CD170" s="222"/>
      <c r="CE170" s="222"/>
      <c r="CF170" s="222"/>
      <c r="CG170" s="222"/>
      <c r="CH170" s="222"/>
      <c r="CI170" s="222"/>
      <c r="CJ170" s="222"/>
      <c r="CK170" s="222"/>
      <c r="CL170" s="222"/>
      <c r="CM170" s="222"/>
      <c r="CN170" s="222"/>
      <c r="CO170" s="222"/>
      <c r="CP170" s="222"/>
      <c r="CQ170" s="222"/>
      <c r="CR170" s="222"/>
      <c r="CS170" s="222"/>
      <c r="CT170" s="222"/>
      <c r="CU170" s="222"/>
      <c r="CV170" s="222"/>
      <c r="CW170" s="222"/>
      <c r="CX170" s="222"/>
      <c r="CY170" s="222"/>
      <c r="CZ170" s="222"/>
      <c r="DA170" s="222"/>
      <c r="DB170" s="222"/>
      <c r="DC170" s="222"/>
      <c r="DD170" s="222"/>
      <c r="DE170" s="222"/>
      <c r="DF170" s="222"/>
      <c r="DG170" s="222"/>
      <c r="DH170" s="222"/>
      <c r="DI170" s="222"/>
      <c r="DJ170" s="222"/>
      <c r="DK170" s="222"/>
      <c r="DL170" s="222"/>
      <c r="DM170" s="222"/>
      <c r="DN170" s="222"/>
      <c r="DO170" s="222"/>
      <c r="DP170" s="222"/>
      <c r="DQ170" s="222"/>
      <c r="DR170" s="222"/>
      <c r="DS170" s="222"/>
      <c r="DT170" s="222"/>
      <c r="DU170" s="222"/>
      <c r="DV170" s="222"/>
      <c r="DW170" s="325"/>
      <c r="DX170" s="325"/>
      <c r="DY170" s="325"/>
      <c r="DZ170" s="325"/>
      <c r="EA170" s="325"/>
      <c r="EB170" s="325"/>
      <c r="EC170" s="325"/>
      <c r="ED170" s="325"/>
      <c r="EE170" s="325"/>
      <c r="EF170" s="325"/>
      <c r="EG170" s="325"/>
      <c r="EH170" s="325"/>
    </row>
    <row r="171" spans="1:138">
      <c r="A171" s="222"/>
      <c r="B171" s="318"/>
      <c r="C171" s="323" t="s">
        <v>300</v>
      </c>
      <c r="D171" s="324">
        <f>-MIN(M169:BL169)-D172</f>
        <v>5341205.5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  <c r="BQ171" s="222"/>
      <c r="BR171" s="222"/>
      <c r="BS171" s="222"/>
      <c r="BT171" s="222"/>
      <c r="BU171" s="222"/>
      <c r="BV171" s="222"/>
      <c r="BW171" s="222"/>
      <c r="BX171" s="222"/>
      <c r="BY171" s="222"/>
      <c r="BZ171" s="222"/>
      <c r="CA171" s="222"/>
      <c r="CB171" s="222"/>
      <c r="CC171" s="222"/>
      <c r="CD171" s="222"/>
      <c r="CE171" s="222"/>
      <c r="CF171" s="222"/>
      <c r="CG171" s="222"/>
      <c r="CH171" s="222"/>
      <c r="CI171" s="222"/>
      <c r="CJ171" s="222"/>
      <c r="CK171" s="222"/>
      <c r="CL171" s="222"/>
      <c r="CM171" s="222"/>
      <c r="CN171" s="222"/>
      <c r="CO171" s="222"/>
      <c r="CP171" s="222"/>
      <c r="CQ171" s="222"/>
      <c r="CR171" s="222"/>
      <c r="CS171" s="222"/>
      <c r="CT171" s="222"/>
      <c r="CU171" s="222"/>
      <c r="CV171" s="222"/>
      <c r="CW171" s="222"/>
      <c r="CX171" s="222"/>
      <c r="CY171" s="222"/>
      <c r="CZ171" s="222"/>
      <c r="DA171" s="222"/>
      <c r="DB171" s="222"/>
      <c r="DC171" s="222"/>
      <c r="DD171" s="222"/>
      <c r="DE171" s="222"/>
      <c r="DF171" s="222"/>
      <c r="DG171" s="222"/>
      <c r="DH171" s="222"/>
      <c r="DI171" s="222"/>
      <c r="DJ171" s="222"/>
      <c r="DK171" s="222"/>
      <c r="DL171" s="222"/>
      <c r="DM171" s="222"/>
      <c r="DN171" s="222"/>
      <c r="DO171" s="222"/>
      <c r="DP171" s="222"/>
      <c r="DQ171" s="222"/>
      <c r="DR171" s="222"/>
      <c r="DS171" s="222"/>
      <c r="DT171" s="222"/>
      <c r="DU171" s="222"/>
      <c r="DV171" s="222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</row>
    <row r="172" spans="1:138">
      <c r="A172" s="222"/>
      <c r="B172" s="318"/>
      <c r="C172" s="323" t="s">
        <v>301</v>
      </c>
      <c r="D172" s="324">
        <f>-SUM(M167:BB167)</f>
        <v>0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  <c r="BQ172" s="222"/>
      <c r="BR172" s="222"/>
      <c r="BS172" s="222"/>
      <c r="BT172" s="222"/>
      <c r="BU172" s="222"/>
      <c r="BV172" s="222"/>
      <c r="BW172" s="222"/>
      <c r="BX172" s="222"/>
      <c r="BY172" s="222"/>
      <c r="BZ172" s="222"/>
      <c r="CA172" s="222"/>
      <c r="CB172" s="222"/>
      <c r="CC172" s="222"/>
      <c r="CD172" s="222"/>
      <c r="CE172" s="222"/>
      <c r="CF172" s="222"/>
      <c r="CG172" s="222"/>
      <c r="CH172" s="222"/>
      <c r="CI172" s="222"/>
      <c r="CJ172" s="222"/>
      <c r="CK172" s="222"/>
      <c r="CL172" s="222"/>
      <c r="CM172" s="222"/>
      <c r="CN172" s="222"/>
      <c r="CO172" s="222"/>
      <c r="CP172" s="222"/>
      <c r="CQ172" s="222"/>
      <c r="CR172" s="222"/>
      <c r="CS172" s="222"/>
      <c r="CT172" s="222"/>
      <c r="CU172" s="222"/>
      <c r="CV172" s="222"/>
      <c r="CW172" s="222"/>
      <c r="CX172" s="222"/>
      <c r="CY172" s="222"/>
      <c r="CZ172" s="222"/>
      <c r="DA172" s="222"/>
      <c r="DB172" s="222"/>
      <c r="DC172" s="222"/>
      <c r="DD172" s="222"/>
      <c r="DE172" s="222"/>
      <c r="DF172" s="222"/>
      <c r="DG172" s="222"/>
      <c r="DH172" s="222"/>
      <c r="DI172" s="222"/>
      <c r="DJ172" s="222"/>
      <c r="DK172" s="222"/>
      <c r="DL172" s="222"/>
      <c r="DM172" s="222"/>
      <c r="DN172" s="222"/>
      <c r="DO172" s="222"/>
      <c r="DP172" s="222"/>
      <c r="DQ172" s="222"/>
      <c r="DR172" s="222"/>
      <c r="DS172" s="222"/>
      <c r="DT172" s="222"/>
      <c r="DU172" s="222"/>
      <c r="DV172" s="222"/>
      <c r="DW172" s="325"/>
      <c r="DX172" s="325"/>
      <c r="DY172" s="325"/>
      <c r="DZ172" s="325"/>
      <c r="EA172" s="325"/>
      <c r="EB172" s="325"/>
      <c r="EC172" s="325"/>
      <c r="ED172" s="325"/>
      <c r="EE172" s="325"/>
      <c r="EF172" s="325"/>
      <c r="EG172" s="325"/>
      <c r="EH172" s="325"/>
    </row>
    <row r="173" spans="1:138">
      <c r="A173" s="222"/>
      <c r="B173" s="318"/>
      <c r="C173" s="313" t="s">
        <v>302</v>
      </c>
      <c r="D173" s="326">
        <f>D172+D171</f>
        <v>5341205.5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/>
      <c r="BX173" s="222"/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  <c r="CJ173" s="222"/>
      <c r="CK173" s="222"/>
      <c r="CL173" s="222"/>
      <c r="CM173" s="222"/>
      <c r="CN173" s="222"/>
      <c r="CO173" s="222"/>
      <c r="CP173" s="222"/>
      <c r="CQ173" s="222"/>
      <c r="CR173" s="222"/>
      <c r="CS173" s="222"/>
      <c r="CT173" s="222"/>
      <c r="CU173" s="222"/>
      <c r="CV173" s="222"/>
      <c r="CW173" s="222"/>
      <c r="CX173" s="222"/>
      <c r="CY173" s="222"/>
      <c r="CZ173" s="222"/>
      <c r="DA173" s="222"/>
      <c r="DB173" s="222"/>
      <c r="DC173" s="222"/>
      <c r="DD173" s="222"/>
      <c r="DE173" s="222"/>
      <c r="DF173" s="222"/>
      <c r="DG173" s="222"/>
      <c r="DH173" s="222"/>
      <c r="DI173" s="222"/>
      <c r="DJ173" s="222"/>
      <c r="DK173" s="222"/>
      <c r="DL173" s="222"/>
      <c r="DM173" s="222"/>
      <c r="DN173" s="222"/>
      <c r="DO173" s="222"/>
      <c r="DP173" s="222"/>
      <c r="DQ173" s="222"/>
      <c r="DR173" s="222"/>
      <c r="DS173" s="222"/>
      <c r="DT173" s="222"/>
      <c r="DU173" s="222"/>
      <c r="DV173" s="222"/>
      <c r="DW173" s="325"/>
      <c r="DX173" s="325"/>
      <c r="DY173" s="325"/>
      <c r="DZ173" s="325"/>
      <c r="EA173" s="325"/>
      <c r="EB173" s="325"/>
      <c r="EC173" s="325"/>
      <c r="ED173" s="325"/>
      <c r="EE173" s="325"/>
      <c r="EF173" s="325"/>
      <c r="EG173" s="325"/>
      <c r="EH173" s="325"/>
    </row>
    <row r="174" spans="1:138">
      <c r="A174" s="222"/>
      <c r="B174" s="318"/>
      <c r="C174" s="313" t="s">
        <v>303</v>
      </c>
      <c r="D174" s="326">
        <f>BX165+BX166</f>
        <v>0</v>
      </c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  <c r="BQ174" s="222"/>
      <c r="BR174" s="222"/>
      <c r="BS174" s="222"/>
      <c r="BT174" s="222"/>
      <c r="BU174" s="222"/>
      <c r="BV174" s="222"/>
      <c r="BW174" s="222"/>
      <c r="BX174" s="222"/>
      <c r="BY174" s="222"/>
      <c r="BZ174" s="222"/>
      <c r="CA174" s="222"/>
      <c r="CB174" s="222"/>
      <c r="CC174" s="222"/>
      <c r="CD174" s="222"/>
      <c r="CE174" s="222"/>
      <c r="CF174" s="222"/>
      <c r="CG174" s="222"/>
      <c r="CH174" s="222"/>
      <c r="CI174" s="222"/>
      <c r="CJ174" s="222"/>
      <c r="CK174" s="222"/>
      <c r="CL174" s="222"/>
      <c r="CM174" s="222"/>
      <c r="CN174" s="222"/>
      <c r="CO174" s="222"/>
      <c r="CP174" s="222"/>
      <c r="CQ174" s="222"/>
      <c r="CR174" s="222"/>
      <c r="CS174" s="222"/>
      <c r="CT174" s="222"/>
      <c r="CU174" s="222"/>
      <c r="CV174" s="222"/>
      <c r="CW174" s="222"/>
      <c r="CX174" s="222"/>
      <c r="CY174" s="222"/>
      <c r="CZ174" s="222"/>
      <c r="DA174" s="222"/>
      <c r="DB174" s="222"/>
      <c r="DC174" s="222"/>
      <c r="DD174" s="222"/>
      <c r="DE174" s="222"/>
      <c r="DF174" s="222"/>
      <c r="DG174" s="222"/>
      <c r="DH174" s="222"/>
      <c r="DI174" s="222"/>
      <c r="DJ174" s="222"/>
      <c r="DK174" s="222"/>
      <c r="DL174" s="222"/>
      <c r="DM174" s="222"/>
      <c r="DN174" s="222"/>
      <c r="DO174" s="222"/>
      <c r="DP174" s="222"/>
      <c r="DQ174" s="222"/>
      <c r="DR174" s="222"/>
      <c r="DS174" s="222"/>
      <c r="DT174" s="222"/>
      <c r="DU174" s="222"/>
      <c r="DV174" s="222"/>
      <c r="DW174" s="325"/>
      <c r="DX174" s="325"/>
      <c r="DY174" s="325"/>
      <c r="DZ174" s="325"/>
      <c r="EA174" s="325"/>
      <c r="EB174" s="325"/>
      <c r="EC174" s="325"/>
      <c r="ED174" s="325"/>
      <c r="EE174" s="325"/>
      <c r="EF174" s="325"/>
      <c r="EG174" s="325"/>
      <c r="EH174" s="325"/>
    </row>
    <row r="175" spans="1:138">
      <c r="A175" s="222"/>
      <c r="B175" s="318"/>
      <c r="C175" s="313" t="s">
        <v>147</v>
      </c>
      <c r="D175" s="322">
        <f>T166/T163</f>
        <v>0.51486504310684167</v>
      </c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  <c r="BQ175" s="222"/>
      <c r="BR175" s="222"/>
      <c r="BS175" s="222"/>
      <c r="BT175" s="222"/>
      <c r="BU175" s="222"/>
      <c r="BV175" s="222"/>
      <c r="BW175" s="222"/>
      <c r="BX175" s="222"/>
      <c r="BY175" s="222"/>
      <c r="BZ175" s="222"/>
      <c r="CA175" s="222"/>
      <c r="CB175" s="222"/>
      <c r="CC175" s="222"/>
      <c r="CD175" s="222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2"/>
      <c r="CV175" s="222"/>
      <c r="CW175" s="222"/>
      <c r="CX175" s="222"/>
      <c r="CY175" s="222"/>
      <c r="CZ175" s="222"/>
      <c r="DA175" s="222"/>
      <c r="DB175" s="222"/>
      <c r="DC175" s="222"/>
      <c r="DD175" s="222"/>
      <c r="DE175" s="222"/>
      <c r="DF175" s="222"/>
      <c r="DG175" s="222"/>
      <c r="DH175" s="222"/>
      <c r="DI175" s="222"/>
      <c r="DJ175" s="222"/>
      <c r="DK175" s="222"/>
      <c r="DL175" s="222"/>
      <c r="DM175" s="222"/>
      <c r="DN175" s="222"/>
      <c r="DO175" s="222"/>
      <c r="DP175" s="222"/>
      <c r="DQ175" s="222"/>
      <c r="DR175" s="222"/>
      <c r="DS175" s="222"/>
      <c r="DT175" s="222"/>
      <c r="DU175" s="222"/>
      <c r="DV175" s="222"/>
      <c r="DW175" s="325"/>
      <c r="DX175" s="325"/>
      <c r="DY175" s="325"/>
      <c r="DZ175" s="325"/>
      <c r="EA175" s="325"/>
      <c r="EB175" s="325"/>
      <c r="EC175" s="325"/>
      <c r="ED175" s="325"/>
      <c r="EE175" s="325"/>
      <c r="EF175" s="325"/>
      <c r="EG175" s="325"/>
      <c r="EH175" s="325"/>
    </row>
    <row r="176" spans="1:138">
      <c r="A176" s="222"/>
      <c r="B176" s="318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2"/>
      <c r="BN176" s="222"/>
      <c r="BO176" s="222"/>
      <c r="BP176" s="222"/>
      <c r="BQ176" s="222"/>
      <c r="BR176" s="222"/>
      <c r="BS176" s="222"/>
      <c r="BT176" s="222"/>
      <c r="BU176" s="222"/>
      <c r="BV176" s="222"/>
      <c r="BW176" s="222"/>
      <c r="BX176" s="222"/>
      <c r="BY176" s="222"/>
      <c r="BZ176" s="222"/>
      <c r="CA176" s="222"/>
      <c r="CB176" s="222"/>
      <c r="CC176" s="222"/>
      <c r="CD176" s="222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2"/>
      <c r="CV176" s="222"/>
      <c r="CW176" s="222"/>
      <c r="CX176" s="222"/>
      <c r="CY176" s="222"/>
      <c r="CZ176" s="222"/>
      <c r="DA176" s="222"/>
      <c r="DB176" s="222"/>
      <c r="DC176" s="222"/>
      <c r="DD176" s="222"/>
      <c r="DE176" s="222"/>
      <c r="DF176" s="222"/>
      <c r="DG176" s="222"/>
      <c r="DH176" s="222"/>
      <c r="DI176" s="222"/>
      <c r="DJ176" s="222"/>
      <c r="DK176" s="222"/>
      <c r="DL176" s="222"/>
      <c r="DM176" s="222"/>
      <c r="DN176" s="222"/>
      <c r="DO176" s="222"/>
      <c r="DP176" s="222"/>
      <c r="DQ176" s="222"/>
      <c r="DR176" s="222"/>
      <c r="DS176" s="222"/>
      <c r="DT176" s="222"/>
      <c r="DU176" s="222"/>
      <c r="DV176" s="222"/>
      <c r="DW176" s="325"/>
      <c r="DX176" s="325"/>
      <c r="DY176" s="325"/>
      <c r="DZ176" s="325"/>
      <c r="EA176" s="325"/>
      <c r="EB176" s="325"/>
      <c r="EC176" s="325"/>
      <c r="ED176" s="325"/>
      <c r="EE176" s="325"/>
      <c r="EF176" s="325"/>
      <c r="EG176" s="325"/>
      <c r="EH176" s="325"/>
    </row>
    <row r="177" spans="1:138">
      <c r="A177" s="222"/>
      <c r="B177" s="318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2"/>
      <c r="BN177" s="222"/>
      <c r="BO177" s="222"/>
      <c r="BP177" s="222"/>
      <c r="BQ177" s="222"/>
      <c r="BR177" s="222"/>
      <c r="BS177" s="222"/>
      <c r="BT177" s="222"/>
      <c r="BU177" s="222"/>
      <c r="BV177" s="222"/>
      <c r="BW177" s="222"/>
      <c r="BX177" s="222"/>
      <c r="BY177" s="222"/>
      <c r="BZ177" s="222"/>
      <c r="CA177" s="222"/>
      <c r="CB177" s="222"/>
      <c r="CC177" s="222"/>
      <c r="CD177" s="222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2"/>
      <c r="CV177" s="222"/>
      <c r="CW177" s="222"/>
      <c r="CX177" s="222"/>
      <c r="CY177" s="222"/>
      <c r="CZ177" s="222"/>
      <c r="DA177" s="222"/>
      <c r="DB177" s="222"/>
      <c r="DC177" s="222"/>
      <c r="DD177" s="222"/>
      <c r="DE177" s="222"/>
      <c r="DF177" s="222"/>
      <c r="DG177" s="222"/>
      <c r="DH177" s="222"/>
      <c r="DI177" s="222"/>
      <c r="DJ177" s="222"/>
      <c r="DK177" s="222"/>
      <c r="DL177" s="222"/>
      <c r="DM177" s="222"/>
      <c r="DN177" s="222"/>
      <c r="DO177" s="222"/>
      <c r="DP177" s="222"/>
      <c r="DQ177" s="222"/>
      <c r="DR177" s="222"/>
      <c r="DS177" s="222"/>
      <c r="DT177" s="222"/>
      <c r="DU177" s="222"/>
      <c r="DV177" s="222"/>
      <c r="DW177" s="325"/>
      <c r="DX177" s="325"/>
      <c r="DY177" s="325"/>
      <c r="DZ177" s="325"/>
      <c r="EA177" s="325"/>
      <c r="EB177" s="325"/>
      <c r="EC177" s="325"/>
      <c r="ED177" s="325"/>
      <c r="EE177" s="325"/>
      <c r="EF177" s="325"/>
      <c r="EG177" s="325"/>
      <c r="EH177" s="325"/>
    </row>
    <row r="178" spans="1:138">
      <c r="A178" s="222"/>
      <c r="B178" s="318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2"/>
      <c r="BN178" s="222"/>
      <c r="BO178" s="222"/>
      <c r="BP178" s="222"/>
      <c r="BQ178" s="222"/>
      <c r="BR178" s="222"/>
      <c r="BS178" s="222"/>
      <c r="BT178" s="222"/>
      <c r="BU178" s="222"/>
      <c r="BV178" s="222"/>
      <c r="BW178" s="222"/>
      <c r="BX178" s="222"/>
      <c r="BY178" s="222"/>
      <c r="BZ178" s="222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  <c r="CP178" s="222"/>
      <c r="CQ178" s="222"/>
      <c r="CR178" s="222"/>
      <c r="CS178" s="222"/>
      <c r="CT178" s="222"/>
      <c r="CU178" s="222"/>
      <c r="CV178" s="222"/>
      <c r="CW178" s="222"/>
      <c r="CX178" s="222"/>
      <c r="CY178" s="222"/>
      <c r="CZ178" s="222"/>
      <c r="DA178" s="222"/>
      <c r="DB178" s="222"/>
      <c r="DC178" s="222"/>
      <c r="DD178" s="222"/>
      <c r="DE178" s="222"/>
      <c r="DF178" s="222"/>
      <c r="DG178" s="222"/>
      <c r="DH178" s="222"/>
      <c r="DI178" s="222"/>
      <c r="DJ178" s="222"/>
      <c r="DK178" s="222"/>
      <c r="DL178" s="222"/>
      <c r="DM178" s="222"/>
      <c r="DN178" s="222"/>
      <c r="DO178" s="222"/>
      <c r="DP178" s="222"/>
      <c r="DQ178" s="222"/>
      <c r="DR178" s="222"/>
      <c r="DS178" s="222"/>
      <c r="DT178" s="222"/>
      <c r="DU178" s="222"/>
      <c r="DV178" s="222"/>
      <c r="DW178" s="325"/>
      <c r="DX178" s="325"/>
      <c r="DY178" s="325"/>
      <c r="DZ178" s="325"/>
      <c r="EA178" s="325"/>
      <c r="EB178" s="325"/>
      <c r="EC178" s="325"/>
      <c r="ED178" s="325"/>
      <c r="EE178" s="325"/>
      <c r="EF178" s="325"/>
      <c r="EG178" s="325"/>
      <c r="EH178" s="325"/>
    </row>
    <row r="179" spans="1:138">
      <c r="A179" s="222"/>
      <c r="B179" s="318"/>
      <c r="C179" s="310" t="s">
        <v>309</v>
      </c>
      <c r="D179" s="311"/>
      <c r="E179" s="312">
        <f t="shared" ref="E179:G179" si="63">-(E8+E94)</f>
        <v>0</v>
      </c>
      <c r="F179" s="312">
        <f t="shared" si="63"/>
        <v>0</v>
      </c>
      <c r="G179" s="312">
        <f t="shared" si="63"/>
        <v>0</v>
      </c>
      <c r="H179" s="311">
        <f>-5341205.5</f>
        <v>-5341205.5</v>
      </c>
      <c r="I179" s="311">
        <v>0</v>
      </c>
      <c r="J179" s="311">
        <v>0</v>
      </c>
      <c r="K179" s="311">
        <v>0</v>
      </c>
      <c r="L179" s="311">
        <v>0</v>
      </c>
      <c r="M179" s="311">
        <v>0</v>
      </c>
      <c r="N179" s="311">
        <v>0</v>
      </c>
      <c r="O179" s="311">
        <v>0</v>
      </c>
      <c r="P179" s="311">
        <v>0</v>
      </c>
      <c r="Q179" s="311">
        <v>0</v>
      </c>
      <c r="R179" s="311">
        <v>0</v>
      </c>
      <c r="S179" s="311">
        <v>0</v>
      </c>
      <c r="T179" s="311">
        <f>5341205.5</f>
        <v>5341205.5</v>
      </c>
      <c r="U179" s="312">
        <f t="shared" ref="U179:BX179" si="64">-(U8+U94)</f>
        <v>0</v>
      </c>
      <c r="V179" s="312">
        <f t="shared" si="64"/>
        <v>0</v>
      </c>
      <c r="W179" s="312">
        <f t="shared" si="64"/>
        <v>0</v>
      </c>
      <c r="X179" s="312">
        <f t="shared" si="64"/>
        <v>0</v>
      </c>
      <c r="Y179" s="312">
        <f t="shared" si="64"/>
        <v>0</v>
      </c>
      <c r="Z179" s="312">
        <f t="shared" si="64"/>
        <v>0</v>
      </c>
      <c r="AA179" s="312">
        <f t="shared" si="64"/>
        <v>0</v>
      </c>
      <c r="AB179" s="312">
        <f t="shared" si="64"/>
        <v>0</v>
      </c>
      <c r="AC179" s="312">
        <f t="shared" si="64"/>
        <v>0</v>
      </c>
      <c r="AD179" s="312">
        <f t="shared" si="64"/>
        <v>0</v>
      </c>
      <c r="AE179" s="312">
        <f t="shared" si="64"/>
        <v>0</v>
      </c>
      <c r="AF179" s="312">
        <f t="shared" si="64"/>
        <v>0</v>
      </c>
      <c r="AG179" s="312">
        <f t="shared" si="64"/>
        <v>0</v>
      </c>
      <c r="AH179" s="312">
        <f t="shared" si="64"/>
        <v>0</v>
      </c>
      <c r="AI179" s="312">
        <f t="shared" si="64"/>
        <v>0</v>
      </c>
      <c r="AJ179" s="312">
        <f t="shared" si="64"/>
        <v>0</v>
      </c>
      <c r="AK179" s="312">
        <f t="shared" si="64"/>
        <v>0</v>
      </c>
      <c r="AL179" s="312">
        <f t="shared" si="64"/>
        <v>0</v>
      </c>
      <c r="AM179" s="312">
        <f t="shared" si="64"/>
        <v>0</v>
      </c>
      <c r="AN179" s="312">
        <f t="shared" si="64"/>
        <v>0</v>
      </c>
      <c r="AO179" s="312">
        <f t="shared" si="64"/>
        <v>0</v>
      </c>
      <c r="AP179" s="312">
        <f t="shared" si="64"/>
        <v>0</v>
      </c>
      <c r="AQ179" s="312">
        <f t="shared" si="64"/>
        <v>0</v>
      </c>
      <c r="AR179" s="312">
        <f t="shared" si="64"/>
        <v>0</v>
      </c>
      <c r="AS179" s="312">
        <f t="shared" si="64"/>
        <v>0</v>
      </c>
      <c r="AT179" s="312">
        <f t="shared" si="64"/>
        <v>0</v>
      </c>
      <c r="AU179" s="312">
        <f t="shared" si="64"/>
        <v>0</v>
      </c>
      <c r="AV179" s="312">
        <f t="shared" si="64"/>
        <v>0</v>
      </c>
      <c r="AW179" s="312">
        <f t="shared" si="64"/>
        <v>0</v>
      </c>
      <c r="AX179" s="312">
        <f t="shared" si="64"/>
        <v>0</v>
      </c>
      <c r="AY179" s="312">
        <f t="shared" si="64"/>
        <v>0</v>
      </c>
      <c r="AZ179" s="312">
        <f t="shared" si="64"/>
        <v>0</v>
      </c>
      <c r="BA179" s="312">
        <f t="shared" si="64"/>
        <v>0</v>
      </c>
      <c r="BB179" s="312">
        <f t="shared" si="64"/>
        <v>0</v>
      </c>
      <c r="BC179" s="312">
        <f t="shared" si="64"/>
        <v>0</v>
      </c>
      <c r="BD179" s="312">
        <f t="shared" si="64"/>
        <v>0</v>
      </c>
      <c r="BE179" s="312">
        <f t="shared" si="64"/>
        <v>0</v>
      </c>
      <c r="BF179" s="312">
        <f t="shared" si="64"/>
        <v>0</v>
      </c>
      <c r="BG179" s="312">
        <f t="shared" si="64"/>
        <v>0</v>
      </c>
      <c r="BH179" s="312">
        <f t="shared" si="64"/>
        <v>0</v>
      </c>
      <c r="BI179" s="312">
        <f t="shared" si="64"/>
        <v>0</v>
      </c>
      <c r="BJ179" s="312">
        <f t="shared" si="64"/>
        <v>0</v>
      </c>
      <c r="BK179" s="312">
        <f t="shared" si="64"/>
        <v>0</v>
      </c>
      <c r="BL179" s="312">
        <f t="shared" si="64"/>
        <v>0</v>
      </c>
      <c r="BM179" s="312">
        <f t="shared" si="64"/>
        <v>0</v>
      </c>
      <c r="BN179" s="312">
        <f t="shared" si="64"/>
        <v>0</v>
      </c>
      <c r="BO179" s="312">
        <f t="shared" si="64"/>
        <v>0</v>
      </c>
      <c r="BP179" s="312">
        <f t="shared" si="64"/>
        <v>0</v>
      </c>
      <c r="BQ179" s="312">
        <f t="shared" si="64"/>
        <v>0</v>
      </c>
      <c r="BR179" s="312">
        <f t="shared" si="64"/>
        <v>0</v>
      </c>
      <c r="BS179" s="312">
        <f t="shared" si="64"/>
        <v>0</v>
      </c>
      <c r="BT179" s="312">
        <f t="shared" si="64"/>
        <v>0</v>
      </c>
      <c r="BU179" s="312">
        <f t="shared" si="64"/>
        <v>0</v>
      </c>
      <c r="BV179" s="312">
        <f t="shared" si="64"/>
        <v>0</v>
      </c>
      <c r="BW179" s="312">
        <f t="shared" si="64"/>
        <v>0</v>
      </c>
      <c r="BX179" s="312">
        <f t="shared" si="64"/>
        <v>0</v>
      </c>
      <c r="BY179" s="222"/>
      <c r="BZ179" s="222"/>
      <c r="CA179" s="222"/>
      <c r="CB179" s="222"/>
      <c r="CC179" s="222"/>
      <c r="CD179" s="222"/>
      <c r="CE179" s="222"/>
      <c r="CF179" s="222"/>
      <c r="CG179" s="222"/>
      <c r="CH179" s="222"/>
      <c r="CI179" s="222"/>
      <c r="CJ179" s="222"/>
      <c r="CK179" s="222"/>
      <c r="CL179" s="222"/>
      <c r="CM179" s="222"/>
      <c r="CN179" s="222"/>
      <c r="CO179" s="222"/>
      <c r="CP179" s="222"/>
      <c r="CQ179" s="222"/>
      <c r="CR179" s="222"/>
      <c r="CS179" s="222"/>
      <c r="CT179" s="222"/>
      <c r="CU179" s="222"/>
      <c r="CV179" s="222"/>
      <c r="CW179" s="222"/>
      <c r="CX179" s="222"/>
      <c r="CY179" s="222"/>
      <c r="CZ179" s="222"/>
      <c r="DA179" s="222"/>
      <c r="DB179" s="222"/>
      <c r="DC179" s="222"/>
      <c r="DD179" s="222"/>
      <c r="DE179" s="222"/>
      <c r="DF179" s="222"/>
      <c r="DG179" s="222"/>
      <c r="DH179" s="222"/>
      <c r="DI179" s="222"/>
      <c r="DJ179" s="222"/>
      <c r="DK179" s="222"/>
      <c r="DL179" s="222"/>
      <c r="DM179" s="222"/>
      <c r="DN179" s="222"/>
      <c r="DO179" s="222"/>
      <c r="DP179" s="222"/>
      <c r="DQ179" s="222"/>
      <c r="DR179" s="222"/>
      <c r="DS179" s="222"/>
      <c r="DT179" s="222"/>
      <c r="DU179" s="222"/>
      <c r="DV179" s="222"/>
      <c r="DW179" s="222"/>
      <c r="DX179" s="222"/>
      <c r="DY179" s="222"/>
      <c r="DZ179" s="222"/>
      <c r="EA179" s="222"/>
      <c r="EB179" s="222"/>
      <c r="EC179" s="222"/>
      <c r="ED179" s="222"/>
      <c r="EE179" s="222"/>
      <c r="EF179" s="222"/>
      <c r="EG179" s="222"/>
      <c r="EH179" s="222"/>
    </row>
    <row r="180" spans="1:138">
      <c r="A180" s="222"/>
      <c r="B180" s="318"/>
      <c r="C180" s="310" t="s">
        <v>305</v>
      </c>
      <c r="D180" s="319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  <c r="O180" s="311"/>
      <c r="P180" s="311"/>
      <c r="Q180" s="311"/>
      <c r="R180" s="311"/>
      <c r="S180" s="311"/>
      <c r="T180" s="311"/>
      <c r="U180" s="311"/>
      <c r="V180" s="311"/>
      <c r="W180" s="311"/>
      <c r="X180" s="311"/>
      <c r="Y180" s="311"/>
      <c r="Z180" s="311"/>
      <c r="AA180" s="311"/>
      <c r="AB180" s="311"/>
      <c r="AC180" s="311"/>
      <c r="AD180" s="311"/>
      <c r="AE180" s="311"/>
      <c r="AF180" s="311"/>
      <c r="AG180" s="311"/>
      <c r="AH180" s="311"/>
      <c r="AI180" s="311"/>
      <c r="AJ180" s="311"/>
      <c r="AK180" s="311"/>
      <c r="AL180" s="311"/>
      <c r="AM180" s="311"/>
      <c r="AN180" s="311"/>
      <c r="AO180" s="311"/>
      <c r="AP180" s="311"/>
      <c r="AQ180" s="311"/>
      <c r="AR180" s="311"/>
      <c r="AS180" s="311"/>
      <c r="AT180" s="311"/>
      <c r="AU180" s="311"/>
      <c r="AV180" s="311"/>
      <c r="AW180" s="311"/>
      <c r="AX180" s="311"/>
      <c r="AY180" s="311"/>
      <c r="AZ180" s="311"/>
      <c r="BA180" s="311"/>
      <c r="BB180" s="311"/>
      <c r="BC180" s="312"/>
      <c r="BD180" s="311"/>
      <c r="BE180" s="311"/>
      <c r="BF180" s="311"/>
      <c r="BG180" s="311"/>
      <c r="BH180" s="311"/>
      <c r="BI180" s="311"/>
      <c r="BJ180" s="311"/>
      <c r="BK180" s="311"/>
      <c r="BL180" s="311"/>
      <c r="BM180" s="311"/>
      <c r="BN180" s="311"/>
      <c r="BO180" s="311"/>
      <c r="BP180" s="311"/>
      <c r="BQ180" s="311"/>
      <c r="BR180" s="311"/>
      <c r="BS180" s="311"/>
      <c r="BT180" s="311"/>
      <c r="BU180" s="311"/>
      <c r="BV180" s="311"/>
      <c r="BW180" s="311"/>
      <c r="BX180" s="311"/>
      <c r="BY180" s="307"/>
      <c r="BZ180" s="307"/>
      <c r="CA180" s="222"/>
      <c r="CB180" s="222"/>
      <c r="CC180" s="222"/>
      <c r="CD180" s="222"/>
      <c r="CE180" s="222"/>
      <c r="CF180" s="222"/>
      <c r="CG180" s="222"/>
      <c r="CH180" s="222"/>
      <c r="CI180" s="222"/>
      <c r="CJ180" s="222"/>
      <c r="CK180" s="222"/>
      <c r="CL180" s="222"/>
      <c r="CM180" s="222"/>
      <c r="CN180" s="222"/>
      <c r="CO180" s="222"/>
      <c r="CP180" s="222"/>
      <c r="CQ180" s="222"/>
      <c r="CR180" s="222"/>
      <c r="CS180" s="222"/>
      <c r="CT180" s="222"/>
      <c r="CU180" s="222"/>
      <c r="CV180" s="222"/>
      <c r="CW180" s="222"/>
      <c r="CX180" s="222"/>
      <c r="CY180" s="222"/>
      <c r="CZ180" s="222"/>
      <c r="DA180" s="222"/>
      <c r="DB180" s="222"/>
      <c r="DC180" s="222"/>
      <c r="DD180" s="222"/>
      <c r="DE180" s="222"/>
      <c r="DF180" s="222"/>
      <c r="DG180" s="222"/>
      <c r="DH180" s="222"/>
      <c r="DI180" s="222"/>
      <c r="DJ180" s="222"/>
      <c r="DK180" s="222"/>
      <c r="DL180" s="222"/>
      <c r="DM180" s="222"/>
      <c r="DN180" s="222"/>
      <c r="DO180" s="222"/>
      <c r="DP180" s="222"/>
      <c r="DQ180" s="222"/>
      <c r="DR180" s="222"/>
      <c r="DS180" s="222"/>
      <c r="DT180" s="222"/>
      <c r="DU180" s="222"/>
      <c r="DV180" s="222"/>
      <c r="DW180" s="222"/>
      <c r="DX180" s="222"/>
      <c r="DY180" s="222"/>
      <c r="DZ180" s="222"/>
      <c r="EA180" s="222"/>
      <c r="EB180" s="222"/>
      <c r="EC180" s="222"/>
      <c r="ED180" s="222"/>
      <c r="EE180" s="222"/>
      <c r="EF180" s="222"/>
      <c r="EG180" s="222"/>
      <c r="EH180" s="222"/>
    </row>
    <row r="181" spans="1:138">
      <c r="A181" s="222"/>
      <c r="B181" s="318"/>
      <c r="C181" s="310" t="s">
        <v>296</v>
      </c>
      <c r="D181" s="319"/>
      <c r="E181" s="311">
        <f t="shared" ref="E181:G181" si="65">-E59</f>
        <v>0</v>
      </c>
      <c r="F181" s="311">
        <f t="shared" si="65"/>
        <v>0</v>
      </c>
      <c r="G181" s="311">
        <f t="shared" si="65"/>
        <v>0</v>
      </c>
      <c r="H181" s="311">
        <f t="shared" ref="H181:T181" si="66">-H74</f>
        <v>0</v>
      </c>
      <c r="I181" s="311">
        <f t="shared" si="66"/>
        <v>0</v>
      </c>
      <c r="J181" s="311">
        <f t="shared" si="66"/>
        <v>0</v>
      </c>
      <c r="K181" s="311">
        <f t="shared" si="66"/>
        <v>0</v>
      </c>
      <c r="L181" s="311">
        <f t="shared" si="66"/>
        <v>0</v>
      </c>
      <c r="M181" s="311">
        <f t="shared" si="66"/>
        <v>0</v>
      </c>
      <c r="N181" s="311">
        <f t="shared" si="66"/>
        <v>0</v>
      </c>
      <c r="O181" s="311">
        <f t="shared" si="66"/>
        <v>0</v>
      </c>
      <c r="P181" s="311">
        <f t="shared" si="66"/>
        <v>0</v>
      </c>
      <c r="Q181" s="311">
        <f t="shared" si="66"/>
        <v>0</v>
      </c>
      <c r="R181" s="311">
        <f t="shared" si="66"/>
        <v>0</v>
      </c>
      <c r="S181" s="311">
        <f t="shared" si="66"/>
        <v>0</v>
      </c>
      <c r="T181" s="311">
        <f t="shared" si="66"/>
        <v>0</v>
      </c>
      <c r="U181" s="311">
        <f t="shared" ref="U181:BX181" si="67">-U59</f>
        <v>0</v>
      </c>
      <c r="V181" s="311">
        <f t="shared" si="67"/>
        <v>0</v>
      </c>
      <c r="W181" s="311">
        <f t="shared" si="67"/>
        <v>0</v>
      </c>
      <c r="X181" s="311">
        <f t="shared" si="67"/>
        <v>0</v>
      </c>
      <c r="Y181" s="311">
        <f t="shared" si="67"/>
        <v>0</v>
      </c>
      <c r="Z181" s="311">
        <f t="shared" si="67"/>
        <v>0</v>
      </c>
      <c r="AA181" s="311">
        <f t="shared" si="67"/>
        <v>0</v>
      </c>
      <c r="AB181" s="311">
        <f t="shared" si="67"/>
        <v>0</v>
      </c>
      <c r="AC181" s="311">
        <f t="shared" si="67"/>
        <v>0</v>
      </c>
      <c r="AD181" s="311">
        <f t="shared" si="67"/>
        <v>0</v>
      </c>
      <c r="AE181" s="311">
        <f t="shared" si="67"/>
        <v>0</v>
      </c>
      <c r="AF181" s="311">
        <f t="shared" si="67"/>
        <v>0</v>
      </c>
      <c r="AG181" s="311">
        <f t="shared" si="67"/>
        <v>0</v>
      </c>
      <c r="AH181" s="311">
        <f t="shared" si="67"/>
        <v>0</v>
      </c>
      <c r="AI181" s="311">
        <f t="shared" si="67"/>
        <v>0</v>
      </c>
      <c r="AJ181" s="311">
        <f t="shared" si="67"/>
        <v>0</v>
      </c>
      <c r="AK181" s="311">
        <f t="shared" si="67"/>
        <v>0</v>
      </c>
      <c r="AL181" s="311">
        <f t="shared" si="67"/>
        <v>0</v>
      </c>
      <c r="AM181" s="311">
        <f t="shared" si="67"/>
        <v>0</v>
      </c>
      <c r="AN181" s="311">
        <f t="shared" si="67"/>
        <v>0</v>
      </c>
      <c r="AO181" s="311">
        <f t="shared" si="67"/>
        <v>0</v>
      </c>
      <c r="AP181" s="311">
        <f t="shared" si="67"/>
        <v>0</v>
      </c>
      <c r="AQ181" s="311">
        <f t="shared" si="67"/>
        <v>0</v>
      </c>
      <c r="AR181" s="311">
        <f t="shared" si="67"/>
        <v>0</v>
      </c>
      <c r="AS181" s="311">
        <f t="shared" si="67"/>
        <v>0</v>
      </c>
      <c r="AT181" s="311">
        <f t="shared" si="67"/>
        <v>0</v>
      </c>
      <c r="AU181" s="311">
        <f t="shared" si="67"/>
        <v>0</v>
      </c>
      <c r="AV181" s="311">
        <f t="shared" si="67"/>
        <v>0</v>
      </c>
      <c r="AW181" s="311">
        <f t="shared" si="67"/>
        <v>0</v>
      </c>
      <c r="AX181" s="311">
        <f t="shared" si="67"/>
        <v>0</v>
      </c>
      <c r="AY181" s="311">
        <f t="shared" si="67"/>
        <v>0</v>
      </c>
      <c r="AZ181" s="311">
        <f t="shared" si="67"/>
        <v>0</v>
      </c>
      <c r="BA181" s="311">
        <f t="shared" si="67"/>
        <v>0</v>
      </c>
      <c r="BB181" s="311">
        <f t="shared" si="67"/>
        <v>0</v>
      </c>
      <c r="BC181" s="311">
        <f t="shared" si="67"/>
        <v>0</v>
      </c>
      <c r="BD181" s="311">
        <f t="shared" si="67"/>
        <v>0</v>
      </c>
      <c r="BE181" s="311">
        <f t="shared" si="67"/>
        <v>0</v>
      </c>
      <c r="BF181" s="311">
        <f t="shared" si="67"/>
        <v>0</v>
      </c>
      <c r="BG181" s="311">
        <f t="shared" si="67"/>
        <v>0</v>
      </c>
      <c r="BH181" s="311">
        <f t="shared" si="67"/>
        <v>0</v>
      </c>
      <c r="BI181" s="311">
        <f t="shared" si="67"/>
        <v>0</v>
      </c>
      <c r="BJ181" s="311">
        <f t="shared" si="67"/>
        <v>0</v>
      </c>
      <c r="BK181" s="311">
        <f t="shared" si="67"/>
        <v>0</v>
      </c>
      <c r="BL181" s="311">
        <f t="shared" si="67"/>
        <v>0</v>
      </c>
      <c r="BM181" s="311">
        <f t="shared" si="67"/>
        <v>0</v>
      </c>
      <c r="BN181" s="311">
        <f t="shared" si="67"/>
        <v>0</v>
      </c>
      <c r="BO181" s="311">
        <f t="shared" si="67"/>
        <v>0</v>
      </c>
      <c r="BP181" s="311">
        <f t="shared" si="67"/>
        <v>0</v>
      </c>
      <c r="BQ181" s="311">
        <f t="shared" si="67"/>
        <v>0</v>
      </c>
      <c r="BR181" s="311">
        <f t="shared" si="67"/>
        <v>0</v>
      </c>
      <c r="BS181" s="311">
        <f t="shared" si="67"/>
        <v>0</v>
      </c>
      <c r="BT181" s="311">
        <f t="shared" si="67"/>
        <v>0</v>
      </c>
      <c r="BU181" s="311">
        <f t="shared" si="67"/>
        <v>0</v>
      </c>
      <c r="BV181" s="311">
        <f t="shared" si="67"/>
        <v>0</v>
      </c>
      <c r="BW181" s="311">
        <f t="shared" si="67"/>
        <v>0</v>
      </c>
      <c r="BX181" s="311">
        <f t="shared" si="67"/>
        <v>0</v>
      </c>
      <c r="BY181" s="307"/>
      <c r="BZ181" s="307"/>
      <c r="CA181" s="222"/>
      <c r="CB181" s="222"/>
      <c r="CC181" s="222"/>
      <c r="CD181" s="222"/>
      <c r="CE181" s="222"/>
      <c r="CF181" s="222"/>
      <c r="CG181" s="222"/>
      <c r="CH181" s="222"/>
      <c r="CI181" s="222"/>
      <c r="CJ181" s="222"/>
      <c r="CK181" s="222"/>
      <c r="CL181" s="222"/>
      <c r="CM181" s="222"/>
      <c r="CN181" s="222"/>
      <c r="CO181" s="222"/>
      <c r="CP181" s="222"/>
      <c r="CQ181" s="222"/>
      <c r="CR181" s="222"/>
      <c r="CS181" s="222"/>
      <c r="CT181" s="222"/>
      <c r="CU181" s="222"/>
      <c r="CV181" s="222"/>
      <c r="CW181" s="222"/>
      <c r="CX181" s="222"/>
      <c r="CY181" s="222"/>
      <c r="CZ181" s="222"/>
      <c r="DA181" s="222"/>
      <c r="DB181" s="222"/>
      <c r="DC181" s="222"/>
      <c r="DD181" s="222"/>
      <c r="DE181" s="222"/>
      <c r="DF181" s="222"/>
      <c r="DG181" s="222"/>
      <c r="DH181" s="222"/>
      <c r="DI181" s="222"/>
      <c r="DJ181" s="222"/>
      <c r="DK181" s="222"/>
      <c r="DL181" s="222"/>
      <c r="DM181" s="222"/>
      <c r="DN181" s="222"/>
      <c r="DO181" s="222"/>
      <c r="DP181" s="222"/>
      <c r="DQ181" s="222"/>
      <c r="DR181" s="222"/>
      <c r="DS181" s="222"/>
      <c r="DT181" s="222"/>
      <c r="DU181" s="222"/>
      <c r="DV181" s="222"/>
      <c r="DW181" s="222"/>
      <c r="DX181" s="222"/>
      <c r="DY181" s="222"/>
      <c r="DZ181" s="222"/>
      <c r="EA181" s="222"/>
      <c r="EB181" s="222"/>
      <c r="EC181" s="222"/>
      <c r="ED181" s="222"/>
      <c r="EE181" s="222"/>
      <c r="EF181" s="222"/>
      <c r="EG181" s="222"/>
      <c r="EH181" s="222"/>
    </row>
    <row r="182" spans="1:138">
      <c r="A182" s="222"/>
      <c r="B182" s="318"/>
      <c r="C182" s="310" t="s">
        <v>297</v>
      </c>
      <c r="D182" s="319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  <c r="O182" s="311"/>
      <c r="P182" s="311"/>
      <c r="Q182" s="311"/>
      <c r="R182" s="311"/>
      <c r="S182" s="311"/>
      <c r="T182" s="311">
        <v>2750000</v>
      </c>
      <c r="U182" s="311"/>
      <c r="V182" s="311"/>
      <c r="W182" s="311"/>
      <c r="X182" s="311"/>
      <c r="Y182" s="311"/>
      <c r="Z182" s="311"/>
      <c r="AA182" s="311"/>
      <c r="AB182" s="311"/>
      <c r="AC182" s="311"/>
      <c r="AD182" s="311"/>
      <c r="AE182" s="311"/>
      <c r="AF182" s="311"/>
      <c r="AG182" s="311"/>
      <c r="AH182" s="311"/>
      <c r="AI182" s="311"/>
      <c r="AJ182" s="311"/>
      <c r="AK182" s="311"/>
      <c r="AL182" s="311"/>
      <c r="AM182" s="311"/>
      <c r="AN182" s="311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1"/>
      <c r="AZ182" s="311"/>
      <c r="BA182" s="311"/>
      <c r="BB182" s="311"/>
      <c r="BC182" s="312"/>
      <c r="BD182" s="311"/>
      <c r="BE182" s="311"/>
      <c r="BF182" s="311"/>
      <c r="BG182" s="311"/>
      <c r="BH182" s="311"/>
      <c r="BI182" s="311"/>
      <c r="BJ182" s="311"/>
      <c r="BK182" s="311"/>
      <c r="BL182" s="311"/>
      <c r="BM182" s="311"/>
      <c r="BN182" s="311"/>
      <c r="BO182" s="311"/>
      <c r="BP182" s="311"/>
      <c r="BQ182" s="311"/>
      <c r="BR182" s="311"/>
      <c r="BS182" s="311"/>
      <c r="BT182" s="311"/>
      <c r="BU182" s="311"/>
      <c r="BV182" s="311"/>
      <c r="BW182" s="311"/>
      <c r="BX182" s="311">
        <f>IF(D106&gt;0.25,(BX101-BX109)*D183,BX101*D183)</f>
        <v>0</v>
      </c>
      <c r="BY182" s="307"/>
      <c r="BZ182" s="307"/>
      <c r="CA182" s="222"/>
      <c r="CB182" s="222"/>
      <c r="CC182" s="222"/>
      <c r="CD182" s="222"/>
      <c r="CE182" s="222"/>
      <c r="CF182" s="222"/>
      <c r="CG182" s="222"/>
      <c r="CH182" s="222"/>
      <c r="CI182" s="222"/>
      <c r="CJ182" s="222"/>
      <c r="CK182" s="222"/>
      <c r="CL182" s="222"/>
      <c r="CM182" s="222"/>
      <c r="CN182" s="222"/>
      <c r="CO182" s="222"/>
      <c r="CP182" s="222"/>
      <c r="CQ182" s="222"/>
      <c r="CR182" s="222"/>
      <c r="CS182" s="222"/>
      <c r="CT182" s="222"/>
      <c r="CU182" s="222"/>
      <c r="CV182" s="222"/>
      <c r="CW182" s="222"/>
      <c r="CX182" s="222"/>
      <c r="CY182" s="222"/>
      <c r="CZ182" s="222"/>
      <c r="DA182" s="222"/>
      <c r="DB182" s="222"/>
      <c r="DC182" s="222"/>
      <c r="DD182" s="222"/>
      <c r="DE182" s="222"/>
      <c r="DF182" s="222"/>
      <c r="DG182" s="222"/>
      <c r="DH182" s="222"/>
      <c r="DI182" s="222"/>
      <c r="DJ182" s="222"/>
      <c r="DK182" s="222"/>
      <c r="DL182" s="222"/>
      <c r="DM182" s="222"/>
      <c r="DN182" s="222"/>
      <c r="DO182" s="222"/>
      <c r="DP182" s="222"/>
      <c r="DQ182" s="222"/>
      <c r="DR182" s="222"/>
      <c r="DS182" s="222"/>
      <c r="DT182" s="222"/>
      <c r="DU182" s="222"/>
      <c r="DV182" s="222"/>
      <c r="DW182" s="222"/>
      <c r="DX182" s="222"/>
      <c r="DY182" s="222"/>
      <c r="DZ182" s="222"/>
      <c r="EA182" s="222"/>
      <c r="EB182" s="222"/>
      <c r="EC182" s="222"/>
      <c r="ED182" s="222"/>
      <c r="EE182" s="222"/>
      <c r="EF182" s="222"/>
      <c r="EG182" s="222"/>
      <c r="EH182" s="222"/>
    </row>
    <row r="183" spans="1:138">
      <c r="A183" s="222"/>
      <c r="B183" s="318"/>
      <c r="C183" s="313" t="s">
        <v>298</v>
      </c>
      <c r="D183" s="319">
        <v>0</v>
      </c>
      <c r="E183" s="311"/>
      <c r="F183" s="311"/>
      <c r="G183" s="311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311"/>
      <c r="V183" s="311"/>
      <c r="W183" s="311"/>
      <c r="X183" s="311"/>
      <c r="Y183" s="311"/>
      <c r="Z183" s="311"/>
      <c r="AA183" s="311"/>
      <c r="AB183" s="311"/>
      <c r="AC183" s="311"/>
      <c r="AD183" s="311"/>
      <c r="AE183" s="311"/>
      <c r="AF183" s="311"/>
      <c r="AG183" s="311"/>
      <c r="AH183" s="311"/>
      <c r="AI183" s="311"/>
      <c r="AJ183" s="311"/>
      <c r="AK183" s="311"/>
      <c r="AL183" s="311"/>
      <c r="AM183" s="311"/>
      <c r="AN183" s="311"/>
      <c r="AO183" s="311"/>
      <c r="AP183" s="311"/>
      <c r="AQ183" s="311"/>
      <c r="AR183" s="311"/>
      <c r="AS183" s="311"/>
      <c r="AT183" s="311"/>
      <c r="AU183" s="311"/>
      <c r="AV183" s="311"/>
      <c r="AW183" s="311"/>
      <c r="AX183" s="311"/>
      <c r="AY183" s="311"/>
      <c r="AZ183" s="311"/>
      <c r="BA183" s="311"/>
      <c r="BB183" s="311"/>
      <c r="BC183" s="312"/>
      <c r="BD183" s="311"/>
      <c r="BE183" s="311"/>
      <c r="BF183" s="311"/>
      <c r="BG183" s="311"/>
      <c r="BH183" s="311"/>
      <c r="BI183" s="311"/>
      <c r="BJ183" s="311"/>
      <c r="BK183" s="311"/>
      <c r="BL183" s="311"/>
      <c r="BM183" s="311"/>
      <c r="BN183" s="311"/>
      <c r="BO183" s="311"/>
      <c r="BP183" s="311"/>
      <c r="BQ183" s="311"/>
      <c r="BR183" s="311"/>
      <c r="BS183" s="311"/>
      <c r="BT183" s="311"/>
      <c r="BU183" s="311"/>
      <c r="BV183" s="311"/>
      <c r="BW183" s="311"/>
      <c r="BX183" s="311"/>
      <c r="BY183" s="307"/>
      <c r="BZ183" s="307"/>
      <c r="CA183" s="222"/>
      <c r="CB183" s="222"/>
      <c r="CC183" s="222"/>
      <c r="CD183" s="222"/>
      <c r="CE183" s="222"/>
      <c r="CF183" s="222"/>
      <c r="CG183" s="222"/>
      <c r="CH183" s="222"/>
      <c r="CI183" s="222"/>
      <c r="CJ183" s="222"/>
      <c r="CK183" s="222"/>
      <c r="CL183" s="222"/>
      <c r="CM183" s="222"/>
      <c r="CN183" s="222"/>
      <c r="CO183" s="222"/>
      <c r="CP183" s="222"/>
      <c r="CQ183" s="222"/>
      <c r="CR183" s="222"/>
      <c r="CS183" s="222"/>
      <c r="CT183" s="222"/>
      <c r="CU183" s="222"/>
      <c r="CV183" s="222"/>
      <c r="CW183" s="222"/>
      <c r="CX183" s="222"/>
      <c r="CY183" s="222"/>
      <c r="CZ183" s="222"/>
      <c r="DA183" s="222"/>
      <c r="DB183" s="222"/>
      <c r="DC183" s="222"/>
      <c r="DD183" s="222"/>
      <c r="DE183" s="222"/>
      <c r="DF183" s="222"/>
      <c r="DG183" s="222"/>
      <c r="DH183" s="222"/>
      <c r="DI183" s="222"/>
      <c r="DJ183" s="222"/>
      <c r="DK183" s="222"/>
      <c r="DL183" s="222"/>
      <c r="DM183" s="222"/>
      <c r="DN183" s="222"/>
      <c r="DO183" s="222"/>
      <c r="DP183" s="222"/>
      <c r="DQ183" s="222"/>
      <c r="DR183" s="222"/>
      <c r="DS183" s="222"/>
      <c r="DT183" s="222"/>
      <c r="DU183" s="222"/>
      <c r="DV183" s="222"/>
      <c r="DW183" s="222"/>
      <c r="DX183" s="222"/>
      <c r="DY183" s="222"/>
      <c r="DZ183" s="222"/>
      <c r="EA183" s="222"/>
      <c r="EB183" s="222"/>
      <c r="EC183" s="222"/>
      <c r="ED183" s="222"/>
      <c r="EE183" s="222"/>
      <c r="EF183" s="222"/>
      <c r="EG183" s="222"/>
      <c r="EH183" s="222"/>
    </row>
    <row r="184" spans="1:138">
      <c r="A184" s="222"/>
      <c r="B184" s="318"/>
      <c r="C184" s="310" t="s">
        <v>299</v>
      </c>
      <c r="D184" s="311"/>
      <c r="E184" s="321">
        <f t="shared" ref="E184:BX184" si="68">E179+E180+E181+E182+E183</f>
        <v>0</v>
      </c>
      <c r="F184" s="321">
        <f t="shared" si="68"/>
        <v>0</v>
      </c>
      <c r="G184" s="321">
        <f t="shared" si="68"/>
        <v>0</v>
      </c>
      <c r="H184" s="321">
        <f t="shared" si="68"/>
        <v>-5341205.5</v>
      </c>
      <c r="I184" s="321">
        <f t="shared" si="68"/>
        <v>0</v>
      </c>
      <c r="J184" s="321">
        <f t="shared" si="68"/>
        <v>0</v>
      </c>
      <c r="K184" s="321">
        <f t="shared" si="68"/>
        <v>0</v>
      </c>
      <c r="L184" s="321">
        <f t="shared" si="68"/>
        <v>0</v>
      </c>
      <c r="M184" s="321">
        <f t="shared" si="68"/>
        <v>0</v>
      </c>
      <c r="N184" s="321">
        <f t="shared" si="68"/>
        <v>0</v>
      </c>
      <c r="O184" s="321">
        <f t="shared" si="68"/>
        <v>0</v>
      </c>
      <c r="P184" s="321">
        <f t="shared" si="68"/>
        <v>0</v>
      </c>
      <c r="Q184" s="321">
        <f t="shared" si="68"/>
        <v>0</v>
      </c>
      <c r="R184" s="321">
        <f t="shared" si="68"/>
        <v>0</v>
      </c>
      <c r="S184" s="321">
        <f t="shared" si="68"/>
        <v>0</v>
      </c>
      <c r="T184" s="321">
        <f t="shared" si="68"/>
        <v>8091205.5</v>
      </c>
      <c r="U184" s="321">
        <f t="shared" si="68"/>
        <v>0</v>
      </c>
      <c r="V184" s="321">
        <f t="shared" si="68"/>
        <v>0</v>
      </c>
      <c r="W184" s="321">
        <f t="shared" si="68"/>
        <v>0</v>
      </c>
      <c r="X184" s="321">
        <f t="shared" si="68"/>
        <v>0</v>
      </c>
      <c r="Y184" s="321">
        <f t="shared" si="68"/>
        <v>0</v>
      </c>
      <c r="Z184" s="321">
        <f t="shared" si="68"/>
        <v>0</v>
      </c>
      <c r="AA184" s="321">
        <f t="shared" si="68"/>
        <v>0</v>
      </c>
      <c r="AB184" s="321">
        <f t="shared" si="68"/>
        <v>0</v>
      </c>
      <c r="AC184" s="321">
        <f t="shared" si="68"/>
        <v>0</v>
      </c>
      <c r="AD184" s="321">
        <f t="shared" si="68"/>
        <v>0</v>
      </c>
      <c r="AE184" s="321">
        <f t="shared" si="68"/>
        <v>0</v>
      </c>
      <c r="AF184" s="321">
        <f t="shared" si="68"/>
        <v>0</v>
      </c>
      <c r="AG184" s="321">
        <f t="shared" si="68"/>
        <v>0</v>
      </c>
      <c r="AH184" s="321">
        <f t="shared" si="68"/>
        <v>0</v>
      </c>
      <c r="AI184" s="321">
        <f t="shared" si="68"/>
        <v>0</v>
      </c>
      <c r="AJ184" s="321">
        <f t="shared" si="68"/>
        <v>0</v>
      </c>
      <c r="AK184" s="321">
        <f t="shared" si="68"/>
        <v>0</v>
      </c>
      <c r="AL184" s="321">
        <f t="shared" si="68"/>
        <v>0</v>
      </c>
      <c r="AM184" s="321">
        <f t="shared" si="68"/>
        <v>0</v>
      </c>
      <c r="AN184" s="321">
        <f t="shared" si="68"/>
        <v>0</v>
      </c>
      <c r="AO184" s="321">
        <f t="shared" si="68"/>
        <v>0</v>
      </c>
      <c r="AP184" s="321">
        <f t="shared" si="68"/>
        <v>0</v>
      </c>
      <c r="AQ184" s="321">
        <f t="shared" si="68"/>
        <v>0</v>
      </c>
      <c r="AR184" s="321">
        <f t="shared" si="68"/>
        <v>0</v>
      </c>
      <c r="AS184" s="321">
        <f t="shared" si="68"/>
        <v>0</v>
      </c>
      <c r="AT184" s="321">
        <f t="shared" si="68"/>
        <v>0</v>
      </c>
      <c r="AU184" s="321">
        <f t="shared" si="68"/>
        <v>0</v>
      </c>
      <c r="AV184" s="321">
        <f t="shared" si="68"/>
        <v>0</v>
      </c>
      <c r="AW184" s="321">
        <f t="shared" si="68"/>
        <v>0</v>
      </c>
      <c r="AX184" s="321">
        <f t="shared" si="68"/>
        <v>0</v>
      </c>
      <c r="AY184" s="321">
        <f t="shared" si="68"/>
        <v>0</v>
      </c>
      <c r="AZ184" s="321">
        <f t="shared" si="68"/>
        <v>0</v>
      </c>
      <c r="BA184" s="321">
        <f t="shared" si="68"/>
        <v>0</v>
      </c>
      <c r="BB184" s="321">
        <f t="shared" si="68"/>
        <v>0</v>
      </c>
      <c r="BC184" s="321">
        <f t="shared" si="68"/>
        <v>0</v>
      </c>
      <c r="BD184" s="321">
        <f t="shared" si="68"/>
        <v>0</v>
      </c>
      <c r="BE184" s="321">
        <f t="shared" si="68"/>
        <v>0</v>
      </c>
      <c r="BF184" s="321">
        <f t="shared" si="68"/>
        <v>0</v>
      </c>
      <c r="BG184" s="321">
        <f t="shared" si="68"/>
        <v>0</v>
      </c>
      <c r="BH184" s="321">
        <f t="shared" si="68"/>
        <v>0</v>
      </c>
      <c r="BI184" s="321">
        <f t="shared" si="68"/>
        <v>0</v>
      </c>
      <c r="BJ184" s="321">
        <f t="shared" si="68"/>
        <v>0</v>
      </c>
      <c r="BK184" s="321">
        <f t="shared" si="68"/>
        <v>0</v>
      </c>
      <c r="BL184" s="321">
        <f t="shared" si="68"/>
        <v>0</v>
      </c>
      <c r="BM184" s="321">
        <f t="shared" si="68"/>
        <v>0</v>
      </c>
      <c r="BN184" s="321">
        <f t="shared" si="68"/>
        <v>0</v>
      </c>
      <c r="BO184" s="321">
        <f t="shared" si="68"/>
        <v>0</v>
      </c>
      <c r="BP184" s="321">
        <f t="shared" si="68"/>
        <v>0</v>
      </c>
      <c r="BQ184" s="321">
        <f t="shared" si="68"/>
        <v>0</v>
      </c>
      <c r="BR184" s="321">
        <f t="shared" si="68"/>
        <v>0</v>
      </c>
      <c r="BS184" s="321">
        <f t="shared" si="68"/>
        <v>0</v>
      </c>
      <c r="BT184" s="321">
        <f t="shared" si="68"/>
        <v>0</v>
      </c>
      <c r="BU184" s="321">
        <f t="shared" si="68"/>
        <v>0</v>
      </c>
      <c r="BV184" s="321">
        <f t="shared" si="68"/>
        <v>0</v>
      </c>
      <c r="BW184" s="321">
        <f t="shared" si="68"/>
        <v>0</v>
      </c>
      <c r="BX184" s="321">
        <f t="shared" si="68"/>
        <v>0</v>
      </c>
      <c r="BY184" s="222"/>
      <c r="BZ184" s="222"/>
      <c r="CA184" s="222"/>
      <c r="CB184" s="222"/>
      <c r="CC184" s="222"/>
      <c r="CD184" s="222"/>
      <c r="CE184" s="222"/>
      <c r="CF184" s="222"/>
      <c r="CG184" s="222"/>
      <c r="CH184" s="222"/>
      <c r="CI184" s="222"/>
      <c r="CJ184" s="222"/>
      <c r="CK184" s="222"/>
      <c r="CL184" s="222"/>
      <c r="CM184" s="222"/>
      <c r="CN184" s="222"/>
      <c r="CO184" s="222"/>
      <c r="CP184" s="222"/>
      <c r="CQ184" s="222"/>
      <c r="CR184" s="222"/>
      <c r="CS184" s="222"/>
      <c r="CT184" s="222"/>
      <c r="CU184" s="222"/>
      <c r="CV184" s="222"/>
      <c r="CW184" s="222"/>
      <c r="CX184" s="222"/>
      <c r="CY184" s="222"/>
      <c r="CZ184" s="222"/>
      <c r="DA184" s="222"/>
      <c r="DB184" s="222"/>
      <c r="DC184" s="222"/>
      <c r="DD184" s="222"/>
      <c r="DE184" s="222"/>
      <c r="DF184" s="222"/>
      <c r="DG184" s="222"/>
      <c r="DH184" s="222"/>
      <c r="DI184" s="222"/>
      <c r="DJ184" s="222"/>
      <c r="DK184" s="222"/>
      <c r="DL184" s="222"/>
      <c r="DM184" s="222"/>
      <c r="DN184" s="222"/>
      <c r="DO184" s="222"/>
      <c r="DP184" s="222"/>
      <c r="DQ184" s="222"/>
      <c r="DR184" s="222"/>
      <c r="DS184" s="222"/>
      <c r="DT184" s="222"/>
      <c r="DU184" s="222"/>
      <c r="DV184" s="222"/>
      <c r="DW184" s="222"/>
      <c r="DX184" s="222"/>
      <c r="DY184" s="222"/>
      <c r="DZ184" s="222"/>
      <c r="EA184" s="222"/>
      <c r="EB184" s="222"/>
      <c r="EC184" s="222"/>
      <c r="ED184" s="222"/>
      <c r="EE184" s="222"/>
      <c r="EF184" s="222"/>
      <c r="EG184" s="222"/>
      <c r="EH184" s="222"/>
    </row>
    <row r="185" spans="1:138">
      <c r="A185" s="222"/>
      <c r="B185" s="318"/>
      <c r="C185" s="314"/>
      <c r="D185" s="322" t="s">
        <v>306</v>
      </c>
      <c r="E185" s="327">
        <f>E184</f>
        <v>0</v>
      </c>
      <c r="F185" s="327">
        <f t="shared" ref="F185:BX185" si="69">E185+F184</f>
        <v>0</v>
      </c>
      <c r="G185" s="327">
        <f t="shared" si="69"/>
        <v>0</v>
      </c>
      <c r="H185" s="327">
        <f t="shared" si="69"/>
        <v>-5341205.5</v>
      </c>
      <c r="I185" s="327">
        <f t="shared" si="69"/>
        <v>-5341205.5</v>
      </c>
      <c r="J185" s="327">
        <f t="shared" si="69"/>
        <v>-5341205.5</v>
      </c>
      <c r="K185" s="327">
        <f t="shared" si="69"/>
        <v>-5341205.5</v>
      </c>
      <c r="L185" s="327">
        <f t="shared" si="69"/>
        <v>-5341205.5</v>
      </c>
      <c r="M185" s="327">
        <f t="shared" si="69"/>
        <v>-5341205.5</v>
      </c>
      <c r="N185" s="327">
        <f t="shared" si="69"/>
        <v>-5341205.5</v>
      </c>
      <c r="O185" s="327">
        <f t="shared" si="69"/>
        <v>-5341205.5</v>
      </c>
      <c r="P185" s="327">
        <f t="shared" si="69"/>
        <v>-5341205.5</v>
      </c>
      <c r="Q185" s="327">
        <f t="shared" si="69"/>
        <v>-5341205.5</v>
      </c>
      <c r="R185" s="327">
        <f t="shared" si="69"/>
        <v>-5341205.5</v>
      </c>
      <c r="S185" s="327">
        <f t="shared" si="69"/>
        <v>-5341205.5</v>
      </c>
      <c r="T185" s="327">
        <f t="shared" si="69"/>
        <v>2750000</v>
      </c>
      <c r="U185" s="327">
        <f t="shared" si="69"/>
        <v>2750000</v>
      </c>
      <c r="V185" s="328">
        <f t="shared" si="69"/>
        <v>2750000</v>
      </c>
      <c r="W185" s="328">
        <f t="shared" si="69"/>
        <v>2750000</v>
      </c>
      <c r="X185" s="328">
        <f t="shared" si="69"/>
        <v>2750000</v>
      </c>
      <c r="Y185" s="328">
        <f t="shared" si="69"/>
        <v>2750000</v>
      </c>
      <c r="Z185" s="328">
        <f t="shared" si="69"/>
        <v>2750000</v>
      </c>
      <c r="AA185" s="328">
        <f t="shared" si="69"/>
        <v>2750000</v>
      </c>
      <c r="AB185" s="328">
        <f t="shared" si="69"/>
        <v>2750000</v>
      </c>
      <c r="AC185" s="328">
        <f t="shared" si="69"/>
        <v>2750000</v>
      </c>
      <c r="AD185" s="328">
        <f t="shared" si="69"/>
        <v>2750000</v>
      </c>
      <c r="AE185" s="328">
        <f t="shared" si="69"/>
        <v>2750000</v>
      </c>
      <c r="AF185" s="328">
        <f t="shared" si="69"/>
        <v>2750000</v>
      </c>
      <c r="AG185" s="328">
        <f t="shared" si="69"/>
        <v>2750000</v>
      </c>
      <c r="AH185" s="328">
        <f t="shared" si="69"/>
        <v>2750000</v>
      </c>
      <c r="AI185" s="328">
        <f t="shared" si="69"/>
        <v>2750000</v>
      </c>
      <c r="AJ185" s="328">
        <f t="shared" si="69"/>
        <v>2750000</v>
      </c>
      <c r="AK185" s="328">
        <f t="shared" si="69"/>
        <v>2750000</v>
      </c>
      <c r="AL185" s="328">
        <f t="shared" si="69"/>
        <v>2750000</v>
      </c>
      <c r="AM185" s="328">
        <f t="shared" si="69"/>
        <v>2750000</v>
      </c>
      <c r="AN185" s="328">
        <f t="shared" si="69"/>
        <v>2750000</v>
      </c>
      <c r="AO185" s="328">
        <f t="shared" si="69"/>
        <v>2750000</v>
      </c>
      <c r="AP185" s="328">
        <f t="shared" si="69"/>
        <v>2750000</v>
      </c>
      <c r="AQ185" s="328">
        <f t="shared" si="69"/>
        <v>2750000</v>
      </c>
      <c r="AR185" s="328">
        <f t="shared" si="69"/>
        <v>2750000</v>
      </c>
      <c r="AS185" s="328">
        <f t="shared" si="69"/>
        <v>2750000</v>
      </c>
      <c r="AT185" s="328">
        <f t="shared" si="69"/>
        <v>2750000</v>
      </c>
      <c r="AU185" s="328">
        <f t="shared" si="69"/>
        <v>2750000</v>
      </c>
      <c r="AV185" s="328">
        <f t="shared" si="69"/>
        <v>2750000</v>
      </c>
      <c r="AW185" s="328">
        <f t="shared" si="69"/>
        <v>2750000</v>
      </c>
      <c r="AX185" s="328">
        <f t="shared" si="69"/>
        <v>2750000</v>
      </c>
      <c r="AY185" s="328">
        <f t="shared" si="69"/>
        <v>2750000</v>
      </c>
      <c r="AZ185" s="328">
        <f t="shared" si="69"/>
        <v>2750000</v>
      </c>
      <c r="BA185" s="328">
        <f t="shared" si="69"/>
        <v>2750000</v>
      </c>
      <c r="BB185" s="328">
        <f t="shared" si="69"/>
        <v>2750000</v>
      </c>
      <c r="BC185" s="327">
        <f t="shared" si="69"/>
        <v>2750000</v>
      </c>
      <c r="BD185" s="327">
        <f t="shared" si="69"/>
        <v>2750000</v>
      </c>
      <c r="BE185" s="327">
        <f t="shared" si="69"/>
        <v>2750000</v>
      </c>
      <c r="BF185" s="327">
        <f t="shared" si="69"/>
        <v>2750000</v>
      </c>
      <c r="BG185" s="327">
        <f t="shared" si="69"/>
        <v>2750000</v>
      </c>
      <c r="BH185" s="327">
        <f t="shared" si="69"/>
        <v>2750000</v>
      </c>
      <c r="BI185" s="327">
        <f t="shared" si="69"/>
        <v>2750000</v>
      </c>
      <c r="BJ185" s="327">
        <f t="shared" si="69"/>
        <v>2750000</v>
      </c>
      <c r="BK185" s="327">
        <f t="shared" si="69"/>
        <v>2750000</v>
      </c>
      <c r="BL185" s="327">
        <f t="shared" si="69"/>
        <v>2750000</v>
      </c>
      <c r="BM185" s="327">
        <f t="shared" si="69"/>
        <v>2750000</v>
      </c>
      <c r="BN185" s="327">
        <f t="shared" si="69"/>
        <v>2750000</v>
      </c>
      <c r="BO185" s="327">
        <f t="shared" si="69"/>
        <v>2750000</v>
      </c>
      <c r="BP185" s="327">
        <f t="shared" si="69"/>
        <v>2750000</v>
      </c>
      <c r="BQ185" s="327">
        <f t="shared" si="69"/>
        <v>2750000</v>
      </c>
      <c r="BR185" s="327">
        <f t="shared" si="69"/>
        <v>2750000</v>
      </c>
      <c r="BS185" s="327">
        <f t="shared" si="69"/>
        <v>2750000</v>
      </c>
      <c r="BT185" s="327">
        <f t="shared" si="69"/>
        <v>2750000</v>
      </c>
      <c r="BU185" s="327">
        <f t="shared" si="69"/>
        <v>2750000</v>
      </c>
      <c r="BV185" s="327">
        <f t="shared" si="69"/>
        <v>2750000</v>
      </c>
      <c r="BW185" s="327">
        <f t="shared" si="69"/>
        <v>2750000</v>
      </c>
      <c r="BX185" s="327">
        <f t="shared" si="69"/>
        <v>2750000</v>
      </c>
      <c r="BY185" s="222"/>
      <c r="BZ185" s="222"/>
      <c r="CA185" s="222"/>
      <c r="CB185" s="222"/>
      <c r="CC185" s="222"/>
      <c r="CD185" s="222"/>
      <c r="CE185" s="222"/>
      <c r="CF185" s="222"/>
      <c r="CG185" s="222"/>
      <c r="CH185" s="222"/>
      <c r="CI185" s="222"/>
      <c r="CJ185" s="222"/>
      <c r="CK185" s="222"/>
      <c r="CL185" s="222"/>
      <c r="CM185" s="222"/>
      <c r="CN185" s="222"/>
      <c r="CO185" s="222"/>
      <c r="CP185" s="222"/>
      <c r="CQ185" s="222"/>
      <c r="CR185" s="222"/>
      <c r="CS185" s="222"/>
      <c r="CT185" s="222"/>
      <c r="CU185" s="222"/>
      <c r="CV185" s="222"/>
      <c r="CW185" s="222"/>
      <c r="CX185" s="222"/>
      <c r="CY185" s="222"/>
      <c r="CZ185" s="222"/>
      <c r="DA185" s="222"/>
      <c r="DB185" s="222"/>
      <c r="DC185" s="222"/>
      <c r="DD185" s="222"/>
      <c r="DE185" s="222"/>
      <c r="DF185" s="222"/>
      <c r="DG185" s="222"/>
      <c r="DH185" s="222"/>
      <c r="DI185" s="222"/>
      <c r="DJ185" s="222"/>
      <c r="DK185" s="222"/>
      <c r="DL185" s="222"/>
      <c r="DM185" s="222"/>
      <c r="DN185" s="222"/>
      <c r="DO185" s="222"/>
      <c r="DP185" s="222"/>
      <c r="DQ185" s="222"/>
      <c r="DR185" s="222"/>
      <c r="DS185" s="222"/>
      <c r="DT185" s="222"/>
      <c r="DU185" s="222"/>
      <c r="DV185" s="222"/>
      <c r="DW185" s="222"/>
      <c r="DX185" s="222"/>
      <c r="DY185" s="222"/>
      <c r="DZ185" s="222"/>
      <c r="EA185" s="222"/>
      <c r="EB185" s="222"/>
      <c r="EC185" s="222"/>
      <c r="ED185" s="222"/>
      <c r="EE185" s="222"/>
      <c r="EF185" s="222"/>
      <c r="EG185" s="222"/>
      <c r="EH185" s="222"/>
    </row>
    <row r="186" spans="1:138">
      <c r="A186" s="222"/>
      <c r="B186" s="318"/>
      <c r="C186" s="313" t="s">
        <v>292</v>
      </c>
      <c r="D186" s="322">
        <f>IRR(E184:BX184)*12</f>
        <v>0.42259732866030397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2"/>
      <c r="AX186" s="222"/>
      <c r="AY186" s="222"/>
      <c r="AZ186" s="222"/>
      <c r="BA186" s="222"/>
      <c r="BB186" s="222"/>
      <c r="BC186" s="222"/>
      <c r="BD186" s="222"/>
      <c r="BE186" s="222"/>
      <c r="BF186" s="222"/>
      <c r="BG186" s="222"/>
      <c r="BH186" s="222"/>
      <c r="BI186" s="222"/>
      <c r="BJ186" s="222"/>
      <c r="BK186" s="222"/>
      <c r="BL186" s="222"/>
      <c r="BM186" s="222"/>
      <c r="BN186" s="222"/>
      <c r="BO186" s="222"/>
      <c r="BP186" s="222"/>
      <c r="BQ186" s="222"/>
      <c r="BR186" s="222"/>
      <c r="BS186" s="222"/>
      <c r="BT186" s="222"/>
      <c r="BU186" s="222"/>
      <c r="BV186" s="222"/>
      <c r="BW186" s="222"/>
      <c r="BX186" s="222"/>
      <c r="BY186" s="222"/>
      <c r="BZ186" s="222"/>
      <c r="CA186" s="222"/>
      <c r="CB186" s="222"/>
      <c r="CC186" s="222"/>
      <c r="CD186" s="222"/>
      <c r="CE186" s="222"/>
      <c r="CF186" s="222"/>
      <c r="CG186" s="222"/>
      <c r="CH186" s="222"/>
      <c r="CI186" s="222"/>
      <c r="CJ186" s="222"/>
      <c r="CK186" s="222"/>
      <c r="CL186" s="222"/>
      <c r="CM186" s="222"/>
      <c r="CN186" s="222"/>
      <c r="CO186" s="222"/>
      <c r="CP186" s="222"/>
      <c r="CQ186" s="222"/>
      <c r="CR186" s="222"/>
      <c r="CS186" s="222"/>
      <c r="CT186" s="222"/>
      <c r="CU186" s="222"/>
      <c r="CV186" s="222"/>
      <c r="CW186" s="222"/>
      <c r="CX186" s="222"/>
      <c r="CY186" s="222"/>
      <c r="CZ186" s="222"/>
      <c r="DA186" s="222"/>
      <c r="DB186" s="222"/>
      <c r="DC186" s="222"/>
      <c r="DD186" s="222"/>
      <c r="DE186" s="222"/>
      <c r="DF186" s="222"/>
      <c r="DG186" s="222"/>
      <c r="DH186" s="222"/>
      <c r="DI186" s="222"/>
      <c r="DJ186" s="222"/>
      <c r="DK186" s="222"/>
      <c r="DL186" s="222"/>
      <c r="DM186" s="222"/>
      <c r="DN186" s="222"/>
      <c r="DO186" s="222"/>
      <c r="DP186" s="222"/>
      <c r="DQ186" s="222"/>
      <c r="DR186" s="222"/>
      <c r="DS186" s="222"/>
      <c r="DT186" s="222"/>
      <c r="DU186" s="222"/>
      <c r="DV186" s="222"/>
      <c r="DW186" s="222"/>
      <c r="DX186" s="222"/>
      <c r="DY186" s="222"/>
      <c r="DZ186" s="222"/>
      <c r="EA186" s="222"/>
      <c r="EB186" s="222"/>
      <c r="EC186" s="222"/>
      <c r="ED186" s="222"/>
      <c r="EE186" s="222"/>
      <c r="EF186" s="222"/>
      <c r="EG186" s="222"/>
      <c r="EH186" s="222"/>
    </row>
    <row r="187" spans="1:138">
      <c r="A187" s="222"/>
      <c r="B187" s="318"/>
      <c r="C187" s="323" t="s">
        <v>300</v>
      </c>
      <c r="D187" s="324">
        <f>-MIN(M185:BL185)-D188</f>
        <v>5341205.5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2"/>
      <c r="AX187" s="222"/>
      <c r="AY187" s="222"/>
      <c r="AZ187" s="222"/>
      <c r="BA187" s="222"/>
      <c r="BB187" s="222"/>
      <c r="BC187" s="222"/>
      <c r="BD187" s="222"/>
      <c r="BE187" s="222"/>
      <c r="BF187" s="222"/>
      <c r="BG187" s="222"/>
      <c r="BH187" s="222"/>
      <c r="BI187" s="222"/>
      <c r="BJ187" s="222"/>
      <c r="BK187" s="222"/>
      <c r="BL187" s="222"/>
      <c r="BM187" s="222"/>
      <c r="BN187" s="222"/>
      <c r="BO187" s="222"/>
      <c r="BP187" s="222"/>
      <c r="BQ187" s="222"/>
      <c r="BR187" s="222"/>
      <c r="BS187" s="222"/>
      <c r="BT187" s="222"/>
      <c r="BU187" s="222"/>
      <c r="BV187" s="222"/>
      <c r="BW187" s="222"/>
      <c r="BX187" s="222"/>
      <c r="BY187" s="222"/>
      <c r="BZ187" s="222"/>
      <c r="CA187" s="222"/>
      <c r="CB187" s="222"/>
      <c r="CC187" s="222"/>
      <c r="CD187" s="222"/>
      <c r="CE187" s="222"/>
      <c r="CF187" s="222"/>
      <c r="CG187" s="222"/>
      <c r="CH187" s="222"/>
      <c r="CI187" s="222"/>
      <c r="CJ187" s="222"/>
      <c r="CK187" s="222"/>
      <c r="CL187" s="222"/>
      <c r="CM187" s="222"/>
      <c r="CN187" s="222"/>
      <c r="CO187" s="222"/>
      <c r="CP187" s="222"/>
      <c r="CQ187" s="222"/>
      <c r="CR187" s="222"/>
      <c r="CS187" s="222"/>
      <c r="CT187" s="222"/>
      <c r="CU187" s="222"/>
      <c r="CV187" s="222"/>
      <c r="CW187" s="222"/>
      <c r="CX187" s="222"/>
      <c r="CY187" s="222"/>
      <c r="CZ187" s="222"/>
      <c r="DA187" s="222"/>
      <c r="DB187" s="222"/>
      <c r="DC187" s="222"/>
      <c r="DD187" s="222"/>
      <c r="DE187" s="222"/>
      <c r="DF187" s="222"/>
      <c r="DG187" s="222"/>
      <c r="DH187" s="222"/>
      <c r="DI187" s="222"/>
      <c r="DJ187" s="222"/>
      <c r="DK187" s="222"/>
      <c r="DL187" s="222"/>
      <c r="DM187" s="222"/>
      <c r="DN187" s="222"/>
      <c r="DO187" s="222"/>
      <c r="DP187" s="222"/>
      <c r="DQ187" s="222"/>
      <c r="DR187" s="222"/>
      <c r="DS187" s="222"/>
      <c r="DT187" s="222"/>
      <c r="DU187" s="222"/>
      <c r="DV187" s="222"/>
      <c r="DW187" s="222"/>
      <c r="DX187" s="222"/>
      <c r="DY187" s="222"/>
      <c r="DZ187" s="222"/>
      <c r="EA187" s="222"/>
      <c r="EB187" s="222"/>
      <c r="EC187" s="222"/>
      <c r="ED187" s="222"/>
      <c r="EE187" s="222"/>
      <c r="EF187" s="222"/>
      <c r="EG187" s="222"/>
      <c r="EH187" s="222"/>
    </row>
    <row r="188" spans="1:138">
      <c r="A188" s="222"/>
      <c r="B188" s="318"/>
      <c r="C188" s="323" t="s">
        <v>301</v>
      </c>
      <c r="D188" s="324">
        <f>-SUM(M183:BB183)</f>
        <v>0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2"/>
      <c r="BN188" s="222"/>
      <c r="BO188" s="222"/>
      <c r="BP188" s="222"/>
      <c r="BQ188" s="222"/>
      <c r="BR188" s="222"/>
      <c r="BS188" s="222"/>
      <c r="BT188" s="222"/>
      <c r="BU188" s="222"/>
      <c r="BV188" s="222"/>
      <c r="BW188" s="222"/>
      <c r="BX188" s="222"/>
      <c r="BY188" s="222"/>
      <c r="BZ188" s="222"/>
      <c r="CA188" s="222"/>
      <c r="CB188" s="222"/>
      <c r="CC188" s="222"/>
      <c r="CD188" s="222"/>
      <c r="CE188" s="222"/>
      <c r="CF188" s="222"/>
      <c r="CG188" s="222"/>
      <c r="CH188" s="222"/>
      <c r="CI188" s="222"/>
      <c r="CJ188" s="222"/>
      <c r="CK188" s="222"/>
      <c r="CL188" s="222"/>
      <c r="CM188" s="222"/>
      <c r="CN188" s="222"/>
      <c r="CO188" s="222"/>
      <c r="CP188" s="222"/>
      <c r="CQ188" s="222"/>
      <c r="CR188" s="222"/>
      <c r="CS188" s="222"/>
      <c r="CT188" s="222"/>
      <c r="CU188" s="222"/>
      <c r="CV188" s="222"/>
      <c r="CW188" s="222"/>
      <c r="CX188" s="222"/>
      <c r="CY188" s="222"/>
      <c r="CZ188" s="222"/>
      <c r="DA188" s="222"/>
      <c r="DB188" s="222"/>
      <c r="DC188" s="222"/>
      <c r="DD188" s="222"/>
      <c r="DE188" s="222"/>
      <c r="DF188" s="222"/>
      <c r="DG188" s="222"/>
      <c r="DH188" s="222"/>
      <c r="DI188" s="222"/>
      <c r="DJ188" s="222"/>
      <c r="DK188" s="222"/>
      <c r="DL188" s="222"/>
      <c r="DM188" s="222"/>
      <c r="DN188" s="222"/>
      <c r="DO188" s="222"/>
      <c r="DP188" s="222"/>
      <c r="DQ188" s="222"/>
      <c r="DR188" s="222"/>
      <c r="DS188" s="222"/>
      <c r="DT188" s="222"/>
      <c r="DU188" s="222"/>
      <c r="DV188" s="222"/>
      <c r="DW188" s="222"/>
      <c r="DX188" s="222"/>
      <c r="DY188" s="222"/>
      <c r="DZ188" s="222"/>
      <c r="EA188" s="222"/>
      <c r="EB188" s="222"/>
      <c r="EC188" s="222"/>
      <c r="ED188" s="222"/>
      <c r="EE188" s="222"/>
      <c r="EF188" s="222"/>
      <c r="EG188" s="222"/>
      <c r="EH188" s="222"/>
    </row>
    <row r="189" spans="1:138">
      <c r="A189" s="222"/>
      <c r="B189" s="318"/>
      <c r="C189" s="313" t="s">
        <v>302</v>
      </c>
      <c r="D189" s="326">
        <f>D188+D187</f>
        <v>5341205.5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2"/>
      <c r="BN189" s="222"/>
      <c r="BO189" s="222"/>
      <c r="BP189" s="222"/>
      <c r="BQ189" s="222"/>
      <c r="BR189" s="222"/>
      <c r="BS189" s="222"/>
      <c r="BT189" s="222"/>
      <c r="BU189" s="222"/>
      <c r="BV189" s="222"/>
      <c r="BW189" s="222"/>
      <c r="BX189" s="222"/>
      <c r="BY189" s="222"/>
      <c r="BZ189" s="222"/>
      <c r="CA189" s="222"/>
      <c r="CB189" s="222"/>
      <c r="CC189" s="222"/>
      <c r="CD189" s="222"/>
      <c r="CE189" s="222"/>
      <c r="CF189" s="222"/>
      <c r="CG189" s="222"/>
      <c r="CH189" s="222"/>
      <c r="CI189" s="222"/>
      <c r="CJ189" s="222"/>
      <c r="CK189" s="222"/>
      <c r="CL189" s="222"/>
      <c r="CM189" s="222"/>
      <c r="CN189" s="222"/>
      <c r="CO189" s="222"/>
      <c r="CP189" s="222"/>
      <c r="CQ189" s="222"/>
      <c r="CR189" s="222"/>
      <c r="CS189" s="222"/>
      <c r="CT189" s="222"/>
      <c r="CU189" s="222"/>
      <c r="CV189" s="222"/>
      <c r="CW189" s="222"/>
      <c r="CX189" s="222"/>
      <c r="CY189" s="222"/>
      <c r="CZ189" s="222"/>
      <c r="DA189" s="222"/>
      <c r="DB189" s="222"/>
      <c r="DC189" s="222"/>
      <c r="DD189" s="222"/>
      <c r="DE189" s="222"/>
      <c r="DF189" s="222"/>
      <c r="DG189" s="222"/>
      <c r="DH189" s="222"/>
      <c r="DI189" s="222"/>
      <c r="DJ189" s="222"/>
      <c r="DK189" s="222"/>
      <c r="DL189" s="222"/>
      <c r="DM189" s="222"/>
      <c r="DN189" s="222"/>
      <c r="DO189" s="222"/>
      <c r="DP189" s="222"/>
      <c r="DQ189" s="222"/>
      <c r="DR189" s="222"/>
      <c r="DS189" s="222"/>
      <c r="DT189" s="222"/>
      <c r="DU189" s="222"/>
      <c r="DV189" s="222"/>
      <c r="DW189" s="325"/>
      <c r="DX189" s="325"/>
      <c r="DY189" s="325"/>
      <c r="DZ189" s="325"/>
      <c r="EA189" s="325"/>
      <c r="EB189" s="325"/>
      <c r="EC189" s="325"/>
      <c r="ED189" s="325"/>
      <c r="EE189" s="325"/>
      <c r="EF189" s="325"/>
      <c r="EG189" s="325"/>
      <c r="EH189" s="325"/>
    </row>
    <row r="190" spans="1:138">
      <c r="A190" s="222"/>
      <c r="B190" s="318"/>
      <c r="C190" s="313" t="s">
        <v>303</v>
      </c>
      <c r="D190" s="326">
        <f>BX181+BX182</f>
        <v>0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2"/>
      <c r="BN190" s="222"/>
      <c r="BO190" s="222"/>
      <c r="BP190" s="222"/>
      <c r="BQ190" s="222"/>
      <c r="BR190" s="222"/>
      <c r="BS190" s="222"/>
      <c r="BT190" s="222"/>
      <c r="BU190" s="222"/>
      <c r="BV190" s="222"/>
      <c r="BW190" s="222"/>
      <c r="BX190" s="222"/>
      <c r="BY190" s="222"/>
      <c r="BZ190" s="222"/>
      <c r="CA190" s="222"/>
      <c r="CB190" s="222"/>
      <c r="CC190" s="222"/>
      <c r="CD190" s="222"/>
      <c r="CE190" s="222"/>
      <c r="CF190" s="222"/>
      <c r="CG190" s="222"/>
      <c r="CH190" s="222"/>
      <c r="CI190" s="222"/>
      <c r="CJ190" s="222"/>
      <c r="CK190" s="222"/>
      <c r="CL190" s="222"/>
      <c r="CM190" s="222"/>
      <c r="CN190" s="222"/>
      <c r="CO190" s="222"/>
      <c r="CP190" s="222"/>
      <c r="CQ190" s="222"/>
      <c r="CR190" s="222"/>
      <c r="CS190" s="222"/>
      <c r="CT190" s="222"/>
      <c r="CU190" s="222"/>
      <c r="CV190" s="222"/>
      <c r="CW190" s="222"/>
      <c r="CX190" s="222"/>
      <c r="CY190" s="222"/>
      <c r="CZ190" s="222"/>
      <c r="DA190" s="222"/>
      <c r="DB190" s="222"/>
      <c r="DC190" s="222"/>
      <c r="DD190" s="222"/>
      <c r="DE190" s="222"/>
      <c r="DF190" s="222"/>
      <c r="DG190" s="222"/>
      <c r="DH190" s="222"/>
      <c r="DI190" s="222"/>
      <c r="DJ190" s="222"/>
      <c r="DK190" s="222"/>
      <c r="DL190" s="222"/>
      <c r="DM190" s="222"/>
      <c r="DN190" s="222"/>
      <c r="DO190" s="222"/>
      <c r="DP190" s="222"/>
      <c r="DQ190" s="222"/>
      <c r="DR190" s="222"/>
      <c r="DS190" s="222"/>
      <c r="DT190" s="222"/>
      <c r="DU190" s="222"/>
      <c r="DV190" s="222"/>
      <c r="DW190" s="325"/>
      <c r="DX190" s="325"/>
      <c r="DY190" s="325"/>
      <c r="DZ190" s="325"/>
      <c r="EA190" s="325"/>
      <c r="EB190" s="325"/>
      <c r="EC190" s="325"/>
      <c r="ED190" s="325"/>
      <c r="EE190" s="325"/>
      <c r="EF190" s="325"/>
      <c r="EG190" s="325"/>
      <c r="EH190" s="325"/>
    </row>
    <row r="191" spans="1:138">
      <c r="A191" s="222"/>
      <c r="B191" s="318"/>
      <c r="C191" s="313" t="s">
        <v>147</v>
      </c>
      <c r="D191" s="322">
        <f>T182/T179</f>
        <v>0.51486504310684167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2"/>
      <c r="BN191" s="222"/>
      <c r="BO191" s="222"/>
      <c r="BP191" s="222"/>
      <c r="BQ191" s="222"/>
      <c r="BR191" s="222"/>
      <c r="BS191" s="222"/>
      <c r="BT191" s="222"/>
      <c r="BU191" s="222"/>
      <c r="BV191" s="222"/>
      <c r="BW191" s="222"/>
      <c r="BX191" s="222"/>
      <c r="BY191" s="222"/>
      <c r="BZ191" s="222"/>
      <c r="CA191" s="222"/>
      <c r="CB191" s="222"/>
      <c r="CC191" s="222"/>
      <c r="CD191" s="222"/>
      <c r="CE191" s="222"/>
      <c r="CF191" s="222"/>
      <c r="CG191" s="222"/>
      <c r="CH191" s="222"/>
      <c r="CI191" s="222"/>
      <c r="CJ191" s="222"/>
      <c r="CK191" s="222"/>
      <c r="CL191" s="222"/>
      <c r="CM191" s="222"/>
      <c r="CN191" s="222"/>
      <c r="CO191" s="222"/>
      <c r="CP191" s="222"/>
      <c r="CQ191" s="222"/>
      <c r="CR191" s="222"/>
      <c r="CS191" s="222"/>
      <c r="CT191" s="222"/>
      <c r="CU191" s="222"/>
      <c r="CV191" s="222"/>
      <c r="CW191" s="222"/>
      <c r="CX191" s="222"/>
      <c r="CY191" s="222"/>
      <c r="CZ191" s="222"/>
      <c r="DA191" s="222"/>
      <c r="DB191" s="222"/>
      <c r="DC191" s="222"/>
      <c r="DD191" s="222"/>
      <c r="DE191" s="222"/>
      <c r="DF191" s="222"/>
      <c r="DG191" s="222"/>
      <c r="DH191" s="222"/>
      <c r="DI191" s="222"/>
      <c r="DJ191" s="222"/>
      <c r="DK191" s="222"/>
      <c r="DL191" s="222"/>
      <c r="DM191" s="222"/>
      <c r="DN191" s="222"/>
      <c r="DO191" s="222"/>
      <c r="DP191" s="222"/>
      <c r="DQ191" s="222"/>
      <c r="DR191" s="222"/>
      <c r="DS191" s="222"/>
      <c r="DT191" s="222"/>
      <c r="DU191" s="222"/>
      <c r="DV191" s="222"/>
      <c r="DW191" s="325"/>
      <c r="DX191" s="325"/>
      <c r="DY191" s="325"/>
      <c r="DZ191" s="325"/>
      <c r="EA191" s="325"/>
      <c r="EB191" s="325"/>
      <c r="EC191" s="325"/>
      <c r="ED191" s="325"/>
      <c r="EE191" s="325"/>
      <c r="EF191" s="325"/>
      <c r="EG191" s="325"/>
      <c r="EH191" s="325"/>
    </row>
    <row r="192" spans="1:138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2"/>
      <c r="BN192" s="222"/>
      <c r="BO192" s="222"/>
      <c r="BP192" s="222"/>
      <c r="BQ192" s="222"/>
      <c r="BR192" s="222"/>
      <c r="BS192" s="222"/>
      <c r="BT192" s="222"/>
      <c r="BU192" s="222"/>
      <c r="BV192" s="222"/>
      <c r="BW192" s="222"/>
      <c r="BX192" s="222"/>
      <c r="BY192" s="222"/>
      <c r="BZ192" s="238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325"/>
      <c r="DX192" s="325"/>
      <c r="DY192" s="325"/>
      <c r="DZ192" s="325"/>
      <c r="EA192" s="325"/>
      <c r="EB192" s="325"/>
      <c r="EC192" s="325"/>
      <c r="ED192" s="325"/>
      <c r="EE192" s="325"/>
      <c r="EF192" s="325"/>
      <c r="EG192" s="325"/>
      <c r="EH192" s="325"/>
    </row>
    <row r="198" spans="19:23">
      <c r="S198" s="329">
        <v>700000</v>
      </c>
      <c r="T198" s="330">
        <v>1000000</v>
      </c>
      <c r="U198" s="329">
        <v>5300000</v>
      </c>
      <c r="V198" s="329">
        <v>4750000</v>
      </c>
      <c r="W198" s="329">
        <v>1250000</v>
      </c>
    </row>
    <row r="200" spans="19:23" ht="14.1">
      <c r="S200" s="25">
        <f t="shared" ref="S200:W200" si="70">S198*0.8</f>
        <v>560000</v>
      </c>
      <c r="T200" s="25">
        <f t="shared" si="70"/>
        <v>800000</v>
      </c>
      <c r="U200" s="25">
        <f t="shared" si="70"/>
        <v>4240000</v>
      </c>
      <c r="V200" s="25">
        <f t="shared" si="70"/>
        <v>3800000</v>
      </c>
      <c r="W200" s="25">
        <f t="shared" si="70"/>
        <v>1000000</v>
      </c>
    </row>
  </sheetData>
  <mergeCells count="34">
    <mergeCell ref="S124:T124"/>
    <mergeCell ref="B2:C4"/>
    <mergeCell ref="B5:B8"/>
    <mergeCell ref="B9:B11"/>
    <mergeCell ref="B12:B15"/>
    <mergeCell ref="B16:C16"/>
    <mergeCell ref="B17:B97"/>
    <mergeCell ref="B98:C98"/>
    <mergeCell ref="B100:C100"/>
    <mergeCell ref="B101:C101"/>
    <mergeCell ref="D106:E106"/>
    <mergeCell ref="D109:BW109"/>
    <mergeCell ref="S123:T123"/>
    <mergeCell ref="BM2:BX2"/>
    <mergeCell ref="E2:P2"/>
    <mergeCell ref="Q2:AB2"/>
    <mergeCell ref="BY90:BZ90"/>
    <mergeCell ref="BZ91:BZ97"/>
    <mergeCell ref="BY98:BZ98"/>
    <mergeCell ref="BY100:BZ100"/>
    <mergeCell ref="BZ5:BZ8"/>
    <mergeCell ref="BZ9:BZ11"/>
    <mergeCell ref="BY16:BZ16"/>
    <mergeCell ref="BZ17:BZ89"/>
    <mergeCell ref="CC17:CC89"/>
    <mergeCell ref="CC5:CC8"/>
    <mergeCell ref="CC9:CC11"/>
    <mergeCell ref="CC12:CC15"/>
    <mergeCell ref="CB16:CC16"/>
    <mergeCell ref="AC2:AN2"/>
    <mergeCell ref="AO2:AZ2"/>
    <mergeCell ref="BA2:BL2"/>
    <mergeCell ref="BY2:BZ4"/>
    <mergeCell ref="BZ12:BZ15"/>
  </mergeCells>
  <conditionalFormatting sqref="E17:BX17 E23:BX23 E26:BX26 E34:BX34 E37:BX37 E49:BX49 E55:BX55 E63:BX63 E87:BX87 E90:BX90">
    <cfRule type="cellIs" dxfId="13" priority="1" operator="equal">
      <formula>0</formula>
    </cfRule>
  </conditionalFormatting>
  <conditionalFormatting sqref="F114:BS117 E115 BT115:BX115 E117 BT117:BX117 E131 F131:BX134 E133 E149:BX149 E163 M163:BX163 F163:L166 E165 M165:BX165 M179:T179 H179:L182 E181:G181 M181:BX181">
    <cfRule type="cellIs" dxfId="12" priority="2" operator="equal">
      <formula>0</formula>
    </cfRule>
  </conditionalFormatting>
  <dataValidations count="1">
    <dataValidation type="list" allowBlank="1" showErrorMessage="1" sqref="CB4" xr:uid="{00000000-0002-0000-1000-000000000000}">
      <formula1>$D$3:$BX$3</formula1>
    </dataValidation>
  </dataValidations>
  <pageMargins left="0" right="0" top="0" bottom="0" header="0" footer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B2:T79"/>
  <sheetViews>
    <sheetView workbookViewId="0"/>
  </sheetViews>
  <sheetFormatPr defaultColWidth="12.625" defaultRowHeight="15" customHeight="1"/>
  <sheetData>
    <row r="2" spans="2:20" ht="14.1">
      <c r="B2" s="575" t="s">
        <v>310</v>
      </c>
      <c r="C2" s="588"/>
      <c r="D2" s="588"/>
      <c r="E2" s="588"/>
      <c r="G2" s="575" t="s">
        <v>311</v>
      </c>
      <c r="H2" s="588"/>
      <c r="I2" s="588"/>
      <c r="J2" s="588"/>
      <c r="L2" s="575" t="s">
        <v>312</v>
      </c>
      <c r="M2" s="588"/>
      <c r="N2" s="588"/>
      <c r="O2" s="588"/>
      <c r="Q2" s="575" t="s">
        <v>313</v>
      </c>
      <c r="R2" s="588"/>
      <c r="S2" s="588"/>
      <c r="T2" s="588"/>
    </row>
    <row r="3" spans="2:20" ht="15" customHeight="1">
      <c r="B3" s="588"/>
      <c r="C3" s="588"/>
      <c r="D3" s="588"/>
      <c r="E3" s="588"/>
      <c r="G3" s="588"/>
      <c r="H3" s="588"/>
      <c r="I3" s="588"/>
      <c r="J3" s="588"/>
      <c r="L3" s="588"/>
      <c r="M3" s="588"/>
      <c r="N3" s="588"/>
      <c r="O3" s="588"/>
      <c r="Q3" s="588"/>
      <c r="R3" s="588"/>
      <c r="S3" s="588"/>
      <c r="T3" s="588"/>
    </row>
    <row r="7" spans="2:20" ht="14.1">
      <c r="B7" s="336" t="s">
        <v>314</v>
      </c>
      <c r="C7" s="337" t="s">
        <v>315</v>
      </c>
      <c r="D7" s="338" t="s">
        <v>279</v>
      </c>
      <c r="E7" s="339" t="s">
        <v>316</v>
      </c>
      <c r="G7" s="336" t="s">
        <v>314</v>
      </c>
      <c r="H7" s="337" t="s">
        <v>315</v>
      </c>
      <c r="I7" s="338" t="s">
        <v>279</v>
      </c>
      <c r="J7" s="339" t="s">
        <v>316</v>
      </c>
      <c r="L7" s="336" t="s">
        <v>314</v>
      </c>
      <c r="M7" s="337" t="s">
        <v>315</v>
      </c>
      <c r="N7" s="338" t="s">
        <v>279</v>
      </c>
      <c r="O7" s="339" t="s">
        <v>316</v>
      </c>
      <c r="Q7" s="336" t="s">
        <v>314</v>
      </c>
      <c r="R7" s="337" t="s">
        <v>315</v>
      </c>
      <c r="S7" s="338" t="s">
        <v>279</v>
      </c>
      <c r="T7" s="339" t="s">
        <v>316</v>
      </c>
    </row>
    <row r="8" spans="2:20" ht="14.1">
      <c r="B8" s="340">
        <v>45292</v>
      </c>
      <c r="C8" s="341">
        <f t="array" ref="C8:C79">TRANSPOSE('Cash-flow PLAN'!E110:BX110)</f>
        <v>0</v>
      </c>
      <c r="D8" s="342">
        <f>0-C8</f>
        <v>0</v>
      </c>
      <c r="E8" s="343">
        <f>D8*'Cash-flow PLAN'!$D$54/12</f>
        <v>0</v>
      </c>
      <c r="G8" s="340">
        <v>45292</v>
      </c>
      <c r="H8" s="344">
        <f t="array" ref="H8:H79">TRANSPOSE('Cash-flow FAKT'!E128:BX128)</f>
        <v>0</v>
      </c>
      <c r="I8" s="342">
        <f>0-H8</f>
        <v>0</v>
      </c>
      <c r="J8" s="343">
        <f>I8*'Cash-flow PLAN'!$D$55/12</f>
        <v>0</v>
      </c>
      <c r="L8" s="340">
        <v>45292</v>
      </c>
      <c r="M8" s="344">
        <f t="array" ref="M8:M79">TRANSPOSE('Cash-flow PLAN'!E142:BX142)</f>
        <v>0</v>
      </c>
      <c r="N8" s="342">
        <f>0-M8</f>
        <v>0</v>
      </c>
      <c r="O8" s="343">
        <f>N8*'Cash-flow PLAN'!$D$56/12</f>
        <v>0</v>
      </c>
      <c r="Q8" s="340">
        <v>45292</v>
      </c>
      <c r="R8" s="341">
        <f t="array" ref="R8:R79">TRANSPOSE('Cash-flow PLAN'!E159:BX159)</f>
        <v>0</v>
      </c>
      <c r="S8" s="342">
        <f>0-R8</f>
        <v>0</v>
      </c>
      <c r="T8" s="343">
        <f>S8*'Cash-flow PLAN'!$D$57/12</f>
        <v>0</v>
      </c>
    </row>
    <row r="9" spans="2:20" ht="14.1">
      <c r="B9" s="345">
        <v>45323</v>
      </c>
      <c r="C9" s="341">
        <v>0</v>
      </c>
      <c r="D9" s="342">
        <f t="shared" ref="D9:D78" si="0">D8-C9</f>
        <v>0</v>
      </c>
      <c r="E9" s="343">
        <f>D9*'Cash-flow PLAN'!$D$54/12</f>
        <v>0</v>
      </c>
      <c r="G9" s="345">
        <v>45323</v>
      </c>
      <c r="H9" s="341">
        <v>0</v>
      </c>
      <c r="I9" s="342">
        <f t="shared" ref="I9:I12" si="1">I8-H9</f>
        <v>0</v>
      </c>
      <c r="J9" s="343">
        <f>I9*'Cash-flow PLAN'!$D$55/12</f>
        <v>0</v>
      </c>
      <c r="L9" s="345">
        <v>45323</v>
      </c>
      <c r="M9" s="341">
        <v>0</v>
      </c>
      <c r="N9" s="342">
        <f t="shared" ref="N9:N78" si="2">N8-M9</f>
        <v>0</v>
      </c>
      <c r="O9" s="343">
        <f>N9*'Cash-flow PLAN'!$D$56/12</f>
        <v>0</v>
      </c>
      <c r="Q9" s="345">
        <v>45323</v>
      </c>
      <c r="R9" s="341">
        <v>0</v>
      </c>
      <c r="S9" s="342">
        <f t="shared" ref="S9:S78" si="3">S8-R9</f>
        <v>0</v>
      </c>
      <c r="T9" s="343">
        <f>S9*'Cash-flow PLAN'!$D$57/12</f>
        <v>0</v>
      </c>
    </row>
    <row r="10" spans="2:20" ht="14.1">
      <c r="B10" s="345">
        <v>45352</v>
      </c>
      <c r="C10" s="341">
        <v>0</v>
      </c>
      <c r="D10" s="342">
        <f t="shared" si="0"/>
        <v>0</v>
      </c>
      <c r="E10" s="343">
        <f>D10*'Cash-flow PLAN'!$D$54/12</f>
        <v>0</v>
      </c>
      <c r="G10" s="345">
        <v>45352</v>
      </c>
      <c r="H10" s="341">
        <v>0</v>
      </c>
      <c r="I10" s="342">
        <f t="shared" si="1"/>
        <v>0</v>
      </c>
      <c r="J10" s="343">
        <f>I10*'Cash-flow PLAN'!$D$55/12</f>
        <v>0</v>
      </c>
      <c r="L10" s="345">
        <v>45352</v>
      </c>
      <c r="M10" s="341">
        <v>0</v>
      </c>
      <c r="N10" s="342">
        <f t="shared" si="2"/>
        <v>0</v>
      </c>
      <c r="O10" s="343">
        <f>N10*'Cash-flow PLAN'!$D$56/12</f>
        <v>0</v>
      </c>
      <c r="Q10" s="345">
        <v>45352</v>
      </c>
      <c r="R10" s="341">
        <v>0</v>
      </c>
      <c r="S10" s="342">
        <f t="shared" si="3"/>
        <v>0</v>
      </c>
      <c r="T10" s="343">
        <f>S10*'Cash-flow PLAN'!$D$57/12</f>
        <v>0</v>
      </c>
    </row>
    <row r="11" spans="2:20" ht="14.1">
      <c r="B11" s="345">
        <v>45383</v>
      </c>
      <c r="C11" s="341">
        <v>-16365002</v>
      </c>
      <c r="D11" s="342">
        <f t="shared" si="0"/>
        <v>16365002</v>
      </c>
      <c r="E11" s="343">
        <f>D11*'Cash-flow PLAN'!$D$54/12</f>
        <v>143193.76749999999</v>
      </c>
      <c r="G11" s="345">
        <v>45383</v>
      </c>
      <c r="H11" s="341">
        <v>0</v>
      </c>
      <c r="I11" s="342">
        <f t="shared" si="1"/>
        <v>0</v>
      </c>
      <c r="J11" s="343">
        <f>I11*'Cash-flow PLAN'!$D$55/12</f>
        <v>0</v>
      </c>
      <c r="L11" s="345">
        <v>45383</v>
      </c>
      <c r="M11" s="341">
        <v>-10682501</v>
      </c>
      <c r="N11" s="342">
        <f t="shared" si="2"/>
        <v>10682501</v>
      </c>
      <c r="O11" s="343">
        <f>N11*'Cash-flow PLAN'!$D$56/12</f>
        <v>93471.883749999994</v>
      </c>
      <c r="Q11" s="345">
        <v>45383</v>
      </c>
      <c r="R11" s="341">
        <v>0</v>
      </c>
      <c r="S11" s="342">
        <f t="shared" si="3"/>
        <v>0</v>
      </c>
      <c r="T11" s="343">
        <f>S11*'Cash-flow PLAN'!$D$57/12</f>
        <v>0</v>
      </c>
    </row>
    <row r="12" spans="2:20" ht="14.1">
      <c r="B12" s="345">
        <v>45413</v>
      </c>
      <c r="C12" s="341">
        <v>-1000000</v>
      </c>
      <c r="D12" s="342">
        <f t="shared" si="0"/>
        <v>17365002</v>
      </c>
      <c r="E12" s="343">
        <f>D12*'Cash-flow PLAN'!$D$54/12</f>
        <v>151943.76749999999</v>
      </c>
      <c r="G12" s="345">
        <v>45413</v>
      </c>
      <c r="H12" s="341">
        <v>0</v>
      </c>
      <c r="I12" s="342">
        <f t="shared" si="1"/>
        <v>0</v>
      </c>
      <c r="J12" s="343">
        <f>I12*'Cash-flow PLAN'!$D$55/12</f>
        <v>0</v>
      </c>
      <c r="L12" s="345">
        <v>45413</v>
      </c>
      <c r="M12" s="341">
        <v>0</v>
      </c>
      <c r="N12" s="342">
        <f t="shared" si="2"/>
        <v>10682501</v>
      </c>
      <c r="O12" s="343">
        <f>N12*'Cash-flow PLAN'!$D$56/12</f>
        <v>93471.883749999994</v>
      </c>
      <c r="Q12" s="345">
        <v>45413</v>
      </c>
      <c r="R12" s="341">
        <v>0</v>
      </c>
      <c r="S12" s="342">
        <f t="shared" si="3"/>
        <v>0</v>
      </c>
      <c r="T12" s="343">
        <f>S12*'Cash-flow PLAN'!$D$57/12</f>
        <v>0</v>
      </c>
    </row>
    <row r="13" spans="2:20" ht="14.1">
      <c r="B13" s="346">
        <v>45444</v>
      </c>
      <c r="C13" s="341">
        <v>0</v>
      </c>
      <c r="D13" s="342">
        <f t="shared" si="0"/>
        <v>17365002</v>
      </c>
      <c r="E13" s="343">
        <f>D13*'Cash-flow PLAN'!$D$54/12</f>
        <v>151943.76749999999</v>
      </c>
      <c r="G13" s="346">
        <v>45444</v>
      </c>
      <c r="H13" s="341">
        <v>-7870667</v>
      </c>
      <c r="I13" s="342" t="e">
        <f>I12-#REF!</f>
        <v>#REF!</v>
      </c>
      <c r="J13" s="343" t="e">
        <f>I13*'Cash-flow PLAN'!$D$55/12</f>
        <v>#REF!</v>
      </c>
      <c r="L13" s="346">
        <v>45444</v>
      </c>
      <c r="M13" s="341">
        <v>0</v>
      </c>
      <c r="N13" s="342">
        <f t="shared" si="2"/>
        <v>10682501</v>
      </c>
      <c r="O13" s="343">
        <f>N13*'Cash-flow PLAN'!$D$56/12</f>
        <v>93471.883749999994</v>
      </c>
      <c r="Q13" s="346">
        <v>45444</v>
      </c>
      <c r="R13" s="341">
        <v>0</v>
      </c>
      <c r="S13" s="342">
        <f t="shared" si="3"/>
        <v>0</v>
      </c>
      <c r="T13" s="343">
        <f>S13*'Cash-flow PLAN'!$D$57/12</f>
        <v>0</v>
      </c>
    </row>
    <row r="14" spans="2:20" ht="14.1">
      <c r="B14" s="345">
        <v>45474</v>
      </c>
      <c r="C14" s="341">
        <v>0</v>
      </c>
      <c r="D14" s="342">
        <f t="shared" si="0"/>
        <v>17365002</v>
      </c>
      <c r="E14" s="343">
        <f>D14*'Cash-flow PLAN'!$D$54/12</f>
        <v>151943.76749999999</v>
      </c>
      <c r="G14" s="345">
        <v>45474</v>
      </c>
      <c r="H14" s="341">
        <v>0</v>
      </c>
      <c r="I14" s="342" t="e">
        <f>I13-H13</f>
        <v>#REF!</v>
      </c>
      <c r="J14" s="343" t="e">
        <f>I14*'Cash-flow PLAN'!$D$55/12</f>
        <v>#REF!</v>
      </c>
      <c r="L14" s="345">
        <v>45474</v>
      </c>
      <c r="M14" s="341">
        <v>0</v>
      </c>
      <c r="N14" s="342">
        <f t="shared" si="2"/>
        <v>10682501</v>
      </c>
      <c r="O14" s="343">
        <f>N14*'Cash-flow PLAN'!$D$56/12</f>
        <v>93471.883749999994</v>
      </c>
      <c r="Q14" s="345">
        <v>45474</v>
      </c>
      <c r="R14" s="341">
        <v>0</v>
      </c>
      <c r="S14" s="342">
        <f t="shared" si="3"/>
        <v>0</v>
      </c>
      <c r="T14" s="343">
        <f>S14*'Cash-flow PLAN'!$D$57/12</f>
        <v>0</v>
      </c>
    </row>
    <row r="15" spans="2:20" ht="14.1">
      <c r="B15" s="345">
        <v>45505</v>
      </c>
      <c r="C15" s="341">
        <v>0</v>
      </c>
      <c r="D15" s="342">
        <f t="shared" si="0"/>
        <v>17365002</v>
      </c>
      <c r="E15" s="343">
        <f>D15*'Cash-flow PLAN'!$D$54/12</f>
        <v>151943.76749999999</v>
      </c>
      <c r="G15" s="345">
        <v>45505</v>
      </c>
      <c r="H15" s="341">
        <v>0</v>
      </c>
      <c r="I15" s="342" t="e">
        <f t="shared" ref="I15:I78" si="4">I14-H15</f>
        <v>#REF!</v>
      </c>
      <c r="J15" s="343" t="e">
        <f>I15*'Cash-flow PLAN'!$D$55/12</f>
        <v>#REF!</v>
      </c>
      <c r="L15" s="345">
        <v>45505</v>
      </c>
      <c r="M15" s="341">
        <v>0</v>
      </c>
      <c r="N15" s="342">
        <f t="shared" si="2"/>
        <v>10682501</v>
      </c>
      <c r="O15" s="343">
        <f>N15*'Cash-flow PLAN'!$D$56/12</f>
        <v>93471.883749999994</v>
      </c>
      <c r="Q15" s="345">
        <v>45505</v>
      </c>
      <c r="R15" s="341">
        <v>0</v>
      </c>
      <c r="S15" s="342">
        <f t="shared" si="3"/>
        <v>0</v>
      </c>
      <c r="T15" s="343">
        <f>S15*'Cash-flow PLAN'!$D$57/12</f>
        <v>0</v>
      </c>
    </row>
    <row r="16" spans="2:20" ht="14.1">
      <c r="B16" s="345">
        <v>45536</v>
      </c>
      <c r="C16" s="341">
        <v>0</v>
      </c>
      <c r="D16" s="342">
        <f t="shared" si="0"/>
        <v>17365002</v>
      </c>
      <c r="E16" s="343">
        <f>D16*'Cash-flow PLAN'!$D$54/12</f>
        <v>151943.76749999999</v>
      </c>
      <c r="G16" s="345">
        <v>45536</v>
      </c>
      <c r="H16" s="341">
        <v>0</v>
      </c>
      <c r="I16" s="342" t="e">
        <f t="shared" si="4"/>
        <v>#REF!</v>
      </c>
      <c r="J16" s="343" t="e">
        <f>I16*'Cash-flow PLAN'!$D$55/12</f>
        <v>#REF!</v>
      </c>
      <c r="L16" s="345">
        <v>45536</v>
      </c>
      <c r="M16" s="341">
        <v>0</v>
      </c>
      <c r="N16" s="342">
        <f t="shared" si="2"/>
        <v>10682501</v>
      </c>
      <c r="O16" s="343">
        <f>N16*'Cash-flow PLAN'!$D$56/12</f>
        <v>93471.883749999994</v>
      </c>
      <c r="Q16" s="345">
        <v>45536</v>
      </c>
      <c r="R16" s="341">
        <v>0</v>
      </c>
      <c r="S16" s="342">
        <f t="shared" si="3"/>
        <v>0</v>
      </c>
      <c r="T16" s="343">
        <f>S16*'Cash-flow PLAN'!$D$57/12</f>
        <v>0</v>
      </c>
    </row>
    <row r="17" spans="2:20" ht="14.1">
      <c r="B17" s="345">
        <v>45566</v>
      </c>
      <c r="C17" s="341">
        <v>0</v>
      </c>
      <c r="D17" s="342">
        <f t="shared" si="0"/>
        <v>17365002</v>
      </c>
      <c r="E17" s="343">
        <f>D17*'Cash-flow PLAN'!$D$54/12</f>
        <v>151943.76749999999</v>
      </c>
      <c r="G17" s="345">
        <v>45566</v>
      </c>
      <c r="H17" s="341">
        <v>0</v>
      </c>
      <c r="I17" s="342" t="e">
        <f t="shared" si="4"/>
        <v>#REF!</v>
      </c>
      <c r="J17" s="343" t="e">
        <f>I17*'Cash-flow PLAN'!$D$55/12</f>
        <v>#REF!</v>
      </c>
      <c r="L17" s="345">
        <v>45566</v>
      </c>
      <c r="M17" s="341">
        <v>0</v>
      </c>
      <c r="N17" s="342">
        <f t="shared" si="2"/>
        <v>10682501</v>
      </c>
      <c r="O17" s="343">
        <f>N17*'Cash-flow PLAN'!$D$56/12</f>
        <v>93471.883749999994</v>
      </c>
      <c r="Q17" s="345">
        <v>45566</v>
      </c>
      <c r="R17" s="341">
        <v>0</v>
      </c>
      <c r="S17" s="342">
        <f t="shared" si="3"/>
        <v>0</v>
      </c>
      <c r="T17" s="343">
        <f>S17*'Cash-flow PLAN'!$D$57/12</f>
        <v>0</v>
      </c>
    </row>
    <row r="18" spans="2:20" ht="14.1">
      <c r="B18" s="345">
        <v>45597</v>
      </c>
      <c r="C18" s="341">
        <v>-3000000</v>
      </c>
      <c r="D18" s="342">
        <f t="shared" si="0"/>
        <v>20365002</v>
      </c>
      <c r="E18" s="343">
        <f>D18*'Cash-flow PLAN'!$D$54/12</f>
        <v>178193.76749999999</v>
      </c>
      <c r="G18" s="345">
        <v>45597</v>
      </c>
      <c r="H18" s="341">
        <v>0</v>
      </c>
      <c r="I18" s="342" t="e">
        <f t="shared" si="4"/>
        <v>#REF!</v>
      </c>
      <c r="J18" s="343" t="e">
        <f>I18*'Cash-flow PLAN'!$D$55/12</f>
        <v>#REF!</v>
      </c>
      <c r="L18" s="345">
        <v>45597</v>
      </c>
      <c r="M18" s="341">
        <v>0</v>
      </c>
      <c r="N18" s="342">
        <f t="shared" si="2"/>
        <v>10682501</v>
      </c>
      <c r="O18" s="343">
        <f>N18*'Cash-flow PLAN'!$D$56/12</f>
        <v>93471.883749999994</v>
      </c>
      <c r="Q18" s="345">
        <v>45597</v>
      </c>
      <c r="R18" s="341">
        <v>0</v>
      </c>
      <c r="S18" s="342">
        <f t="shared" si="3"/>
        <v>0</v>
      </c>
      <c r="T18" s="343">
        <f>S18*'Cash-flow PLAN'!$D$57/12</f>
        <v>0</v>
      </c>
    </row>
    <row r="19" spans="2:20" ht="14.1">
      <c r="B19" s="345">
        <v>45627</v>
      </c>
      <c r="C19" s="341">
        <v>-2100000</v>
      </c>
      <c r="D19" s="342">
        <f t="shared" si="0"/>
        <v>22465002</v>
      </c>
      <c r="E19" s="343">
        <f>D19*'Cash-flow PLAN'!$D$54/12</f>
        <v>196568.76749999999</v>
      </c>
      <c r="G19" s="345">
        <v>45627</v>
      </c>
      <c r="H19" s="341">
        <v>0</v>
      </c>
      <c r="I19" s="342" t="e">
        <f t="shared" si="4"/>
        <v>#REF!</v>
      </c>
      <c r="J19" s="343" t="e">
        <f>I19*'Cash-flow PLAN'!$D$55/12</f>
        <v>#REF!</v>
      </c>
      <c r="L19" s="345">
        <v>45627</v>
      </c>
      <c r="M19" s="341">
        <v>0</v>
      </c>
      <c r="N19" s="342">
        <f t="shared" si="2"/>
        <v>10682501</v>
      </c>
      <c r="O19" s="343">
        <f>N19*'Cash-flow PLAN'!$D$56/12</f>
        <v>93471.883749999994</v>
      </c>
      <c r="Q19" s="345">
        <v>45627</v>
      </c>
      <c r="R19" s="341">
        <v>0</v>
      </c>
      <c r="S19" s="342">
        <f t="shared" si="3"/>
        <v>0</v>
      </c>
      <c r="T19" s="343">
        <f>S19*'Cash-flow PLAN'!$D$57/12</f>
        <v>0</v>
      </c>
    </row>
    <row r="20" spans="2:20" ht="14.1">
      <c r="B20" s="340">
        <v>45658</v>
      </c>
      <c r="C20" s="341">
        <v>0</v>
      </c>
      <c r="D20" s="342">
        <f t="shared" si="0"/>
        <v>22465002</v>
      </c>
      <c r="E20" s="343">
        <f>D20*'Cash-flow PLAN'!$D$54/12</f>
        <v>196568.76749999999</v>
      </c>
      <c r="G20" s="340">
        <v>45658</v>
      </c>
      <c r="H20" s="341">
        <v>0</v>
      </c>
      <c r="I20" s="342" t="e">
        <f t="shared" si="4"/>
        <v>#REF!</v>
      </c>
      <c r="J20" s="343" t="e">
        <f>I20*'Cash-flow PLAN'!$D$55/12</f>
        <v>#REF!</v>
      </c>
      <c r="L20" s="340">
        <v>45658</v>
      </c>
      <c r="M20" s="341">
        <v>0</v>
      </c>
      <c r="N20" s="342">
        <f t="shared" si="2"/>
        <v>10682501</v>
      </c>
      <c r="O20" s="343">
        <f>N20*'Cash-flow PLAN'!$D$56/12</f>
        <v>93471.883749999994</v>
      </c>
      <c r="Q20" s="340">
        <v>45658</v>
      </c>
      <c r="R20" s="341">
        <v>0</v>
      </c>
      <c r="S20" s="342">
        <f t="shared" si="3"/>
        <v>0</v>
      </c>
      <c r="T20" s="343">
        <f>S20*'Cash-flow PLAN'!$D$57/12</f>
        <v>0</v>
      </c>
    </row>
    <row r="21" spans="2:20" ht="14.1">
      <c r="B21" s="345">
        <v>45689</v>
      </c>
      <c r="C21" s="341">
        <v>0</v>
      </c>
      <c r="D21" s="342">
        <f t="shared" si="0"/>
        <v>22465002</v>
      </c>
      <c r="E21" s="343">
        <f>D21*'Cash-flow PLAN'!$D$54/12</f>
        <v>196568.76749999999</v>
      </c>
      <c r="G21" s="345">
        <v>45689</v>
      </c>
      <c r="H21" s="341">
        <v>0</v>
      </c>
      <c r="I21" s="342" t="e">
        <f t="shared" si="4"/>
        <v>#REF!</v>
      </c>
      <c r="J21" s="343" t="e">
        <f>I21*'Cash-flow PLAN'!$D$55/12</f>
        <v>#REF!</v>
      </c>
      <c r="L21" s="345">
        <v>45689</v>
      </c>
      <c r="M21" s="341">
        <v>0</v>
      </c>
      <c r="N21" s="342">
        <f t="shared" si="2"/>
        <v>10682501</v>
      </c>
      <c r="O21" s="343">
        <f>N21*'Cash-flow PLAN'!$D$56/12</f>
        <v>93471.883749999994</v>
      </c>
      <c r="Q21" s="345">
        <v>45689</v>
      </c>
      <c r="R21" s="341">
        <v>0</v>
      </c>
      <c r="S21" s="342">
        <f t="shared" si="3"/>
        <v>0</v>
      </c>
      <c r="T21" s="343">
        <f>S21*'Cash-flow PLAN'!$D$57/12</f>
        <v>0</v>
      </c>
    </row>
    <row r="22" spans="2:20" ht="14.1">
      <c r="B22" s="345">
        <v>45717</v>
      </c>
      <c r="C22" s="341">
        <v>0</v>
      </c>
      <c r="D22" s="342">
        <f t="shared" si="0"/>
        <v>22465002</v>
      </c>
      <c r="E22" s="343">
        <f>D22*'Cash-flow PLAN'!$D$54/12</f>
        <v>196568.76749999999</v>
      </c>
      <c r="G22" s="345">
        <v>45717</v>
      </c>
      <c r="H22" s="341">
        <v>0</v>
      </c>
      <c r="I22" s="342" t="e">
        <f t="shared" si="4"/>
        <v>#REF!</v>
      </c>
      <c r="J22" s="343" t="e">
        <f>I22*'Cash-flow PLAN'!$D$55/12</f>
        <v>#REF!</v>
      </c>
      <c r="L22" s="345">
        <v>45717</v>
      </c>
      <c r="M22" s="341">
        <v>0</v>
      </c>
      <c r="N22" s="342">
        <f t="shared" si="2"/>
        <v>10682501</v>
      </c>
      <c r="O22" s="343">
        <f>N22*'Cash-flow PLAN'!$D$56/12</f>
        <v>93471.883749999994</v>
      </c>
      <c r="Q22" s="345">
        <v>45717</v>
      </c>
      <c r="R22" s="341">
        <v>0</v>
      </c>
      <c r="S22" s="342">
        <f t="shared" si="3"/>
        <v>0</v>
      </c>
      <c r="T22" s="343">
        <f>S22*'Cash-flow PLAN'!$D$57/12</f>
        <v>0</v>
      </c>
    </row>
    <row r="23" spans="2:20" ht="14.1">
      <c r="B23" s="345">
        <v>45748</v>
      </c>
      <c r="C23" s="341">
        <v>22465002</v>
      </c>
      <c r="D23" s="342">
        <f t="shared" si="0"/>
        <v>0</v>
      </c>
      <c r="E23" s="343">
        <f>D23*'Cash-flow PLAN'!$D$54/12</f>
        <v>0</v>
      </c>
      <c r="G23" s="345">
        <v>45748</v>
      </c>
      <c r="H23" s="341">
        <v>7870667</v>
      </c>
      <c r="I23" s="342" t="e">
        <f t="shared" si="4"/>
        <v>#REF!</v>
      </c>
      <c r="J23" s="343" t="e">
        <f>I23*'Cash-flow PLAN'!$D$55/12</f>
        <v>#REF!</v>
      </c>
      <c r="L23" s="345">
        <v>45748</v>
      </c>
      <c r="M23" s="341">
        <v>10682501</v>
      </c>
      <c r="N23" s="342">
        <f t="shared" si="2"/>
        <v>0</v>
      </c>
      <c r="O23" s="343">
        <f>N23*'Cash-flow PLAN'!$D$56/12</f>
        <v>0</v>
      </c>
      <c r="Q23" s="345">
        <v>45748</v>
      </c>
      <c r="R23" s="341">
        <v>0</v>
      </c>
      <c r="S23" s="342">
        <f t="shared" si="3"/>
        <v>0</v>
      </c>
      <c r="T23" s="343">
        <f>S23*'Cash-flow PLAN'!$D$57/12</f>
        <v>0</v>
      </c>
    </row>
    <row r="24" spans="2:20" ht="14.1">
      <c r="B24" s="345">
        <v>45778</v>
      </c>
      <c r="C24" s="341">
        <v>0</v>
      </c>
      <c r="D24" s="342">
        <f t="shared" si="0"/>
        <v>0</v>
      </c>
      <c r="E24" s="343">
        <f>D24*'Cash-flow PLAN'!$D$54/12</f>
        <v>0</v>
      </c>
      <c r="G24" s="345">
        <v>45778</v>
      </c>
      <c r="H24" s="341">
        <v>0</v>
      </c>
      <c r="I24" s="342" t="e">
        <f t="shared" si="4"/>
        <v>#REF!</v>
      </c>
      <c r="J24" s="343" t="e">
        <f>I24*'Cash-flow PLAN'!$D$55/12</f>
        <v>#REF!</v>
      </c>
      <c r="L24" s="345">
        <v>45778</v>
      </c>
      <c r="M24" s="341">
        <v>0</v>
      </c>
      <c r="N24" s="342">
        <f t="shared" si="2"/>
        <v>0</v>
      </c>
      <c r="O24" s="343">
        <f>N24*'Cash-flow PLAN'!$D$56/12</f>
        <v>0</v>
      </c>
      <c r="Q24" s="345">
        <v>45778</v>
      </c>
      <c r="R24" s="341">
        <v>0</v>
      </c>
      <c r="S24" s="342">
        <f t="shared" si="3"/>
        <v>0</v>
      </c>
      <c r="T24" s="343">
        <f>S24*'Cash-flow PLAN'!$D$57/12</f>
        <v>0</v>
      </c>
    </row>
    <row r="25" spans="2:20" ht="14.1">
      <c r="B25" s="346">
        <v>45809</v>
      </c>
      <c r="C25" s="341">
        <v>0</v>
      </c>
      <c r="D25" s="342">
        <f t="shared" si="0"/>
        <v>0</v>
      </c>
      <c r="E25" s="343">
        <f>D25*'Cash-flow PLAN'!$D$54/12</f>
        <v>0</v>
      </c>
      <c r="G25" s="346">
        <v>45809</v>
      </c>
      <c r="H25" s="341">
        <v>0</v>
      </c>
      <c r="I25" s="342" t="e">
        <f t="shared" si="4"/>
        <v>#REF!</v>
      </c>
      <c r="J25" s="343" t="e">
        <f>I25*'Cash-flow PLAN'!$D$55/12</f>
        <v>#REF!</v>
      </c>
      <c r="L25" s="346">
        <v>45809</v>
      </c>
      <c r="M25" s="341">
        <v>0</v>
      </c>
      <c r="N25" s="342">
        <f t="shared" si="2"/>
        <v>0</v>
      </c>
      <c r="O25" s="343">
        <f>N25*'Cash-flow PLAN'!$D$56/12</f>
        <v>0</v>
      </c>
      <c r="Q25" s="346">
        <v>45809</v>
      </c>
      <c r="R25" s="341">
        <v>0</v>
      </c>
      <c r="S25" s="342">
        <f t="shared" si="3"/>
        <v>0</v>
      </c>
      <c r="T25" s="343">
        <f>S25*'Cash-flow PLAN'!$D$57/12</f>
        <v>0</v>
      </c>
    </row>
    <row r="26" spans="2:20" ht="14.1">
      <c r="B26" s="345">
        <v>45839</v>
      </c>
      <c r="C26" s="341">
        <v>0</v>
      </c>
      <c r="D26" s="342">
        <f t="shared" si="0"/>
        <v>0</v>
      </c>
      <c r="E26" s="343">
        <f>D26*'Cash-flow PLAN'!$D$54/12</f>
        <v>0</v>
      </c>
      <c r="G26" s="345">
        <v>45839</v>
      </c>
      <c r="H26" s="341">
        <v>0</v>
      </c>
      <c r="I26" s="342" t="e">
        <f t="shared" si="4"/>
        <v>#REF!</v>
      </c>
      <c r="J26" s="343" t="e">
        <f>I26*'Cash-flow PLAN'!$D$55/12</f>
        <v>#REF!</v>
      </c>
      <c r="L26" s="345">
        <v>45839</v>
      </c>
      <c r="M26" s="341">
        <v>0</v>
      </c>
      <c r="N26" s="342">
        <f t="shared" si="2"/>
        <v>0</v>
      </c>
      <c r="O26" s="343">
        <f>N26*'Cash-flow PLAN'!$D$56/12</f>
        <v>0</v>
      </c>
      <c r="Q26" s="345">
        <v>45839</v>
      </c>
      <c r="R26" s="341">
        <v>0</v>
      </c>
      <c r="S26" s="342">
        <f t="shared" si="3"/>
        <v>0</v>
      </c>
      <c r="T26" s="343">
        <f>S26*'Cash-flow PLAN'!$D$57/12</f>
        <v>0</v>
      </c>
    </row>
    <row r="27" spans="2:20" ht="14.1">
      <c r="B27" s="345">
        <v>45870</v>
      </c>
      <c r="C27" s="341">
        <v>0</v>
      </c>
      <c r="D27" s="342">
        <f t="shared" si="0"/>
        <v>0</v>
      </c>
      <c r="E27" s="343">
        <f>D27*'Cash-flow PLAN'!$D$54/12</f>
        <v>0</v>
      </c>
      <c r="G27" s="345">
        <v>45870</v>
      </c>
      <c r="H27" s="341">
        <v>0</v>
      </c>
      <c r="I27" s="342" t="e">
        <f t="shared" si="4"/>
        <v>#REF!</v>
      </c>
      <c r="J27" s="343" t="e">
        <f>I27*'Cash-flow PLAN'!$D$55/12</f>
        <v>#REF!</v>
      </c>
      <c r="L27" s="345">
        <v>45870</v>
      </c>
      <c r="M27" s="341">
        <v>0</v>
      </c>
      <c r="N27" s="342">
        <f t="shared" si="2"/>
        <v>0</v>
      </c>
      <c r="O27" s="343">
        <f>N27*'Cash-flow PLAN'!$D$56/12</f>
        <v>0</v>
      </c>
      <c r="Q27" s="345">
        <v>45870</v>
      </c>
      <c r="R27" s="341">
        <v>0</v>
      </c>
      <c r="S27" s="342">
        <f t="shared" si="3"/>
        <v>0</v>
      </c>
      <c r="T27" s="343">
        <f>S27*'Cash-flow PLAN'!$D$57/12</f>
        <v>0</v>
      </c>
    </row>
    <row r="28" spans="2:20" ht="14.1">
      <c r="B28" s="345">
        <v>45901</v>
      </c>
      <c r="C28" s="341">
        <v>0</v>
      </c>
      <c r="D28" s="342">
        <f t="shared" si="0"/>
        <v>0</v>
      </c>
      <c r="E28" s="343">
        <f>D28*'Cash-flow PLAN'!$D$54/12</f>
        <v>0</v>
      </c>
      <c r="G28" s="345">
        <v>45901</v>
      </c>
      <c r="H28" s="341">
        <v>0</v>
      </c>
      <c r="I28" s="342" t="e">
        <f t="shared" si="4"/>
        <v>#REF!</v>
      </c>
      <c r="J28" s="343" t="e">
        <f>I28*'Cash-flow PLAN'!$D$55/12</f>
        <v>#REF!</v>
      </c>
      <c r="L28" s="345">
        <v>45901</v>
      </c>
      <c r="M28" s="341">
        <v>0</v>
      </c>
      <c r="N28" s="342">
        <f t="shared" si="2"/>
        <v>0</v>
      </c>
      <c r="O28" s="343">
        <f>N28*'Cash-flow PLAN'!$D$56/12</f>
        <v>0</v>
      </c>
      <c r="Q28" s="345">
        <v>45901</v>
      </c>
      <c r="R28" s="341">
        <v>0</v>
      </c>
      <c r="S28" s="342">
        <f t="shared" si="3"/>
        <v>0</v>
      </c>
      <c r="T28" s="343">
        <f>S28*'Cash-flow PLAN'!$D$57/12</f>
        <v>0</v>
      </c>
    </row>
    <row r="29" spans="2:20" ht="14.1">
      <c r="B29" s="345">
        <v>45931</v>
      </c>
      <c r="C29" s="341">
        <v>0</v>
      </c>
      <c r="D29" s="342">
        <f t="shared" si="0"/>
        <v>0</v>
      </c>
      <c r="E29" s="343">
        <f>D29*'Cash-flow PLAN'!$D$54/12</f>
        <v>0</v>
      </c>
      <c r="G29" s="345">
        <v>45931</v>
      </c>
      <c r="H29" s="341">
        <v>0</v>
      </c>
      <c r="I29" s="342" t="e">
        <f t="shared" si="4"/>
        <v>#REF!</v>
      </c>
      <c r="J29" s="343" t="e">
        <f>I29*'Cash-flow PLAN'!$D$55/12</f>
        <v>#REF!</v>
      </c>
      <c r="L29" s="345">
        <v>45931</v>
      </c>
      <c r="M29" s="341">
        <v>0</v>
      </c>
      <c r="N29" s="342">
        <f t="shared" si="2"/>
        <v>0</v>
      </c>
      <c r="O29" s="343">
        <f>N29*'Cash-flow PLAN'!$D$56/12</f>
        <v>0</v>
      </c>
      <c r="Q29" s="345">
        <v>45931</v>
      </c>
      <c r="R29" s="341">
        <v>0</v>
      </c>
      <c r="S29" s="342">
        <f t="shared" si="3"/>
        <v>0</v>
      </c>
      <c r="T29" s="343">
        <f>S29*'Cash-flow PLAN'!$D$57/12</f>
        <v>0</v>
      </c>
    </row>
    <row r="30" spans="2:20" ht="14.1">
      <c r="B30" s="345">
        <v>45962</v>
      </c>
      <c r="C30" s="341">
        <v>0</v>
      </c>
      <c r="D30" s="342">
        <f t="shared" si="0"/>
        <v>0</v>
      </c>
      <c r="E30" s="343">
        <f>D30*'Cash-flow PLAN'!$D$54/12</f>
        <v>0</v>
      </c>
      <c r="G30" s="345">
        <v>45962</v>
      </c>
      <c r="H30" s="341">
        <v>0</v>
      </c>
      <c r="I30" s="342" t="e">
        <f t="shared" si="4"/>
        <v>#REF!</v>
      </c>
      <c r="J30" s="343" t="e">
        <f>I30*'Cash-flow PLAN'!$D$55/12</f>
        <v>#REF!</v>
      </c>
      <c r="L30" s="345">
        <v>45962</v>
      </c>
      <c r="M30" s="341">
        <v>0</v>
      </c>
      <c r="N30" s="342">
        <f t="shared" si="2"/>
        <v>0</v>
      </c>
      <c r="O30" s="343">
        <f>N30*'Cash-flow PLAN'!$D$56/12</f>
        <v>0</v>
      </c>
      <c r="Q30" s="345">
        <v>45962</v>
      </c>
      <c r="R30" s="341">
        <v>0</v>
      </c>
      <c r="S30" s="342">
        <f t="shared" si="3"/>
        <v>0</v>
      </c>
      <c r="T30" s="343">
        <f>S30*'Cash-flow PLAN'!$D$57/12</f>
        <v>0</v>
      </c>
    </row>
    <row r="31" spans="2:20" ht="14.1">
      <c r="B31" s="345">
        <v>45992</v>
      </c>
      <c r="C31" s="341">
        <v>0</v>
      </c>
      <c r="D31" s="342">
        <f t="shared" si="0"/>
        <v>0</v>
      </c>
      <c r="E31" s="343">
        <f>D31*'Cash-flow PLAN'!$D$54/12</f>
        <v>0</v>
      </c>
      <c r="G31" s="345">
        <v>45992</v>
      </c>
      <c r="H31" s="341">
        <v>0</v>
      </c>
      <c r="I31" s="342" t="e">
        <f t="shared" si="4"/>
        <v>#REF!</v>
      </c>
      <c r="J31" s="343" t="e">
        <f>I31*'Cash-flow PLAN'!$D$55/12</f>
        <v>#REF!</v>
      </c>
      <c r="L31" s="345">
        <v>45992</v>
      </c>
      <c r="M31" s="341">
        <v>0</v>
      </c>
      <c r="N31" s="342">
        <f t="shared" si="2"/>
        <v>0</v>
      </c>
      <c r="O31" s="343">
        <f>N31*'Cash-flow PLAN'!$D$56/12</f>
        <v>0</v>
      </c>
      <c r="Q31" s="345">
        <v>45992</v>
      </c>
      <c r="R31" s="341">
        <v>0</v>
      </c>
      <c r="S31" s="342">
        <f t="shared" si="3"/>
        <v>0</v>
      </c>
      <c r="T31" s="343">
        <f>S31*'Cash-flow PLAN'!$D$57/12</f>
        <v>0</v>
      </c>
    </row>
    <row r="32" spans="2:20" ht="14.1">
      <c r="B32" s="340">
        <v>46023</v>
      </c>
      <c r="C32" s="341">
        <v>0</v>
      </c>
      <c r="D32" s="342">
        <f t="shared" si="0"/>
        <v>0</v>
      </c>
      <c r="E32" s="343">
        <f>D32*'Cash-flow PLAN'!$D$54/12</f>
        <v>0</v>
      </c>
      <c r="G32" s="340">
        <v>46023</v>
      </c>
      <c r="H32" s="341">
        <v>0</v>
      </c>
      <c r="I32" s="342" t="e">
        <f t="shared" si="4"/>
        <v>#REF!</v>
      </c>
      <c r="J32" s="343" t="e">
        <f>I32*'Cash-flow PLAN'!$D$55/12</f>
        <v>#REF!</v>
      </c>
      <c r="L32" s="340">
        <v>46023</v>
      </c>
      <c r="M32" s="341">
        <v>0</v>
      </c>
      <c r="N32" s="342">
        <f t="shared" si="2"/>
        <v>0</v>
      </c>
      <c r="O32" s="343">
        <f>N32*'Cash-flow PLAN'!$D$56/12</f>
        <v>0</v>
      </c>
      <c r="Q32" s="340">
        <v>46023</v>
      </c>
      <c r="R32" s="341">
        <v>0</v>
      </c>
      <c r="S32" s="342">
        <f t="shared" si="3"/>
        <v>0</v>
      </c>
      <c r="T32" s="343">
        <f>S32*'Cash-flow PLAN'!$D$57/12</f>
        <v>0</v>
      </c>
    </row>
    <row r="33" spans="2:20" ht="14.1">
      <c r="B33" s="345">
        <v>46054</v>
      </c>
      <c r="C33" s="341">
        <v>0</v>
      </c>
      <c r="D33" s="342">
        <f t="shared" si="0"/>
        <v>0</v>
      </c>
      <c r="E33" s="343">
        <f>D33*'Cash-flow PLAN'!$D$54/12</f>
        <v>0</v>
      </c>
      <c r="G33" s="345">
        <v>46054</v>
      </c>
      <c r="H33" s="341">
        <v>0</v>
      </c>
      <c r="I33" s="342" t="e">
        <f t="shared" si="4"/>
        <v>#REF!</v>
      </c>
      <c r="J33" s="343" t="e">
        <f>I33*'Cash-flow PLAN'!$D$55/12</f>
        <v>#REF!</v>
      </c>
      <c r="L33" s="345">
        <v>46054</v>
      </c>
      <c r="M33" s="341">
        <v>0</v>
      </c>
      <c r="N33" s="342">
        <f t="shared" si="2"/>
        <v>0</v>
      </c>
      <c r="O33" s="343">
        <f>N33*'Cash-flow PLAN'!$D$56/12</f>
        <v>0</v>
      </c>
      <c r="Q33" s="345">
        <v>46054</v>
      </c>
      <c r="R33" s="341">
        <v>0</v>
      </c>
      <c r="S33" s="342">
        <f t="shared" si="3"/>
        <v>0</v>
      </c>
      <c r="T33" s="343">
        <f>S33*'Cash-flow PLAN'!$D$57/12</f>
        <v>0</v>
      </c>
    </row>
    <row r="34" spans="2:20" ht="14.1">
      <c r="B34" s="345">
        <v>46082</v>
      </c>
      <c r="C34" s="341">
        <v>0</v>
      </c>
      <c r="D34" s="342">
        <f t="shared" si="0"/>
        <v>0</v>
      </c>
      <c r="E34" s="343">
        <f>D34*'Cash-flow PLAN'!$D$54/12</f>
        <v>0</v>
      </c>
      <c r="G34" s="345">
        <v>46082</v>
      </c>
      <c r="H34" s="341">
        <v>0</v>
      </c>
      <c r="I34" s="342" t="e">
        <f t="shared" si="4"/>
        <v>#REF!</v>
      </c>
      <c r="J34" s="343" t="e">
        <f>I34*'Cash-flow PLAN'!$D$55/12</f>
        <v>#REF!</v>
      </c>
      <c r="L34" s="345">
        <v>46082</v>
      </c>
      <c r="M34" s="341">
        <v>0</v>
      </c>
      <c r="N34" s="342">
        <f t="shared" si="2"/>
        <v>0</v>
      </c>
      <c r="O34" s="343">
        <f>N34*'Cash-flow PLAN'!$D$56/12</f>
        <v>0</v>
      </c>
      <c r="Q34" s="345">
        <v>46082</v>
      </c>
      <c r="R34" s="341">
        <v>0</v>
      </c>
      <c r="S34" s="342">
        <f t="shared" si="3"/>
        <v>0</v>
      </c>
      <c r="T34" s="343">
        <f>S34*'Cash-flow PLAN'!$D$57/12</f>
        <v>0</v>
      </c>
    </row>
    <row r="35" spans="2:20" ht="14.1">
      <c r="B35" s="345">
        <v>46113</v>
      </c>
      <c r="C35" s="341">
        <v>0</v>
      </c>
      <c r="D35" s="342">
        <f t="shared" si="0"/>
        <v>0</v>
      </c>
      <c r="E35" s="343">
        <f>D35*'Cash-flow PLAN'!$D$54/12</f>
        <v>0</v>
      </c>
      <c r="G35" s="345">
        <v>46113</v>
      </c>
      <c r="H35" s="341">
        <v>0</v>
      </c>
      <c r="I35" s="342" t="e">
        <f t="shared" si="4"/>
        <v>#REF!</v>
      </c>
      <c r="J35" s="343" t="e">
        <f>I35*'Cash-flow PLAN'!$D$55/12</f>
        <v>#REF!</v>
      </c>
      <c r="L35" s="345">
        <v>46113</v>
      </c>
      <c r="M35" s="341">
        <v>0</v>
      </c>
      <c r="N35" s="342">
        <f t="shared" si="2"/>
        <v>0</v>
      </c>
      <c r="O35" s="343">
        <f>N35*'Cash-flow PLAN'!$D$56/12</f>
        <v>0</v>
      </c>
      <c r="Q35" s="345">
        <v>46113</v>
      </c>
      <c r="R35" s="341">
        <v>0</v>
      </c>
      <c r="S35" s="342">
        <f t="shared" si="3"/>
        <v>0</v>
      </c>
      <c r="T35" s="343">
        <f>S35*'Cash-flow PLAN'!$D$57/12</f>
        <v>0</v>
      </c>
    </row>
    <row r="36" spans="2:20" ht="14.1">
      <c r="B36" s="345">
        <v>46143</v>
      </c>
      <c r="C36" s="341">
        <v>0</v>
      </c>
      <c r="D36" s="342">
        <f t="shared" si="0"/>
        <v>0</v>
      </c>
      <c r="E36" s="343">
        <f>D36*'Cash-flow PLAN'!$D$54/12</f>
        <v>0</v>
      </c>
      <c r="G36" s="345">
        <v>46143</v>
      </c>
      <c r="H36" s="341">
        <v>0</v>
      </c>
      <c r="I36" s="342" t="e">
        <f t="shared" si="4"/>
        <v>#REF!</v>
      </c>
      <c r="J36" s="343" t="e">
        <f>I36*'Cash-flow PLAN'!$D$55/12</f>
        <v>#REF!</v>
      </c>
      <c r="L36" s="345">
        <v>46143</v>
      </c>
      <c r="M36" s="341">
        <v>0</v>
      </c>
      <c r="N36" s="342">
        <f t="shared" si="2"/>
        <v>0</v>
      </c>
      <c r="O36" s="343">
        <f>N36*'Cash-flow PLAN'!$D$56/12</f>
        <v>0</v>
      </c>
      <c r="Q36" s="345">
        <v>46143</v>
      </c>
      <c r="R36" s="341">
        <v>0</v>
      </c>
      <c r="S36" s="342">
        <f t="shared" si="3"/>
        <v>0</v>
      </c>
      <c r="T36" s="343">
        <f>S36*'Cash-flow PLAN'!$D$57/12</f>
        <v>0</v>
      </c>
    </row>
    <row r="37" spans="2:20" ht="14.1">
      <c r="B37" s="346">
        <v>46174</v>
      </c>
      <c r="C37" s="341">
        <v>0</v>
      </c>
      <c r="D37" s="342">
        <f t="shared" si="0"/>
        <v>0</v>
      </c>
      <c r="E37" s="343">
        <f>D37*'Cash-flow PLAN'!$D$54/12</f>
        <v>0</v>
      </c>
      <c r="G37" s="346">
        <v>46174</v>
      </c>
      <c r="H37" s="341">
        <v>0</v>
      </c>
      <c r="I37" s="342" t="e">
        <f t="shared" si="4"/>
        <v>#REF!</v>
      </c>
      <c r="J37" s="343" t="e">
        <f>I37*'Cash-flow PLAN'!$D$55/12</f>
        <v>#REF!</v>
      </c>
      <c r="L37" s="346">
        <v>46174</v>
      </c>
      <c r="M37" s="341">
        <v>0</v>
      </c>
      <c r="N37" s="342">
        <f t="shared" si="2"/>
        <v>0</v>
      </c>
      <c r="O37" s="343">
        <f>N37*'Cash-flow PLAN'!$D$56/12</f>
        <v>0</v>
      </c>
      <c r="Q37" s="346">
        <v>46174</v>
      </c>
      <c r="R37" s="341">
        <v>0</v>
      </c>
      <c r="S37" s="342">
        <f t="shared" si="3"/>
        <v>0</v>
      </c>
      <c r="T37" s="343">
        <f>S37*'Cash-flow PLAN'!$D$57/12</f>
        <v>0</v>
      </c>
    </row>
    <row r="38" spans="2:20" ht="14.1">
      <c r="B38" s="345">
        <v>46204</v>
      </c>
      <c r="C38" s="341">
        <v>0</v>
      </c>
      <c r="D38" s="342">
        <f t="shared" si="0"/>
        <v>0</v>
      </c>
      <c r="E38" s="343">
        <f>D38*'Cash-flow PLAN'!$D$54/12</f>
        <v>0</v>
      </c>
      <c r="G38" s="345">
        <v>46204</v>
      </c>
      <c r="H38" s="341">
        <v>0</v>
      </c>
      <c r="I38" s="342" t="e">
        <f t="shared" si="4"/>
        <v>#REF!</v>
      </c>
      <c r="J38" s="343" t="e">
        <f>I38*'Cash-flow PLAN'!$D$55/12</f>
        <v>#REF!</v>
      </c>
      <c r="L38" s="345">
        <v>46204</v>
      </c>
      <c r="M38" s="341">
        <v>0</v>
      </c>
      <c r="N38" s="342">
        <f t="shared" si="2"/>
        <v>0</v>
      </c>
      <c r="O38" s="343">
        <f>N38*'Cash-flow PLAN'!$D$56/12</f>
        <v>0</v>
      </c>
      <c r="Q38" s="345">
        <v>46204</v>
      </c>
      <c r="R38" s="341">
        <v>0</v>
      </c>
      <c r="S38" s="342">
        <f t="shared" si="3"/>
        <v>0</v>
      </c>
      <c r="T38" s="343">
        <f>S38*'Cash-flow PLAN'!$D$57/12</f>
        <v>0</v>
      </c>
    </row>
    <row r="39" spans="2:20" ht="14.1">
      <c r="B39" s="345">
        <v>46235</v>
      </c>
      <c r="C39" s="341">
        <v>0</v>
      </c>
      <c r="D39" s="342">
        <f t="shared" si="0"/>
        <v>0</v>
      </c>
      <c r="E39" s="343">
        <f>D39*'Cash-flow PLAN'!$D$54/12</f>
        <v>0</v>
      </c>
      <c r="G39" s="345">
        <v>46235</v>
      </c>
      <c r="H39" s="341">
        <v>0</v>
      </c>
      <c r="I39" s="342" t="e">
        <f t="shared" si="4"/>
        <v>#REF!</v>
      </c>
      <c r="J39" s="343" t="e">
        <f>I39*'Cash-flow PLAN'!$D$55/12</f>
        <v>#REF!</v>
      </c>
      <c r="L39" s="345">
        <v>46235</v>
      </c>
      <c r="M39" s="341">
        <v>0</v>
      </c>
      <c r="N39" s="342">
        <f t="shared" si="2"/>
        <v>0</v>
      </c>
      <c r="O39" s="343">
        <f>N39*'Cash-flow PLAN'!$D$56/12</f>
        <v>0</v>
      </c>
      <c r="Q39" s="345">
        <v>46235</v>
      </c>
      <c r="R39" s="341">
        <v>0</v>
      </c>
      <c r="S39" s="342">
        <f t="shared" si="3"/>
        <v>0</v>
      </c>
      <c r="T39" s="343">
        <f>S39*'Cash-flow PLAN'!$D$57/12</f>
        <v>0</v>
      </c>
    </row>
    <row r="40" spans="2:20" ht="14.1">
      <c r="B40" s="345">
        <v>46266</v>
      </c>
      <c r="C40" s="341">
        <v>0</v>
      </c>
      <c r="D40" s="342">
        <f t="shared" si="0"/>
        <v>0</v>
      </c>
      <c r="E40" s="343">
        <f>D40*'Cash-flow PLAN'!$D$54/12</f>
        <v>0</v>
      </c>
      <c r="G40" s="345">
        <v>46266</v>
      </c>
      <c r="H40" s="341">
        <v>0</v>
      </c>
      <c r="I40" s="342" t="e">
        <f t="shared" si="4"/>
        <v>#REF!</v>
      </c>
      <c r="J40" s="343" t="e">
        <f>I40*'Cash-flow PLAN'!$D$55/12</f>
        <v>#REF!</v>
      </c>
      <c r="L40" s="345">
        <v>46266</v>
      </c>
      <c r="M40" s="341">
        <v>0</v>
      </c>
      <c r="N40" s="342">
        <f t="shared" si="2"/>
        <v>0</v>
      </c>
      <c r="O40" s="343">
        <f>N40*'Cash-flow PLAN'!$D$56/12</f>
        <v>0</v>
      </c>
      <c r="Q40" s="345">
        <v>46266</v>
      </c>
      <c r="R40" s="341">
        <v>0</v>
      </c>
      <c r="S40" s="342">
        <f t="shared" si="3"/>
        <v>0</v>
      </c>
      <c r="T40" s="343">
        <f>S40*'Cash-flow PLAN'!$D$57/12</f>
        <v>0</v>
      </c>
    </row>
    <row r="41" spans="2:20" ht="14.1">
      <c r="B41" s="345">
        <v>46296</v>
      </c>
      <c r="C41" s="341">
        <v>0</v>
      </c>
      <c r="D41" s="342">
        <f t="shared" si="0"/>
        <v>0</v>
      </c>
      <c r="E41" s="343">
        <f>D41*'Cash-flow PLAN'!$D$54/12</f>
        <v>0</v>
      </c>
      <c r="G41" s="345">
        <v>46296</v>
      </c>
      <c r="H41" s="341">
        <v>0</v>
      </c>
      <c r="I41" s="342" t="e">
        <f t="shared" si="4"/>
        <v>#REF!</v>
      </c>
      <c r="J41" s="343" t="e">
        <f>I41*'Cash-flow PLAN'!$D$55/12</f>
        <v>#REF!</v>
      </c>
      <c r="L41" s="345">
        <v>46296</v>
      </c>
      <c r="M41" s="341">
        <v>0</v>
      </c>
      <c r="N41" s="342">
        <f t="shared" si="2"/>
        <v>0</v>
      </c>
      <c r="O41" s="343">
        <f>N41*'Cash-flow PLAN'!$D$56/12</f>
        <v>0</v>
      </c>
      <c r="Q41" s="345">
        <v>46296</v>
      </c>
      <c r="R41" s="341">
        <v>0</v>
      </c>
      <c r="S41" s="342">
        <f t="shared" si="3"/>
        <v>0</v>
      </c>
      <c r="T41" s="343">
        <f>S41*'Cash-flow PLAN'!$D$57/12</f>
        <v>0</v>
      </c>
    </row>
    <row r="42" spans="2:20" ht="14.1">
      <c r="B42" s="345">
        <v>46327</v>
      </c>
      <c r="C42" s="341">
        <v>0</v>
      </c>
      <c r="D42" s="342">
        <f t="shared" si="0"/>
        <v>0</v>
      </c>
      <c r="E42" s="343">
        <f>D42*'Cash-flow PLAN'!$D$54/12</f>
        <v>0</v>
      </c>
      <c r="G42" s="345">
        <v>46327</v>
      </c>
      <c r="H42" s="341">
        <v>0</v>
      </c>
      <c r="I42" s="342" t="e">
        <f t="shared" si="4"/>
        <v>#REF!</v>
      </c>
      <c r="J42" s="343" t="e">
        <f>I42*'Cash-flow PLAN'!$D$55/12</f>
        <v>#REF!</v>
      </c>
      <c r="L42" s="345">
        <v>46327</v>
      </c>
      <c r="M42" s="341">
        <v>0</v>
      </c>
      <c r="N42" s="342">
        <f t="shared" si="2"/>
        <v>0</v>
      </c>
      <c r="O42" s="343">
        <f>N42*'Cash-flow PLAN'!$D$56/12</f>
        <v>0</v>
      </c>
      <c r="Q42" s="345">
        <v>46327</v>
      </c>
      <c r="R42" s="341">
        <v>0</v>
      </c>
      <c r="S42" s="342">
        <f t="shared" si="3"/>
        <v>0</v>
      </c>
      <c r="T42" s="343">
        <f>S42*'Cash-flow PLAN'!$D$57/12</f>
        <v>0</v>
      </c>
    </row>
    <row r="43" spans="2:20" ht="14.1">
      <c r="B43" s="345">
        <v>46357</v>
      </c>
      <c r="C43" s="341">
        <v>0</v>
      </c>
      <c r="D43" s="342">
        <f t="shared" si="0"/>
        <v>0</v>
      </c>
      <c r="E43" s="343">
        <f>D43*'Cash-flow PLAN'!$D$54/12</f>
        <v>0</v>
      </c>
      <c r="G43" s="345">
        <v>46357</v>
      </c>
      <c r="H43" s="341">
        <v>0</v>
      </c>
      <c r="I43" s="342" t="e">
        <f t="shared" si="4"/>
        <v>#REF!</v>
      </c>
      <c r="J43" s="343" t="e">
        <f>I43*'Cash-flow PLAN'!$D$55/12</f>
        <v>#REF!</v>
      </c>
      <c r="L43" s="345">
        <v>46357</v>
      </c>
      <c r="M43" s="341">
        <v>0</v>
      </c>
      <c r="N43" s="342">
        <f t="shared" si="2"/>
        <v>0</v>
      </c>
      <c r="O43" s="343">
        <f>N43*'Cash-flow PLAN'!$D$56/12</f>
        <v>0</v>
      </c>
      <c r="Q43" s="345">
        <v>46357</v>
      </c>
      <c r="R43" s="341">
        <v>0</v>
      </c>
      <c r="S43" s="342">
        <f t="shared" si="3"/>
        <v>0</v>
      </c>
      <c r="T43" s="343">
        <f>S43*'Cash-flow PLAN'!$D$57/12</f>
        <v>0</v>
      </c>
    </row>
    <row r="44" spans="2:20" ht="14.1">
      <c r="B44" s="340">
        <v>46388</v>
      </c>
      <c r="C44" s="341">
        <v>0</v>
      </c>
      <c r="D44" s="342">
        <f t="shared" si="0"/>
        <v>0</v>
      </c>
      <c r="E44" s="343">
        <f>D44*'Cash-flow PLAN'!$D$54/12</f>
        <v>0</v>
      </c>
      <c r="G44" s="340">
        <v>46388</v>
      </c>
      <c r="H44" s="341">
        <v>0</v>
      </c>
      <c r="I44" s="342" t="e">
        <f t="shared" si="4"/>
        <v>#REF!</v>
      </c>
      <c r="J44" s="343" t="e">
        <f>I44*'Cash-flow PLAN'!$D$55/12</f>
        <v>#REF!</v>
      </c>
      <c r="L44" s="340">
        <v>46388</v>
      </c>
      <c r="M44" s="341">
        <v>0</v>
      </c>
      <c r="N44" s="342">
        <f t="shared" si="2"/>
        <v>0</v>
      </c>
      <c r="O44" s="343">
        <f>N44*'Cash-flow PLAN'!$D$56/12</f>
        <v>0</v>
      </c>
      <c r="Q44" s="340">
        <v>46388</v>
      </c>
      <c r="R44" s="341">
        <v>0</v>
      </c>
      <c r="S44" s="342">
        <f t="shared" si="3"/>
        <v>0</v>
      </c>
      <c r="T44" s="343">
        <f>S44*'Cash-flow PLAN'!$D$57/12</f>
        <v>0</v>
      </c>
    </row>
    <row r="45" spans="2:20" ht="14.1">
      <c r="B45" s="345">
        <v>46419</v>
      </c>
      <c r="C45" s="341">
        <v>0</v>
      </c>
      <c r="D45" s="342">
        <f t="shared" si="0"/>
        <v>0</v>
      </c>
      <c r="E45" s="343">
        <f>D45*'Cash-flow PLAN'!$D$54/12</f>
        <v>0</v>
      </c>
      <c r="G45" s="345">
        <v>46419</v>
      </c>
      <c r="H45" s="341">
        <v>0</v>
      </c>
      <c r="I45" s="342" t="e">
        <f t="shared" si="4"/>
        <v>#REF!</v>
      </c>
      <c r="J45" s="343" t="e">
        <f>I45*'Cash-flow PLAN'!$D$55/12</f>
        <v>#REF!</v>
      </c>
      <c r="L45" s="345">
        <v>46419</v>
      </c>
      <c r="M45" s="341">
        <v>0</v>
      </c>
      <c r="N45" s="342">
        <f t="shared" si="2"/>
        <v>0</v>
      </c>
      <c r="O45" s="343">
        <f>N45*'Cash-flow PLAN'!$D$56/12</f>
        <v>0</v>
      </c>
      <c r="Q45" s="345">
        <v>46419</v>
      </c>
      <c r="R45" s="341">
        <v>0</v>
      </c>
      <c r="S45" s="342">
        <f t="shared" si="3"/>
        <v>0</v>
      </c>
      <c r="T45" s="343">
        <f>S45*'Cash-flow PLAN'!$D$57/12</f>
        <v>0</v>
      </c>
    </row>
    <row r="46" spans="2:20" ht="14.1">
      <c r="B46" s="345">
        <v>46447</v>
      </c>
      <c r="C46" s="341">
        <v>0</v>
      </c>
      <c r="D46" s="342">
        <f t="shared" si="0"/>
        <v>0</v>
      </c>
      <c r="E46" s="343">
        <f>D46*'Cash-flow PLAN'!$D$54/12</f>
        <v>0</v>
      </c>
      <c r="G46" s="345">
        <v>46447</v>
      </c>
      <c r="H46" s="341">
        <v>0</v>
      </c>
      <c r="I46" s="342" t="e">
        <f t="shared" si="4"/>
        <v>#REF!</v>
      </c>
      <c r="J46" s="343" t="e">
        <f>I46*'Cash-flow PLAN'!$D$55/12</f>
        <v>#REF!</v>
      </c>
      <c r="L46" s="345">
        <v>46447</v>
      </c>
      <c r="M46" s="341">
        <v>0</v>
      </c>
      <c r="N46" s="342">
        <f t="shared" si="2"/>
        <v>0</v>
      </c>
      <c r="O46" s="343">
        <f>N46*'Cash-flow PLAN'!$D$56/12</f>
        <v>0</v>
      </c>
      <c r="Q46" s="345">
        <v>46447</v>
      </c>
      <c r="R46" s="341">
        <v>0</v>
      </c>
      <c r="S46" s="342">
        <f t="shared" si="3"/>
        <v>0</v>
      </c>
      <c r="T46" s="343">
        <f>S46*'Cash-flow PLAN'!$D$57/12</f>
        <v>0</v>
      </c>
    </row>
    <row r="47" spans="2:20" ht="14.1">
      <c r="B47" s="345">
        <v>46478</v>
      </c>
      <c r="C47" s="341">
        <v>0</v>
      </c>
      <c r="D47" s="342">
        <f t="shared" si="0"/>
        <v>0</v>
      </c>
      <c r="E47" s="343">
        <f>D47*'Cash-flow PLAN'!$D$54/12</f>
        <v>0</v>
      </c>
      <c r="G47" s="345">
        <v>46478</v>
      </c>
      <c r="H47" s="341">
        <v>0</v>
      </c>
      <c r="I47" s="342" t="e">
        <f t="shared" si="4"/>
        <v>#REF!</v>
      </c>
      <c r="J47" s="343" t="e">
        <f>I47*'Cash-flow PLAN'!$D$55/12</f>
        <v>#REF!</v>
      </c>
      <c r="L47" s="345">
        <v>46478</v>
      </c>
      <c r="M47" s="341">
        <v>0</v>
      </c>
      <c r="N47" s="342">
        <f t="shared" si="2"/>
        <v>0</v>
      </c>
      <c r="O47" s="343">
        <f>N47*'Cash-flow PLAN'!$D$56/12</f>
        <v>0</v>
      </c>
      <c r="Q47" s="345">
        <v>46478</v>
      </c>
      <c r="R47" s="341">
        <v>0</v>
      </c>
      <c r="S47" s="342">
        <f t="shared" si="3"/>
        <v>0</v>
      </c>
      <c r="T47" s="343">
        <f>S47*'Cash-flow PLAN'!$D$57/12</f>
        <v>0</v>
      </c>
    </row>
    <row r="48" spans="2:20" ht="14.1">
      <c r="B48" s="345">
        <v>46508</v>
      </c>
      <c r="C48" s="341">
        <v>0</v>
      </c>
      <c r="D48" s="342">
        <f t="shared" si="0"/>
        <v>0</v>
      </c>
      <c r="E48" s="343">
        <f>D48*'Cash-flow PLAN'!$D$54/12</f>
        <v>0</v>
      </c>
      <c r="G48" s="345">
        <v>46508</v>
      </c>
      <c r="H48" s="341">
        <v>0</v>
      </c>
      <c r="I48" s="342" t="e">
        <f t="shared" si="4"/>
        <v>#REF!</v>
      </c>
      <c r="J48" s="343" t="e">
        <f>I48*'Cash-flow PLAN'!$D$55/12</f>
        <v>#REF!</v>
      </c>
      <c r="L48" s="345">
        <v>46508</v>
      </c>
      <c r="M48" s="341">
        <v>0</v>
      </c>
      <c r="N48" s="342">
        <f t="shared" si="2"/>
        <v>0</v>
      </c>
      <c r="O48" s="343">
        <f>N48*'Cash-flow PLAN'!$D$56/12</f>
        <v>0</v>
      </c>
      <c r="Q48" s="345">
        <v>46508</v>
      </c>
      <c r="R48" s="341">
        <v>0</v>
      </c>
      <c r="S48" s="342">
        <f t="shared" si="3"/>
        <v>0</v>
      </c>
      <c r="T48" s="343">
        <f>S48*'Cash-flow PLAN'!$D$57/12</f>
        <v>0</v>
      </c>
    </row>
    <row r="49" spans="2:20" ht="14.1">
      <c r="B49" s="346">
        <v>46539</v>
      </c>
      <c r="C49" s="341">
        <v>0</v>
      </c>
      <c r="D49" s="342">
        <f t="shared" si="0"/>
        <v>0</v>
      </c>
      <c r="E49" s="343">
        <f>D49*'Cash-flow PLAN'!$D$54/12</f>
        <v>0</v>
      </c>
      <c r="G49" s="346">
        <v>46539</v>
      </c>
      <c r="H49" s="341">
        <v>0</v>
      </c>
      <c r="I49" s="342" t="e">
        <f t="shared" si="4"/>
        <v>#REF!</v>
      </c>
      <c r="J49" s="343" t="e">
        <f>I49*'Cash-flow PLAN'!$D$55/12</f>
        <v>#REF!</v>
      </c>
      <c r="L49" s="346">
        <v>46539</v>
      </c>
      <c r="M49" s="341">
        <v>0</v>
      </c>
      <c r="N49" s="342">
        <f t="shared" si="2"/>
        <v>0</v>
      </c>
      <c r="O49" s="343">
        <f>N49*'Cash-flow PLAN'!$D$56/12</f>
        <v>0</v>
      </c>
      <c r="Q49" s="346">
        <v>46539</v>
      </c>
      <c r="R49" s="341">
        <v>0</v>
      </c>
      <c r="S49" s="342">
        <f t="shared" si="3"/>
        <v>0</v>
      </c>
      <c r="T49" s="343">
        <f>S49*'Cash-flow PLAN'!$D$57/12</f>
        <v>0</v>
      </c>
    </row>
    <row r="50" spans="2:20" ht="14.1">
      <c r="B50" s="345">
        <v>46569</v>
      </c>
      <c r="C50" s="341">
        <v>0</v>
      </c>
      <c r="D50" s="342">
        <f t="shared" si="0"/>
        <v>0</v>
      </c>
      <c r="E50" s="343">
        <f>D50*'Cash-flow PLAN'!$D$54/12</f>
        <v>0</v>
      </c>
      <c r="G50" s="345">
        <v>46569</v>
      </c>
      <c r="H50" s="341">
        <v>0</v>
      </c>
      <c r="I50" s="342" t="e">
        <f t="shared" si="4"/>
        <v>#REF!</v>
      </c>
      <c r="J50" s="343" t="e">
        <f>I50*'Cash-flow PLAN'!$D$55/12</f>
        <v>#REF!</v>
      </c>
      <c r="L50" s="345">
        <v>46569</v>
      </c>
      <c r="M50" s="341">
        <v>0</v>
      </c>
      <c r="N50" s="342">
        <f t="shared" si="2"/>
        <v>0</v>
      </c>
      <c r="O50" s="343">
        <f>N50*'Cash-flow PLAN'!$D$56/12</f>
        <v>0</v>
      </c>
      <c r="Q50" s="345">
        <v>46569</v>
      </c>
      <c r="R50" s="341">
        <v>0</v>
      </c>
      <c r="S50" s="342">
        <f t="shared" si="3"/>
        <v>0</v>
      </c>
      <c r="T50" s="343">
        <f>S50*'Cash-flow PLAN'!$D$57/12</f>
        <v>0</v>
      </c>
    </row>
    <row r="51" spans="2:20" ht="14.1">
      <c r="B51" s="345">
        <v>46600</v>
      </c>
      <c r="C51" s="341">
        <v>0</v>
      </c>
      <c r="D51" s="342">
        <f t="shared" si="0"/>
        <v>0</v>
      </c>
      <c r="E51" s="343">
        <f>D51*'Cash-flow PLAN'!$D$54/12</f>
        <v>0</v>
      </c>
      <c r="G51" s="345">
        <v>46600</v>
      </c>
      <c r="H51" s="341">
        <v>0</v>
      </c>
      <c r="I51" s="342" t="e">
        <f t="shared" si="4"/>
        <v>#REF!</v>
      </c>
      <c r="J51" s="343" t="e">
        <f>I51*'Cash-flow PLAN'!$D$55/12</f>
        <v>#REF!</v>
      </c>
      <c r="L51" s="345">
        <v>46600</v>
      </c>
      <c r="M51" s="341">
        <v>0</v>
      </c>
      <c r="N51" s="342">
        <f t="shared" si="2"/>
        <v>0</v>
      </c>
      <c r="O51" s="343">
        <f>N51*'Cash-flow PLAN'!$D$56/12</f>
        <v>0</v>
      </c>
      <c r="Q51" s="345">
        <v>46600</v>
      </c>
      <c r="R51" s="341">
        <v>0</v>
      </c>
      <c r="S51" s="342">
        <f t="shared" si="3"/>
        <v>0</v>
      </c>
      <c r="T51" s="343">
        <f>S51*'Cash-flow PLAN'!$D$57/12</f>
        <v>0</v>
      </c>
    </row>
    <row r="52" spans="2:20" ht="14.1">
      <c r="B52" s="345">
        <v>46631</v>
      </c>
      <c r="C52" s="341">
        <v>0</v>
      </c>
      <c r="D52" s="342">
        <f t="shared" si="0"/>
        <v>0</v>
      </c>
      <c r="E52" s="343">
        <f>D52*'Cash-flow PLAN'!$D$54/12</f>
        <v>0</v>
      </c>
      <c r="G52" s="345">
        <v>46631</v>
      </c>
      <c r="H52" s="341">
        <v>0</v>
      </c>
      <c r="I52" s="342" t="e">
        <f t="shared" si="4"/>
        <v>#REF!</v>
      </c>
      <c r="J52" s="343" t="e">
        <f>I52*'Cash-flow PLAN'!$D$55/12</f>
        <v>#REF!</v>
      </c>
      <c r="L52" s="345">
        <v>46631</v>
      </c>
      <c r="M52" s="341">
        <v>0</v>
      </c>
      <c r="N52" s="342">
        <f t="shared" si="2"/>
        <v>0</v>
      </c>
      <c r="O52" s="343">
        <f>N52*'Cash-flow PLAN'!$D$56/12</f>
        <v>0</v>
      </c>
      <c r="Q52" s="345">
        <v>46631</v>
      </c>
      <c r="R52" s="341">
        <v>0</v>
      </c>
      <c r="S52" s="342">
        <f t="shared" si="3"/>
        <v>0</v>
      </c>
      <c r="T52" s="343">
        <f>S52*'Cash-flow PLAN'!$D$57/12</f>
        <v>0</v>
      </c>
    </row>
    <row r="53" spans="2:20" ht="14.1">
      <c r="B53" s="345">
        <v>46661</v>
      </c>
      <c r="C53" s="341">
        <v>0</v>
      </c>
      <c r="D53" s="342">
        <f t="shared" si="0"/>
        <v>0</v>
      </c>
      <c r="E53" s="343">
        <f>D53*'Cash-flow PLAN'!$D$54/12</f>
        <v>0</v>
      </c>
      <c r="G53" s="345">
        <v>46661</v>
      </c>
      <c r="H53" s="341">
        <v>0</v>
      </c>
      <c r="I53" s="342" t="e">
        <f t="shared" si="4"/>
        <v>#REF!</v>
      </c>
      <c r="J53" s="343" t="e">
        <f>I53*'Cash-flow PLAN'!$D$55/12</f>
        <v>#REF!</v>
      </c>
      <c r="L53" s="345">
        <v>46661</v>
      </c>
      <c r="M53" s="341">
        <v>0</v>
      </c>
      <c r="N53" s="342">
        <f t="shared" si="2"/>
        <v>0</v>
      </c>
      <c r="O53" s="343">
        <f>N53*'Cash-flow PLAN'!$D$56/12</f>
        <v>0</v>
      </c>
      <c r="Q53" s="345">
        <v>46661</v>
      </c>
      <c r="R53" s="341">
        <v>0</v>
      </c>
      <c r="S53" s="342">
        <f t="shared" si="3"/>
        <v>0</v>
      </c>
      <c r="T53" s="343">
        <f>S53*'Cash-flow PLAN'!$D$57/12</f>
        <v>0</v>
      </c>
    </row>
    <row r="54" spans="2:20" ht="14.1">
      <c r="B54" s="345">
        <v>46692</v>
      </c>
      <c r="C54" s="341">
        <v>0</v>
      </c>
      <c r="D54" s="342">
        <f t="shared" si="0"/>
        <v>0</v>
      </c>
      <c r="E54" s="343">
        <f>D54*'Cash-flow PLAN'!$D$54/12</f>
        <v>0</v>
      </c>
      <c r="G54" s="345">
        <v>46692</v>
      </c>
      <c r="H54" s="341">
        <v>0</v>
      </c>
      <c r="I54" s="342" t="e">
        <f t="shared" si="4"/>
        <v>#REF!</v>
      </c>
      <c r="J54" s="343" t="e">
        <f>I54*'Cash-flow PLAN'!$D$55/12</f>
        <v>#REF!</v>
      </c>
      <c r="L54" s="345">
        <v>46692</v>
      </c>
      <c r="M54" s="341">
        <v>0</v>
      </c>
      <c r="N54" s="342">
        <f t="shared" si="2"/>
        <v>0</v>
      </c>
      <c r="O54" s="343">
        <f>N54*'Cash-flow PLAN'!$D$56/12</f>
        <v>0</v>
      </c>
      <c r="Q54" s="345">
        <v>46692</v>
      </c>
      <c r="R54" s="341">
        <v>0</v>
      </c>
      <c r="S54" s="342">
        <f t="shared" si="3"/>
        <v>0</v>
      </c>
      <c r="T54" s="343">
        <f>S54*'Cash-flow PLAN'!$D$57/12</f>
        <v>0</v>
      </c>
    </row>
    <row r="55" spans="2:20" ht="14.1">
      <c r="B55" s="345">
        <v>46722</v>
      </c>
      <c r="C55" s="341">
        <v>0</v>
      </c>
      <c r="D55" s="342">
        <f t="shared" si="0"/>
        <v>0</v>
      </c>
      <c r="E55" s="343">
        <f>D55*'Cash-flow PLAN'!$D$54/12</f>
        <v>0</v>
      </c>
      <c r="G55" s="345">
        <v>46722</v>
      </c>
      <c r="H55" s="341">
        <v>0</v>
      </c>
      <c r="I55" s="342" t="e">
        <f t="shared" si="4"/>
        <v>#REF!</v>
      </c>
      <c r="J55" s="343" t="e">
        <f>I55*'Cash-flow PLAN'!$D$55/12</f>
        <v>#REF!</v>
      </c>
      <c r="L55" s="345">
        <v>46722</v>
      </c>
      <c r="M55" s="341">
        <v>0</v>
      </c>
      <c r="N55" s="342">
        <f t="shared" si="2"/>
        <v>0</v>
      </c>
      <c r="O55" s="343">
        <f>N55*'Cash-flow PLAN'!$D$56/12</f>
        <v>0</v>
      </c>
      <c r="Q55" s="345">
        <v>46722</v>
      </c>
      <c r="R55" s="341">
        <v>0</v>
      </c>
      <c r="S55" s="342">
        <f t="shared" si="3"/>
        <v>0</v>
      </c>
      <c r="T55" s="343">
        <f>S55*'Cash-flow PLAN'!$D$57/12</f>
        <v>0</v>
      </c>
    </row>
    <row r="56" spans="2:20" ht="14.1">
      <c r="B56" s="340">
        <v>46753</v>
      </c>
      <c r="C56" s="341">
        <v>0</v>
      </c>
      <c r="D56" s="342">
        <f t="shared" si="0"/>
        <v>0</v>
      </c>
      <c r="E56" s="343">
        <f>D56*'Cash-flow PLAN'!$D$54/12</f>
        <v>0</v>
      </c>
      <c r="G56" s="340">
        <v>46753</v>
      </c>
      <c r="H56" s="341">
        <v>0</v>
      </c>
      <c r="I56" s="342" t="e">
        <f t="shared" si="4"/>
        <v>#REF!</v>
      </c>
      <c r="J56" s="343" t="e">
        <f>I56*'Cash-flow PLAN'!$D$55/12</f>
        <v>#REF!</v>
      </c>
      <c r="L56" s="340">
        <v>46753</v>
      </c>
      <c r="M56" s="341">
        <v>0</v>
      </c>
      <c r="N56" s="342">
        <f t="shared" si="2"/>
        <v>0</v>
      </c>
      <c r="O56" s="343">
        <f>N56*'Cash-flow PLAN'!$D$56/12</f>
        <v>0</v>
      </c>
      <c r="Q56" s="340">
        <v>46753</v>
      </c>
      <c r="R56" s="341">
        <v>0</v>
      </c>
      <c r="S56" s="342">
        <f t="shared" si="3"/>
        <v>0</v>
      </c>
      <c r="T56" s="343">
        <f>S56*'Cash-flow PLAN'!$D$57/12</f>
        <v>0</v>
      </c>
    </row>
    <row r="57" spans="2:20" ht="14.1">
      <c r="B57" s="345">
        <v>46784</v>
      </c>
      <c r="C57" s="341">
        <v>0</v>
      </c>
      <c r="D57" s="342">
        <f t="shared" si="0"/>
        <v>0</v>
      </c>
      <c r="E57" s="343">
        <f>D57*'Cash-flow PLAN'!$D$54/12</f>
        <v>0</v>
      </c>
      <c r="G57" s="345">
        <v>46784</v>
      </c>
      <c r="H57" s="341">
        <v>0</v>
      </c>
      <c r="I57" s="342" t="e">
        <f t="shared" si="4"/>
        <v>#REF!</v>
      </c>
      <c r="J57" s="343" t="e">
        <f>I57*'Cash-flow PLAN'!$D$55/12</f>
        <v>#REF!</v>
      </c>
      <c r="L57" s="345">
        <v>46784</v>
      </c>
      <c r="M57" s="341">
        <v>0</v>
      </c>
      <c r="N57" s="342">
        <f t="shared" si="2"/>
        <v>0</v>
      </c>
      <c r="O57" s="343">
        <f>N57*'Cash-flow PLAN'!$D$56/12</f>
        <v>0</v>
      </c>
      <c r="Q57" s="345">
        <v>46784</v>
      </c>
      <c r="R57" s="341">
        <v>0</v>
      </c>
      <c r="S57" s="342">
        <f t="shared" si="3"/>
        <v>0</v>
      </c>
      <c r="T57" s="343">
        <f>S57*'Cash-flow PLAN'!$D$57/12</f>
        <v>0</v>
      </c>
    </row>
    <row r="58" spans="2:20" ht="14.1">
      <c r="B58" s="345">
        <v>46813</v>
      </c>
      <c r="C58" s="341">
        <v>0</v>
      </c>
      <c r="D58" s="342">
        <f t="shared" si="0"/>
        <v>0</v>
      </c>
      <c r="E58" s="343">
        <f>D58*'Cash-flow PLAN'!$D$54/12</f>
        <v>0</v>
      </c>
      <c r="G58" s="345">
        <v>46813</v>
      </c>
      <c r="H58" s="341">
        <v>0</v>
      </c>
      <c r="I58" s="342" t="e">
        <f t="shared" si="4"/>
        <v>#REF!</v>
      </c>
      <c r="J58" s="343" t="e">
        <f>I58*'Cash-flow PLAN'!$D$55/12</f>
        <v>#REF!</v>
      </c>
      <c r="L58" s="345">
        <v>46813</v>
      </c>
      <c r="M58" s="341">
        <v>0</v>
      </c>
      <c r="N58" s="342">
        <f t="shared" si="2"/>
        <v>0</v>
      </c>
      <c r="O58" s="343">
        <f>N58*'Cash-flow PLAN'!$D$56/12</f>
        <v>0</v>
      </c>
      <c r="Q58" s="345">
        <v>46813</v>
      </c>
      <c r="R58" s="341">
        <v>0</v>
      </c>
      <c r="S58" s="342">
        <f t="shared" si="3"/>
        <v>0</v>
      </c>
      <c r="T58" s="343">
        <f>S58*'Cash-flow PLAN'!$D$57/12</f>
        <v>0</v>
      </c>
    </row>
    <row r="59" spans="2:20" ht="14.1">
      <c r="B59" s="345">
        <v>46844</v>
      </c>
      <c r="C59" s="341">
        <v>0</v>
      </c>
      <c r="D59" s="342">
        <f t="shared" si="0"/>
        <v>0</v>
      </c>
      <c r="E59" s="343">
        <f>D59*'Cash-flow PLAN'!$D$54/12</f>
        <v>0</v>
      </c>
      <c r="G59" s="345">
        <v>46844</v>
      </c>
      <c r="H59" s="341">
        <v>0</v>
      </c>
      <c r="I59" s="342" t="e">
        <f t="shared" si="4"/>
        <v>#REF!</v>
      </c>
      <c r="J59" s="343" t="e">
        <f>I59*'Cash-flow PLAN'!$D$55/12</f>
        <v>#REF!</v>
      </c>
      <c r="L59" s="345">
        <v>46844</v>
      </c>
      <c r="M59" s="341">
        <v>0</v>
      </c>
      <c r="N59" s="342">
        <f t="shared" si="2"/>
        <v>0</v>
      </c>
      <c r="O59" s="343">
        <f>N59*'Cash-flow PLAN'!$D$56/12</f>
        <v>0</v>
      </c>
      <c r="Q59" s="345">
        <v>46844</v>
      </c>
      <c r="R59" s="341">
        <v>0</v>
      </c>
      <c r="S59" s="342">
        <f t="shared" si="3"/>
        <v>0</v>
      </c>
      <c r="T59" s="343">
        <f>S59*'Cash-flow PLAN'!$D$57/12</f>
        <v>0</v>
      </c>
    </row>
    <row r="60" spans="2:20" ht="14.1">
      <c r="B60" s="345">
        <v>46874</v>
      </c>
      <c r="C60" s="341">
        <v>0</v>
      </c>
      <c r="D60" s="342">
        <f t="shared" si="0"/>
        <v>0</v>
      </c>
      <c r="E60" s="343">
        <f>D60*'Cash-flow PLAN'!$D$54/12</f>
        <v>0</v>
      </c>
      <c r="G60" s="345">
        <v>46874</v>
      </c>
      <c r="H60" s="341">
        <v>0</v>
      </c>
      <c r="I60" s="342" t="e">
        <f t="shared" si="4"/>
        <v>#REF!</v>
      </c>
      <c r="J60" s="343" t="e">
        <f>I60*'Cash-flow PLAN'!$D$55/12</f>
        <v>#REF!</v>
      </c>
      <c r="L60" s="345">
        <v>46874</v>
      </c>
      <c r="M60" s="341">
        <v>0</v>
      </c>
      <c r="N60" s="342">
        <f t="shared" si="2"/>
        <v>0</v>
      </c>
      <c r="O60" s="343">
        <f>N60*'Cash-flow PLAN'!$D$56/12</f>
        <v>0</v>
      </c>
      <c r="Q60" s="345">
        <v>46874</v>
      </c>
      <c r="R60" s="341">
        <v>0</v>
      </c>
      <c r="S60" s="342">
        <f t="shared" si="3"/>
        <v>0</v>
      </c>
      <c r="T60" s="343">
        <f>S60*'Cash-flow PLAN'!$D$57/12</f>
        <v>0</v>
      </c>
    </row>
    <row r="61" spans="2:20" ht="14.1">
      <c r="B61" s="346">
        <v>46905</v>
      </c>
      <c r="C61" s="341">
        <v>0</v>
      </c>
      <c r="D61" s="342">
        <f t="shared" si="0"/>
        <v>0</v>
      </c>
      <c r="E61" s="343">
        <f>D61*'Cash-flow PLAN'!$D$54/12</f>
        <v>0</v>
      </c>
      <c r="G61" s="346">
        <v>46905</v>
      </c>
      <c r="H61" s="341">
        <v>0</v>
      </c>
      <c r="I61" s="342" t="e">
        <f t="shared" si="4"/>
        <v>#REF!</v>
      </c>
      <c r="J61" s="343" t="e">
        <f>I61*'Cash-flow PLAN'!$D$55/12</f>
        <v>#REF!</v>
      </c>
      <c r="L61" s="346">
        <v>46905</v>
      </c>
      <c r="M61" s="341">
        <v>0</v>
      </c>
      <c r="N61" s="342">
        <f t="shared" si="2"/>
        <v>0</v>
      </c>
      <c r="O61" s="343">
        <f>N61*'Cash-flow PLAN'!$D$56/12</f>
        <v>0</v>
      </c>
      <c r="Q61" s="346">
        <v>46905</v>
      </c>
      <c r="R61" s="341">
        <v>0</v>
      </c>
      <c r="S61" s="342">
        <f t="shared" si="3"/>
        <v>0</v>
      </c>
      <c r="T61" s="343">
        <f>S61*'Cash-flow PLAN'!$D$57/12</f>
        <v>0</v>
      </c>
    </row>
    <row r="62" spans="2:20" ht="14.1">
      <c r="B62" s="345">
        <v>46935</v>
      </c>
      <c r="C62" s="341">
        <v>0</v>
      </c>
      <c r="D62" s="342">
        <f t="shared" si="0"/>
        <v>0</v>
      </c>
      <c r="E62" s="343">
        <f>D62*'Cash-flow PLAN'!$D$54/12</f>
        <v>0</v>
      </c>
      <c r="G62" s="345">
        <v>46935</v>
      </c>
      <c r="H62" s="341">
        <v>0</v>
      </c>
      <c r="I62" s="342" t="e">
        <f t="shared" si="4"/>
        <v>#REF!</v>
      </c>
      <c r="J62" s="343" t="e">
        <f>I62*'Cash-flow PLAN'!$D$55/12</f>
        <v>#REF!</v>
      </c>
      <c r="L62" s="345">
        <v>46935</v>
      </c>
      <c r="M62" s="341">
        <v>0</v>
      </c>
      <c r="N62" s="342">
        <f t="shared" si="2"/>
        <v>0</v>
      </c>
      <c r="O62" s="343">
        <f>N62*'Cash-flow PLAN'!$D$56/12</f>
        <v>0</v>
      </c>
      <c r="Q62" s="345">
        <v>46935</v>
      </c>
      <c r="R62" s="341">
        <v>0</v>
      </c>
      <c r="S62" s="342">
        <f t="shared" si="3"/>
        <v>0</v>
      </c>
      <c r="T62" s="343">
        <f>S62*'Cash-flow PLAN'!$D$57/12</f>
        <v>0</v>
      </c>
    </row>
    <row r="63" spans="2:20" ht="14.1">
      <c r="B63" s="345">
        <v>46966</v>
      </c>
      <c r="C63" s="341">
        <v>0</v>
      </c>
      <c r="D63" s="342">
        <f t="shared" si="0"/>
        <v>0</v>
      </c>
      <c r="E63" s="343">
        <f>D63*'Cash-flow PLAN'!$D$54/12</f>
        <v>0</v>
      </c>
      <c r="G63" s="345">
        <v>46966</v>
      </c>
      <c r="H63" s="341">
        <v>0</v>
      </c>
      <c r="I63" s="342" t="e">
        <f t="shared" si="4"/>
        <v>#REF!</v>
      </c>
      <c r="J63" s="343" t="e">
        <f>I63*'Cash-flow PLAN'!$D$55/12</f>
        <v>#REF!</v>
      </c>
      <c r="L63" s="345">
        <v>46966</v>
      </c>
      <c r="M63" s="341">
        <v>0</v>
      </c>
      <c r="N63" s="342">
        <f t="shared" si="2"/>
        <v>0</v>
      </c>
      <c r="O63" s="343">
        <f>N63*'Cash-flow PLAN'!$D$56/12</f>
        <v>0</v>
      </c>
      <c r="Q63" s="345">
        <v>46966</v>
      </c>
      <c r="R63" s="341">
        <v>0</v>
      </c>
      <c r="S63" s="342">
        <f t="shared" si="3"/>
        <v>0</v>
      </c>
      <c r="T63" s="343">
        <f>S63*'Cash-flow PLAN'!$D$57/12</f>
        <v>0</v>
      </c>
    </row>
    <row r="64" spans="2:20" ht="14.1">
      <c r="B64" s="345">
        <v>46997</v>
      </c>
      <c r="C64" s="341">
        <v>0</v>
      </c>
      <c r="D64" s="342">
        <f t="shared" si="0"/>
        <v>0</v>
      </c>
      <c r="E64" s="343">
        <f>D64*'Cash-flow PLAN'!$D$54/12</f>
        <v>0</v>
      </c>
      <c r="G64" s="345">
        <v>46997</v>
      </c>
      <c r="H64" s="341">
        <v>0</v>
      </c>
      <c r="I64" s="342" t="e">
        <f t="shared" si="4"/>
        <v>#REF!</v>
      </c>
      <c r="J64" s="343" t="e">
        <f>I64*'Cash-flow PLAN'!$D$55/12</f>
        <v>#REF!</v>
      </c>
      <c r="L64" s="345">
        <v>46997</v>
      </c>
      <c r="M64" s="341">
        <v>0</v>
      </c>
      <c r="N64" s="342">
        <f t="shared" si="2"/>
        <v>0</v>
      </c>
      <c r="O64" s="343">
        <f>N64*'Cash-flow PLAN'!$D$56/12</f>
        <v>0</v>
      </c>
      <c r="Q64" s="345">
        <v>46997</v>
      </c>
      <c r="R64" s="341">
        <v>0</v>
      </c>
      <c r="S64" s="342">
        <f t="shared" si="3"/>
        <v>0</v>
      </c>
      <c r="T64" s="343">
        <f>S64*'Cash-flow PLAN'!$D$57/12</f>
        <v>0</v>
      </c>
    </row>
    <row r="65" spans="2:20" ht="14.1">
      <c r="B65" s="345">
        <v>47027</v>
      </c>
      <c r="C65" s="341">
        <v>0</v>
      </c>
      <c r="D65" s="342">
        <f t="shared" si="0"/>
        <v>0</v>
      </c>
      <c r="E65" s="343">
        <f>D65*'Cash-flow PLAN'!$D$54/12</f>
        <v>0</v>
      </c>
      <c r="G65" s="345">
        <v>47027</v>
      </c>
      <c r="H65" s="341">
        <v>0</v>
      </c>
      <c r="I65" s="342" t="e">
        <f t="shared" si="4"/>
        <v>#REF!</v>
      </c>
      <c r="J65" s="343" t="e">
        <f>I65*'Cash-flow PLAN'!$D$55/12</f>
        <v>#REF!</v>
      </c>
      <c r="L65" s="345">
        <v>47027</v>
      </c>
      <c r="M65" s="341">
        <v>0</v>
      </c>
      <c r="N65" s="342">
        <f t="shared" si="2"/>
        <v>0</v>
      </c>
      <c r="O65" s="343">
        <f>N65*'Cash-flow PLAN'!$D$56/12</f>
        <v>0</v>
      </c>
      <c r="Q65" s="345">
        <v>47027</v>
      </c>
      <c r="R65" s="341">
        <v>0</v>
      </c>
      <c r="S65" s="342">
        <f t="shared" si="3"/>
        <v>0</v>
      </c>
      <c r="T65" s="343">
        <f>S65*'Cash-flow PLAN'!$D$57/12</f>
        <v>0</v>
      </c>
    </row>
    <row r="66" spans="2:20" ht="14.1">
      <c r="B66" s="345">
        <v>47058</v>
      </c>
      <c r="C66" s="341">
        <v>0</v>
      </c>
      <c r="D66" s="342">
        <f t="shared" si="0"/>
        <v>0</v>
      </c>
      <c r="E66" s="343">
        <f>D66*'Cash-flow PLAN'!$D$54/12</f>
        <v>0</v>
      </c>
      <c r="G66" s="345">
        <v>47058</v>
      </c>
      <c r="H66" s="341">
        <v>0</v>
      </c>
      <c r="I66" s="342" t="e">
        <f t="shared" si="4"/>
        <v>#REF!</v>
      </c>
      <c r="J66" s="343" t="e">
        <f>I66*'Cash-flow PLAN'!$D$55/12</f>
        <v>#REF!</v>
      </c>
      <c r="L66" s="345">
        <v>47058</v>
      </c>
      <c r="M66" s="341">
        <v>0</v>
      </c>
      <c r="N66" s="342">
        <f t="shared" si="2"/>
        <v>0</v>
      </c>
      <c r="O66" s="343">
        <f>N66*'Cash-flow PLAN'!$D$56/12</f>
        <v>0</v>
      </c>
      <c r="Q66" s="345">
        <v>47058</v>
      </c>
      <c r="R66" s="341">
        <v>0</v>
      </c>
      <c r="S66" s="342">
        <f t="shared" si="3"/>
        <v>0</v>
      </c>
      <c r="T66" s="343">
        <f>S66*'Cash-flow PLAN'!$D$57/12</f>
        <v>0</v>
      </c>
    </row>
    <row r="67" spans="2:20" ht="14.1">
      <c r="B67" s="345">
        <v>47088</v>
      </c>
      <c r="C67" s="341">
        <v>0</v>
      </c>
      <c r="D67" s="342">
        <f t="shared" si="0"/>
        <v>0</v>
      </c>
      <c r="E67" s="343">
        <f>D67*'Cash-flow PLAN'!$D$54/12</f>
        <v>0</v>
      </c>
      <c r="G67" s="345">
        <v>47088</v>
      </c>
      <c r="H67" s="341">
        <v>0</v>
      </c>
      <c r="I67" s="342" t="e">
        <f t="shared" si="4"/>
        <v>#REF!</v>
      </c>
      <c r="J67" s="343" t="e">
        <f>I67*'Cash-flow PLAN'!$D$55/12</f>
        <v>#REF!</v>
      </c>
      <c r="L67" s="345">
        <v>47088</v>
      </c>
      <c r="M67" s="341">
        <v>0</v>
      </c>
      <c r="N67" s="342">
        <f t="shared" si="2"/>
        <v>0</v>
      </c>
      <c r="O67" s="343">
        <f>N67*'Cash-flow PLAN'!$D$56/12</f>
        <v>0</v>
      </c>
      <c r="Q67" s="345">
        <v>47088</v>
      </c>
      <c r="R67" s="341">
        <v>0</v>
      </c>
      <c r="S67" s="342">
        <f t="shared" si="3"/>
        <v>0</v>
      </c>
      <c r="T67" s="343">
        <f>S67*'Cash-flow PLAN'!$D$57/12</f>
        <v>0</v>
      </c>
    </row>
    <row r="68" spans="2:20" ht="14.1">
      <c r="B68" s="340">
        <v>47119</v>
      </c>
      <c r="C68" s="341">
        <v>0</v>
      </c>
      <c r="D68" s="342">
        <f t="shared" si="0"/>
        <v>0</v>
      </c>
      <c r="E68" s="343">
        <f>D68*'Cash-flow PLAN'!$D$54/12</f>
        <v>0</v>
      </c>
      <c r="G68" s="340">
        <v>47119</v>
      </c>
      <c r="H68" s="341">
        <v>0</v>
      </c>
      <c r="I68" s="342" t="e">
        <f t="shared" si="4"/>
        <v>#REF!</v>
      </c>
      <c r="J68" s="343" t="e">
        <f>I68*'Cash-flow PLAN'!$D$55/12</f>
        <v>#REF!</v>
      </c>
      <c r="L68" s="340">
        <v>47119</v>
      </c>
      <c r="M68" s="341">
        <v>0</v>
      </c>
      <c r="N68" s="342">
        <f t="shared" si="2"/>
        <v>0</v>
      </c>
      <c r="O68" s="343">
        <f>N68*'Cash-flow PLAN'!$D$56/12</f>
        <v>0</v>
      </c>
      <c r="Q68" s="340">
        <v>47119</v>
      </c>
      <c r="R68" s="341">
        <v>0</v>
      </c>
      <c r="S68" s="342">
        <f t="shared" si="3"/>
        <v>0</v>
      </c>
      <c r="T68" s="343">
        <f>S68*'Cash-flow PLAN'!$D$57/12</f>
        <v>0</v>
      </c>
    </row>
    <row r="69" spans="2:20" ht="14.1">
      <c r="B69" s="345">
        <v>47150</v>
      </c>
      <c r="C69" s="341">
        <v>0</v>
      </c>
      <c r="D69" s="342">
        <f t="shared" si="0"/>
        <v>0</v>
      </c>
      <c r="E69" s="343">
        <f>D69*'Cash-flow PLAN'!$D$54/12</f>
        <v>0</v>
      </c>
      <c r="G69" s="345">
        <v>47150</v>
      </c>
      <c r="H69" s="341">
        <v>0</v>
      </c>
      <c r="I69" s="342" t="e">
        <f t="shared" si="4"/>
        <v>#REF!</v>
      </c>
      <c r="J69" s="343" t="e">
        <f>I69*'Cash-flow PLAN'!$D$55/12</f>
        <v>#REF!</v>
      </c>
      <c r="L69" s="345">
        <v>47150</v>
      </c>
      <c r="M69" s="341">
        <v>0</v>
      </c>
      <c r="N69" s="342">
        <f t="shared" si="2"/>
        <v>0</v>
      </c>
      <c r="O69" s="343">
        <f>N69*'Cash-flow PLAN'!$D$56/12</f>
        <v>0</v>
      </c>
      <c r="Q69" s="345">
        <v>47150</v>
      </c>
      <c r="R69" s="341">
        <v>0</v>
      </c>
      <c r="S69" s="342">
        <f t="shared" si="3"/>
        <v>0</v>
      </c>
      <c r="T69" s="343">
        <f>S69*'Cash-flow PLAN'!$D$57/12</f>
        <v>0</v>
      </c>
    </row>
    <row r="70" spans="2:20" ht="14.1">
      <c r="B70" s="345">
        <v>47178</v>
      </c>
      <c r="C70" s="341">
        <v>0</v>
      </c>
      <c r="D70" s="342">
        <f t="shared" si="0"/>
        <v>0</v>
      </c>
      <c r="E70" s="343">
        <f>D70*'Cash-flow PLAN'!$D$54/12</f>
        <v>0</v>
      </c>
      <c r="G70" s="345">
        <v>47178</v>
      </c>
      <c r="H70" s="341">
        <v>0</v>
      </c>
      <c r="I70" s="342" t="e">
        <f t="shared" si="4"/>
        <v>#REF!</v>
      </c>
      <c r="J70" s="343" t="e">
        <f>I70*'Cash-flow PLAN'!$D$55/12</f>
        <v>#REF!</v>
      </c>
      <c r="L70" s="345">
        <v>47178</v>
      </c>
      <c r="M70" s="341">
        <v>0</v>
      </c>
      <c r="N70" s="342">
        <f t="shared" si="2"/>
        <v>0</v>
      </c>
      <c r="O70" s="343">
        <f>N70*'Cash-flow PLAN'!$D$56/12</f>
        <v>0</v>
      </c>
      <c r="Q70" s="345">
        <v>47178</v>
      </c>
      <c r="R70" s="341">
        <v>0</v>
      </c>
      <c r="S70" s="342">
        <f t="shared" si="3"/>
        <v>0</v>
      </c>
      <c r="T70" s="343">
        <f>S70*'Cash-flow PLAN'!$D$57/12</f>
        <v>0</v>
      </c>
    </row>
    <row r="71" spans="2:20" ht="14.1">
      <c r="B71" s="345">
        <v>47209</v>
      </c>
      <c r="C71" s="341">
        <v>0</v>
      </c>
      <c r="D71" s="342">
        <f t="shared" si="0"/>
        <v>0</v>
      </c>
      <c r="E71" s="343">
        <f>D71*'Cash-flow PLAN'!$D$54/12</f>
        <v>0</v>
      </c>
      <c r="G71" s="345">
        <v>47209</v>
      </c>
      <c r="H71" s="341">
        <v>0</v>
      </c>
      <c r="I71" s="342" t="e">
        <f t="shared" si="4"/>
        <v>#REF!</v>
      </c>
      <c r="J71" s="343" t="e">
        <f>I71*'Cash-flow PLAN'!$D$55/12</f>
        <v>#REF!</v>
      </c>
      <c r="L71" s="345">
        <v>47209</v>
      </c>
      <c r="M71" s="341">
        <v>0</v>
      </c>
      <c r="N71" s="342">
        <f t="shared" si="2"/>
        <v>0</v>
      </c>
      <c r="O71" s="343">
        <f>N71*'Cash-flow PLAN'!$D$56/12</f>
        <v>0</v>
      </c>
      <c r="Q71" s="345">
        <v>47209</v>
      </c>
      <c r="R71" s="341">
        <v>0</v>
      </c>
      <c r="S71" s="342">
        <f t="shared" si="3"/>
        <v>0</v>
      </c>
      <c r="T71" s="343">
        <f>S71*'Cash-flow PLAN'!$D$57/12</f>
        <v>0</v>
      </c>
    </row>
    <row r="72" spans="2:20" ht="14.1">
      <c r="B72" s="345">
        <v>47239</v>
      </c>
      <c r="C72" s="341">
        <v>0</v>
      </c>
      <c r="D72" s="342">
        <f t="shared" si="0"/>
        <v>0</v>
      </c>
      <c r="E72" s="343">
        <f>D72*'Cash-flow PLAN'!$D$54/12</f>
        <v>0</v>
      </c>
      <c r="G72" s="345">
        <v>47239</v>
      </c>
      <c r="H72" s="341">
        <v>0</v>
      </c>
      <c r="I72" s="342" t="e">
        <f t="shared" si="4"/>
        <v>#REF!</v>
      </c>
      <c r="J72" s="343" t="e">
        <f>I72*'Cash-flow PLAN'!$D$55/12</f>
        <v>#REF!</v>
      </c>
      <c r="L72" s="345">
        <v>47239</v>
      </c>
      <c r="M72" s="341">
        <v>0</v>
      </c>
      <c r="N72" s="342">
        <f t="shared" si="2"/>
        <v>0</v>
      </c>
      <c r="O72" s="343">
        <f>N72*'Cash-flow PLAN'!$D$56/12</f>
        <v>0</v>
      </c>
      <c r="Q72" s="345">
        <v>47239</v>
      </c>
      <c r="R72" s="341">
        <v>0</v>
      </c>
      <c r="S72" s="342">
        <f t="shared" si="3"/>
        <v>0</v>
      </c>
      <c r="T72" s="343">
        <f>S72*'Cash-flow PLAN'!$D$57/12</f>
        <v>0</v>
      </c>
    </row>
    <row r="73" spans="2:20" ht="14.1">
      <c r="B73" s="346">
        <v>47270</v>
      </c>
      <c r="C73" s="341">
        <v>0</v>
      </c>
      <c r="D73" s="342">
        <f t="shared" si="0"/>
        <v>0</v>
      </c>
      <c r="E73" s="343">
        <f>D73*'Cash-flow PLAN'!$D$54/12</f>
        <v>0</v>
      </c>
      <c r="G73" s="346">
        <v>47270</v>
      </c>
      <c r="H73" s="341">
        <v>0</v>
      </c>
      <c r="I73" s="342" t="e">
        <f t="shared" si="4"/>
        <v>#REF!</v>
      </c>
      <c r="J73" s="343" t="e">
        <f>I73*'Cash-flow PLAN'!$D$55/12</f>
        <v>#REF!</v>
      </c>
      <c r="L73" s="346">
        <v>47270</v>
      </c>
      <c r="M73" s="341">
        <v>0</v>
      </c>
      <c r="N73" s="342">
        <f t="shared" si="2"/>
        <v>0</v>
      </c>
      <c r="O73" s="343">
        <f>N73*'Cash-flow PLAN'!$D$56/12</f>
        <v>0</v>
      </c>
      <c r="Q73" s="346">
        <v>47270</v>
      </c>
      <c r="R73" s="341">
        <v>0</v>
      </c>
      <c r="S73" s="342">
        <f t="shared" si="3"/>
        <v>0</v>
      </c>
      <c r="T73" s="343">
        <f>S73*'Cash-flow PLAN'!$D$57/12</f>
        <v>0</v>
      </c>
    </row>
    <row r="74" spans="2:20" ht="14.1">
      <c r="B74" s="345">
        <v>47300</v>
      </c>
      <c r="C74" s="341">
        <v>0</v>
      </c>
      <c r="D74" s="342">
        <f t="shared" si="0"/>
        <v>0</v>
      </c>
      <c r="E74" s="343">
        <f>D74*'Cash-flow PLAN'!$D$54/12</f>
        <v>0</v>
      </c>
      <c r="G74" s="345">
        <v>47300</v>
      </c>
      <c r="H74" s="341">
        <v>0</v>
      </c>
      <c r="I74" s="342" t="e">
        <f t="shared" si="4"/>
        <v>#REF!</v>
      </c>
      <c r="J74" s="343" t="e">
        <f>I74*'Cash-flow PLAN'!$D$55/12</f>
        <v>#REF!</v>
      </c>
      <c r="L74" s="345">
        <v>47300</v>
      </c>
      <c r="M74" s="341">
        <v>0</v>
      </c>
      <c r="N74" s="342">
        <f t="shared" si="2"/>
        <v>0</v>
      </c>
      <c r="O74" s="343">
        <f>N74*'Cash-flow PLAN'!$D$56/12</f>
        <v>0</v>
      </c>
      <c r="Q74" s="345">
        <v>47300</v>
      </c>
      <c r="R74" s="341">
        <v>0</v>
      </c>
      <c r="S74" s="342">
        <f t="shared" si="3"/>
        <v>0</v>
      </c>
      <c r="T74" s="343">
        <f>S74*'Cash-flow PLAN'!$D$57/12</f>
        <v>0</v>
      </c>
    </row>
    <row r="75" spans="2:20" ht="14.1">
      <c r="B75" s="345">
        <v>47331</v>
      </c>
      <c r="C75" s="341">
        <v>0</v>
      </c>
      <c r="D75" s="342">
        <f t="shared" si="0"/>
        <v>0</v>
      </c>
      <c r="E75" s="343">
        <f>D75*'Cash-flow PLAN'!$D$54/12</f>
        <v>0</v>
      </c>
      <c r="G75" s="345">
        <v>47331</v>
      </c>
      <c r="H75" s="341">
        <v>0</v>
      </c>
      <c r="I75" s="342" t="e">
        <f t="shared" si="4"/>
        <v>#REF!</v>
      </c>
      <c r="J75" s="343" t="e">
        <f>I75*'Cash-flow PLAN'!$D$55/12</f>
        <v>#REF!</v>
      </c>
      <c r="L75" s="345">
        <v>47331</v>
      </c>
      <c r="M75" s="341">
        <v>0</v>
      </c>
      <c r="N75" s="342">
        <f t="shared" si="2"/>
        <v>0</v>
      </c>
      <c r="O75" s="343">
        <f>N75*'Cash-flow PLAN'!$D$56/12</f>
        <v>0</v>
      </c>
      <c r="Q75" s="345">
        <v>47331</v>
      </c>
      <c r="R75" s="341">
        <v>0</v>
      </c>
      <c r="S75" s="342">
        <f t="shared" si="3"/>
        <v>0</v>
      </c>
      <c r="T75" s="343">
        <f>S75*'Cash-flow PLAN'!$D$57/12</f>
        <v>0</v>
      </c>
    </row>
    <row r="76" spans="2:20" ht="14.1">
      <c r="B76" s="345">
        <v>47362</v>
      </c>
      <c r="C76" s="341">
        <v>0</v>
      </c>
      <c r="D76" s="342">
        <f t="shared" si="0"/>
        <v>0</v>
      </c>
      <c r="E76" s="343">
        <f>D76*'Cash-flow PLAN'!$D$54/12</f>
        <v>0</v>
      </c>
      <c r="G76" s="345">
        <v>47362</v>
      </c>
      <c r="H76" s="341">
        <v>0</v>
      </c>
      <c r="I76" s="342" t="e">
        <f t="shared" si="4"/>
        <v>#REF!</v>
      </c>
      <c r="J76" s="343" t="e">
        <f>I76*'Cash-flow PLAN'!$D$55/12</f>
        <v>#REF!</v>
      </c>
      <c r="L76" s="345">
        <v>47362</v>
      </c>
      <c r="M76" s="341">
        <v>0</v>
      </c>
      <c r="N76" s="342">
        <f t="shared" si="2"/>
        <v>0</v>
      </c>
      <c r="O76" s="343">
        <f>N76*'Cash-flow PLAN'!$D$56/12</f>
        <v>0</v>
      </c>
      <c r="Q76" s="345">
        <v>47362</v>
      </c>
      <c r="R76" s="341">
        <v>0</v>
      </c>
      <c r="S76" s="342">
        <f t="shared" si="3"/>
        <v>0</v>
      </c>
      <c r="T76" s="343">
        <f>S76*'Cash-flow PLAN'!$D$57/12</f>
        <v>0</v>
      </c>
    </row>
    <row r="77" spans="2:20" ht="14.1">
      <c r="B77" s="345">
        <v>47392</v>
      </c>
      <c r="C77" s="341">
        <v>0</v>
      </c>
      <c r="D77" s="342">
        <f t="shared" si="0"/>
        <v>0</v>
      </c>
      <c r="E77" s="343">
        <f>D77*'Cash-flow PLAN'!$D$54/12</f>
        <v>0</v>
      </c>
      <c r="G77" s="345">
        <v>47392</v>
      </c>
      <c r="H77" s="341">
        <v>0</v>
      </c>
      <c r="I77" s="342" t="e">
        <f t="shared" si="4"/>
        <v>#REF!</v>
      </c>
      <c r="J77" s="343" t="e">
        <f>I77*'Cash-flow PLAN'!$D$55/12</f>
        <v>#REF!</v>
      </c>
      <c r="L77" s="345">
        <v>47392</v>
      </c>
      <c r="M77" s="341">
        <v>0</v>
      </c>
      <c r="N77" s="342">
        <f t="shared" si="2"/>
        <v>0</v>
      </c>
      <c r="O77" s="343">
        <f>N77*'Cash-flow PLAN'!$D$56/12</f>
        <v>0</v>
      </c>
      <c r="Q77" s="345">
        <v>47392</v>
      </c>
      <c r="R77" s="341">
        <v>0</v>
      </c>
      <c r="S77" s="342">
        <f t="shared" si="3"/>
        <v>0</v>
      </c>
      <c r="T77" s="343">
        <f>S77*'Cash-flow PLAN'!$D$57/12</f>
        <v>0</v>
      </c>
    </row>
    <row r="78" spans="2:20" ht="14.1">
      <c r="B78" s="345">
        <v>47423</v>
      </c>
      <c r="C78" s="341">
        <v>0</v>
      </c>
      <c r="D78" s="342">
        <f t="shared" si="0"/>
        <v>0</v>
      </c>
      <c r="E78" s="343">
        <f>D78*'Cash-flow PLAN'!$D$54/12</f>
        <v>0</v>
      </c>
      <c r="G78" s="345">
        <v>47423</v>
      </c>
      <c r="H78" s="341">
        <v>0</v>
      </c>
      <c r="I78" s="342" t="e">
        <f t="shared" si="4"/>
        <v>#REF!</v>
      </c>
      <c r="J78" s="343" t="e">
        <f>I78*'Cash-flow PLAN'!$D$55/12</f>
        <v>#REF!</v>
      </c>
      <c r="L78" s="345">
        <v>47423</v>
      </c>
      <c r="M78" s="341">
        <v>0</v>
      </c>
      <c r="N78" s="342">
        <f t="shared" si="2"/>
        <v>0</v>
      </c>
      <c r="O78" s="343">
        <f>N78*'Cash-flow PLAN'!$D$56/12</f>
        <v>0</v>
      </c>
      <c r="Q78" s="345">
        <v>47423</v>
      </c>
      <c r="R78" s="341">
        <v>0</v>
      </c>
      <c r="S78" s="342">
        <f t="shared" si="3"/>
        <v>0</v>
      </c>
      <c r="T78" s="343">
        <f>S78*'Cash-flow PLAN'!$D$57/12</f>
        <v>0</v>
      </c>
    </row>
    <row r="79" spans="2:20" ht="14.1">
      <c r="B79" s="345">
        <v>47453</v>
      </c>
      <c r="C79" s="341">
        <v>0</v>
      </c>
      <c r="D79" s="342">
        <f>D78</f>
        <v>0</v>
      </c>
      <c r="E79" s="343">
        <f>D79*'Cash-flow PLAN'!$D$54/12</f>
        <v>0</v>
      </c>
      <c r="G79" s="345">
        <v>47453</v>
      </c>
      <c r="H79" s="341">
        <v>0</v>
      </c>
      <c r="I79" s="342" t="e">
        <f>I78</f>
        <v>#REF!</v>
      </c>
      <c r="J79" s="343" t="e">
        <f>I79*'Cash-flow PLAN'!$D$55/12</f>
        <v>#REF!</v>
      </c>
      <c r="L79" s="345">
        <v>47453</v>
      </c>
      <c r="M79" s="341">
        <v>-13002832.540510181</v>
      </c>
      <c r="N79" s="342">
        <f>N78</f>
        <v>0</v>
      </c>
      <c r="O79" s="343">
        <f>N79*'Cash-flow PLAN'!$D$56/12</f>
        <v>0</v>
      </c>
      <c r="Q79" s="345">
        <v>47453</v>
      </c>
      <c r="R79" s="341">
        <v>0</v>
      </c>
      <c r="S79" s="342">
        <f>S78</f>
        <v>0</v>
      </c>
      <c r="T79" s="343">
        <f>S79*'Cash-flow PLAN'!$D$57/12</f>
        <v>0</v>
      </c>
    </row>
  </sheetData>
  <mergeCells count="4">
    <mergeCell ref="B2:E3"/>
    <mergeCell ref="G2:J3"/>
    <mergeCell ref="L2:O3"/>
    <mergeCell ref="Q2:T3"/>
  </mergeCells>
  <pageMargins left="0" right="0" top="0" bottom="0" header="0" footer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EH225"/>
  <sheetViews>
    <sheetView workbookViewId="0">
      <pane xSplit="3" ySplit="4" topLeftCell="D5" activePane="bottomRight" state="frozen"/>
      <selection pane="bottomRight" activeCell="D5" sqref="D5"/>
      <selection pane="bottomLeft" activeCell="A5" sqref="A5"/>
      <selection pane="topRight" activeCell="D1" sqref="D1"/>
    </sheetView>
  </sheetViews>
  <sheetFormatPr defaultColWidth="12.625" defaultRowHeight="15" customHeight="1" outlineLevelRow="2" outlineLevelCol="2"/>
  <cols>
    <col min="1" max="1" width="2.375" customWidth="1"/>
    <col min="3" max="3" width="40.125" customWidth="1"/>
    <col min="4" max="4" width="12.625" outlineLevel="1"/>
    <col min="5" max="5" width="10.875" customWidth="1" outlineLevel="1"/>
    <col min="6" max="16" width="10.875" customWidth="1" outlineLevel="2"/>
    <col min="17" max="17" width="10.875" customWidth="1" outlineLevel="1"/>
    <col min="18" max="20" width="10.875" customWidth="1" outlineLevel="2"/>
    <col min="21" max="21" width="9.125" customWidth="1" outlineLevel="2"/>
    <col min="22" max="28" width="9.625" customWidth="1" outlineLevel="2"/>
    <col min="29" max="29" width="9.625" customWidth="1" outlineLevel="1" collapsed="1"/>
    <col min="30" max="40" width="6.5" hidden="1" customWidth="1" outlineLevel="2"/>
    <col min="41" max="41" width="6.5" customWidth="1" outlineLevel="1" collapsed="1"/>
    <col min="42" max="52" width="6.5" hidden="1" customWidth="1" outlineLevel="2"/>
    <col min="53" max="53" width="6.5" customWidth="1" outlineLevel="1" collapsed="1"/>
    <col min="54" max="64" width="6.5" hidden="1" customWidth="1" outlineLevel="2"/>
    <col min="65" max="65" width="6.5" customWidth="1" outlineLevel="1" collapsed="1"/>
    <col min="66" max="76" width="6.5" hidden="1" customWidth="1" outlineLevel="2"/>
    <col min="79" max="79" width="12.625" collapsed="1"/>
    <col min="80" max="82" width="12.625" hidden="1" outlineLevel="1"/>
  </cols>
  <sheetData>
    <row r="1" spans="1:138">
      <c r="A1" s="222"/>
      <c r="B1" s="357" t="s">
        <v>199</v>
      </c>
      <c r="C1" s="358">
        <v>45473</v>
      </c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</row>
    <row r="2" spans="1:138">
      <c r="A2" s="505"/>
      <c r="B2" s="567" t="s">
        <v>200</v>
      </c>
      <c r="C2" s="597"/>
      <c r="D2" s="505"/>
      <c r="E2" s="559">
        <v>45292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9"/>
      <c r="Q2" s="558">
        <v>2025</v>
      </c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9"/>
      <c r="AC2" s="558">
        <v>2026</v>
      </c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9"/>
      <c r="AO2" s="559">
        <v>46388</v>
      </c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9"/>
      <c r="BA2" s="559">
        <v>46753</v>
      </c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9"/>
      <c r="BM2" s="559">
        <v>47119</v>
      </c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9"/>
      <c r="BY2" s="560" t="s">
        <v>201</v>
      </c>
      <c r="BZ2" s="597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</row>
    <row r="3" spans="1:138">
      <c r="A3" s="505"/>
      <c r="B3" s="588"/>
      <c r="C3" s="597"/>
      <c r="D3" s="505"/>
      <c r="E3" s="226" t="str">
        <f>IFERROR(VLOOKUP(TEXT(E4,"mm.yyyy"),HMG!$B$2:$C$1001, 2, FALSE),"")</f>
        <v>zapis KS</v>
      </c>
      <c r="F3" s="226" t="str">
        <f>IFERROR(VLOOKUP(TEXT(F4,"mm.yyyy"),HMG!$B$2:$C$1001, 2, FALSE),"")</f>
        <v/>
      </c>
      <c r="G3" s="226" t="str">
        <f>IFERROR(VLOOKUP(TEXT(G4,"mm.yyyy"),HMG!$B$2:$C$1001, 2, FALSE),"")</f>
        <v/>
      </c>
      <c r="H3" s="226" t="str">
        <f>IFERROR(VLOOKUP(TEXT(H4,"mm.yyyy"),HMG!$B$2:$C$1001, 2, FALSE),"")</f>
        <v/>
      </c>
      <c r="I3" s="226" t="str">
        <f>IFERROR(VLOOKUP(TEXT(I4,"mm.yyyy"),HMG!$B$2:$C$1001, 2, FALSE),"")</f>
        <v/>
      </c>
      <c r="J3" s="226" t="str">
        <f>IFERROR(VLOOKUP(TEXT(J4,"mm.yyyy"),HMG!$B$2:$C$1001, 2, FALSE),"")</f>
        <v/>
      </c>
      <c r="K3" s="226" t="str">
        <f>IFERROR(VLOOKUP(TEXT(K4,"mm.yyyy"),HMG!$B$2:$C$1001, 2, FALSE),"")</f>
        <v/>
      </c>
      <c r="L3" s="226" t="str">
        <f>IFERROR(VLOOKUP(TEXT(L4,"mm.yyyy"),HMG!$B$2:$C$1001, 2, FALSE),"")</f>
        <v/>
      </c>
      <c r="M3" s="226" t="str">
        <f>IFERROR(VLOOKUP(TEXT(M4,"mm.yyyy"),HMG!$B$2:$C$1001, 2, FALSE),"")</f>
        <v/>
      </c>
      <c r="N3" s="226" t="str">
        <f>IFERROR(VLOOKUP(TEXT(N4,"mm.yyyy"),HMG!$B$2:$C$1001, 2, FALSE),"")</f>
        <v/>
      </c>
      <c r="O3" s="226" t="str">
        <f>IFERROR(VLOOKUP(TEXT(O4,"mm.yyyy"),HMG!$B$2:$C$1001, 2, FALSE),"")</f>
        <v/>
      </c>
      <c r="P3" s="226" t="str">
        <f>IFERROR(VLOOKUP(TEXT(P4,"mm.yyyy"),HMG!$B$2:$C$1001, 2, FALSE),"")</f>
        <v/>
      </c>
      <c r="Q3" s="226" t="str">
        <f>IFERROR(VLOOKUP(TEXT(Q4,"mm.yyyy"),HMG!$B$2:$C$1001, 2, FALSE),"")</f>
        <v>zapis KS</v>
      </c>
      <c r="R3" s="226" t="str">
        <f>IFERROR(VLOOKUP(TEXT(R4,"mm.yyyy"),HMG!$B$2:$C$1001, 2, FALSE),"")</f>
        <v/>
      </c>
      <c r="S3" s="226" t="str">
        <f>IFERROR(VLOOKUP(TEXT(S4,"mm.yyyy"),HMG!$B$2:$C$1001, 2, FALSE),"")</f>
        <v/>
      </c>
      <c r="T3" s="226" t="str">
        <f>IFERROR(VLOOKUP(TEXT(T4,"mm.yyyy"),HMG!$B$2:$C$1001, 2, FALSE),"")</f>
        <v/>
      </c>
      <c r="U3" s="226" t="str">
        <f>IFERROR(VLOOKUP(TEXT(U4,"mm.yyyy"),HMG!$B$2:$C$1001, 2, FALSE),"")</f>
        <v/>
      </c>
      <c r="V3" s="226" t="str">
        <f>IFERROR(VLOOKUP(TEXT(V4,"mm.yyyy"),HMG!$B$2:$C$1001, 2, FALSE),"")</f>
        <v/>
      </c>
      <c r="W3" s="226" t="str">
        <f>IFERROR(VLOOKUP(TEXT(W4,"mm.yyyy"),HMG!$B$2:$C$1001, 2, FALSE),"")</f>
        <v/>
      </c>
      <c r="X3" s="226" t="str">
        <f>IFERROR(VLOOKUP(TEXT(X4,"mm.yyyy"),HMG!$B$2:$C$1001, 2, FALSE),"")</f>
        <v/>
      </c>
      <c r="Y3" s="226" t="str">
        <f>IFERROR(VLOOKUP(TEXT(Y4,"mm.yyyy"),HMG!$B$2:$C$1001, 2, FALSE),"")</f>
        <v/>
      </c>
      <c r="Z3" s="226" t="str">
        <f>IFERROR(VLOOKUP(TEXT(Z4,"mm.yyyy"),HMG!$B$2:$C$1001, 2, FALSE),"")</f>
        <v/>
      </c>
      <c r="AA3" s="226" t="str">
        <f>IFERROR(VLOOKUP(TEXT(AA4,"mm.yyyy"),HMG!$B$2:$C$1001, 2, FALSE),"")</f>
        <v/>
      </c>
      <c r="AB3" s="226" t="str">
        <f>IFERROR(VLOOKUP(TEXT(AB4,"mm.yyyy"),HMG!$B$2:$C$1001, 2, FALSE),"")</f>
        <v/>
      </c>
      <c r="AC3" s="226" t="str">
        <f>IFERROR(VLOOKUP(TEXT(AC4,"mm.yyyy"),HMG!$B$2:$C$1001, 2, FALSE),"")</f>
        <v>zapis KS</v>
      </c>
      <c r="AD3" s="226" t="str">
        <f>IFERROR(VLOOKUP(TEXT(AD4,"mm.yyyy"),HMG!$B$2:$C$1001, 2, FALSE),"")</f>
        <v/>
      </c>
      <c r="AE3" s="226" t="str">
        <f>IFERROR(VLOOKUP(TEXT(AE4,"mm.yyyy"),HMG!$B$2:$C$1001, 2, FALSE),"")</f>
        <v/>
      </c>
      <c r="AF3" s="226" t="str">
        <f>IFERROR(VLOOKUP(TEXT(AF4,"mm.yyyy"),HMG!$B$2:$C$1001, 2, FALSE),"")</f>
        <v/>
      </c>
      <c r="AG3" s="226" t="str">
        <f>IFERROR(VLOOKUP(TEXT(AG4,"mm.yyyy"),HMG!$B$2:$C$1001, 2, FALSE),"")</f>
        <v/>
      </c>
      <c r="AH3" s="226" t="str">
        <f>IFERROR(VLOOKUP(TEXT(AH4,"mm.yyyy"),HMG!$B$2:$C$1001, 2, FALSE),"")</f>
        <v/>
      </c>
      <c r="AI3" s="226" t="str">
        <f>IFERROR(VLOOKUP(TEXT(AI4,"mm.yyyy"),HMG!$B$2:$C$1001, 2, FALSE),"")</f>
        <v/>
      </c>
      <c r="AJ3" s="226" t="str">
        <f>IFERROR(VLOOKUP(TEXT(AJ4,"mm.yyyy"),HMG!$B$2:$C$1001, 2, FALSE),"")</f>
        <v/>
      </c>
      <c r="AK3" s="226" t="str">
        <f>IFERROR(VLOOKUP(TEXT(AK4,"mm.yyyy"),HMG!$B$2:$C$1001, 2, FALSE),"")</f>
        <v/>
      </c>
      <c r="AL3" s="226" t="str">
        <f>IFERROR(VLOOKUP(TEXT(AL4,"mm.yyyy"),HMG!$B$2:$C$1001, 2, FALSE),"")</f>
        <v/>
      </c>
      <c r="AM3" s="226" t="str">
        <f>IFERROR(VLOOKUP(TEXT(AM4,"mm.yyyy"),HMG!$B$2:$C$1001, 2, FALSE),"")</f>
        <v/>
      </c>
      <c r="AN3" s="226" t="str">
        <f>IFERROR(VLOOKUP(TEXT(AN4,"mm.yyyy"),HMG!$B$2:$C$1001, 2, FALSE),"")</f>
        <v/>
      </c>
      <c r="AO3" s="226" t="str">
        <f>IFERROR(VLOOKUP(TEXT(AO4,"mm.yyyy"),HMG!$B$2:$C$1001, 2, FALSE),"")</f>
        <v>zapis KS</v>
      </c>
      <c r="AP3" s="226" t="str">
        <f>IFERROR(VLOOKUP(TEXT(AP4,"mm.yyyy"),HMG!$B$2:$C$1001, 2, FALSE),"")</f>
        <v/>
      </c>
      <c r="AQ3" s="226" t="str">
        <f>IFERROR(VLOOKUP(TEXT(AQ4,"mm.yyyy"),HMG!$B$2:$C$1001, 2, FALSE),"")</f>
        <v/>
      </c>
      <c r="AR3" s="226" t="str">
        <f>IFERROR(VLOOKUP(TEXT(AR4,"mm.yyyy"),HMG!$B$2:$C$1001, 2, FALSE),"")</f>
        <v/>
      </c>
      <c r="AS3" s="226" t="str">
        <f>IFERROR(VLOOKUP(TEXT(AS4,"mm.yyyy"),HMG!$B$2:$C$1001, 2, FALSE),"")</f>
        <v/>
      </c>
      <c r="AT3" s="226" t="str">
        <f>IFERROR(VLOOKUP(TEXT(AT4,"mm.yyyy"),HMG!$B$2:$C$1001, 2, FALSE),"")</f>
        <v/>
      </c>
      <c r="AU3" s="226" t="str">
        <f>IFERROR(VLOOKUP(TEXT(AU4,"mm.yyyy"),HMG!$B$2:$C$1001, 2, FALSE),"")</f>
        <v/>
      </c>
      <c r="AV3" s="226" t="str">
        <f>IFERROR(VLOOKUP(TEXT(AV4,"mm.yyyy"),HMG!$B$2:$C$1001, 2, FALSE),"")</f>
        <v/>
      </c>
      <c r="AW3" s="226" t="str">
        <f>IFERROR(VLOOKUP(TEXT(AW4,"mm.yyyy"),HMG!$B$2:$C$1001, 2, FALSE),"")</f>
        <v/>
      </c>
      <c r="AX3" s="226" t="str">
        <f>IFERROR(VLOOKUP(TEXT(AX4,"mm.yyyy"),HMG!$B$2:$C$1001, 2, FALSE),"")</f>
        <v/>
      </c>
      <c r="AY3" s="226" t="str">
        <f>IFERROR(VLOOKUP(TEXT(AY4,"mm.yyyy"),HMG!$B$2:$C$1001, 2, FALSE),"")</f>
        <v/>
      </c>
      <c r="AZ3" s="226" t="str">
        <f>IFERROR(VLOOKUP(TEXT(AZ4,"mm.yyyy"),HMG!$B$2:$C$1001, 2, FALSE),"")</f>
        <v/>
      </c>
      <c r="BA3" s="226" t="str">
        <f>IFERROR(VLOOKUP(TEXT(BA4,"mm.yyyy"),HMG!$B$2:$C$1001, 2, FALSE),"")</f>
        <v>zapis KS</v>
      </c>
      <c r="BB3" s="226" t="str">
        <f>IFERROR(VLOOKUP(TEXT(BB4,"mm.yyyy"),HMG!$B$2:$C$1001, 2, FALSE),"")</f>
        <v/>
      </c>
      <c r="BC3" s="226" t="str">
        <f>IFERROR(VLOOKUP(TEXT(BC4,"mm.yyyy"),HMG!$B$2:$C$1001, 2, FALSE),"")</f>
        <v/>
      </c>
      <c r="BD3" s="226" t="str">
        <f>IFERROR(VLOOKUP(TEXT(BD4,"mm.yyyy"),HMG!$B$2:$C$1001, 2, FALSE),"")</f>
        <v/>
      </c>
      <c r="BE3" s="226" t="str">
        <f>IFERROR(VLOOKUP(TEXT(BE4,"mm.yyyy"),HMG!$B$2:$C$1001, 2, FALSE),"")</f>
        <v/>
      </c>
      <c r="BF3" s="226" t="str">
        <f>IFERROR(VLOOKUP(TEXT(BF4,"mm.yyyy"),HMG!$B$2:$C$1001, 2, FALSE),"")</f>
        <v/>
      </c>
      <c r="BG3" s="226" t="str">
        <f>IFERROR(VLOOKUP(TEXT(BG4,"mm.yyyy"),HMG!$B$2:$C$1001, 2, FALSE),"")</f>
        <v/>
      </c>
      <c r="BH3" s="226" t="str">
        <f>IFERROR(VLOOKUP(TEXT(BH4,"mm.yyyy"),HMG!$B$2:$C$1001, 2, FALSE),"")</f>
        <v/>
      </c>
      <c r="BI3" s="226" t="str">
        <f>IFERROR(VLOOKUP(TEXT(BI4,"mm.yyyy"),HMG!$B$2:$C$1001, 2, FALSE),"")</f>
        <v/>
      </c>
      <c r="BJ3" s="226" t="str">
        <f>IFERROR(VLOOKUP(TEXT(BJ4,"mm.yyyy"),HMG!$B$2:$C$1001, 2, FALSE),"")</f>
        <v/>
      </c>
      <c r="BK3" s="226" t="str">
        <f>IFERROR(VLOOKUP(TEXT(BK4,"mm.yyyy"),HMG!$B$2:$C$1001, 2, FALSE),"")</f>
        <v/>
      </c>
      <c r="BL3" s="226" t="str">
        <f>IFERROR(VLOOKUP(TEXT(BL4,"mm.yyyy"),HMG!$B$2:$C$1001, 2, FALSE),"")</f>
        <v/>
      </c>
      <c r="BM3" s="226" t="str">
        <f>IFERROR(VLOOKUP(TEXT(BM4,"mm.yyyy"),HMG!$B$2:$C$1001, 2, FALSE),"")</f>
        <v>zapis KS</v>
      </c>
      <c r="BN3" s="226" t="str">
        <f>IFERROR(VLOOKUP(TEXT(BN4,"mm.yyyy"),HMG!$B$2:$C$1001, 2, FALSE),"")</f>
        <v/>
      </c>
      <c r="BO3" s="226" t="str">
        <f>IFERROR(VLOOKUP(TEXT(BO4,"mm.yyyy"),HMG!$B$2:$C$1001, 2, FALSE),"")</f>
        <v/>
      </c>
      <c r="BP3" s="226" t="str">
        <f>IFERROR(VLOOKUP(TEXT(BP4,"mm.yyyy"),HMG!$B$2:$C$1001, 2, FALSE),"")</f>
        <v/>
      </c>
      <c r="BQ3" s="226" t="str">
        <f>IFERROR(VLOOKUP(TEXT(BQ4,"mm.yyyy"),HMG!$B$2:$C$1001, 2, FALSE),"")</f>
        <v/>
      </c>
      <c r="BR3" s="226" t="str">
        <f>IFERROR(VLOOKUP(TEXT(BR4,"mm.yyyy"),HMG!$B$2:$C$1001, 2, FALSE),"")</f>
        <v/>
      </c>
      <c r="BS3" s="226" t="str">
        <f>IFERROR(VLOOKUP(TEXT(BS4,"mm.yyyy"),HMG!$B$2:$C$1001, 2, FALSE),"")</f>
        <v/>
      </c>
      <c r="BT3" s="226" t="str">
        <f>IFERROR(VLOOKUP(TEXT(BT4,"mm.yyyy"),HMG!$B$2:$C$1001, 2, FALSE),"")</f>
        <v/>
      </c>
      <c r="BU3" s="226" t="str">
        <f>IFERROR(VLOOKUP(TEXT(BU4,"mm.yyyy"),HMG!$B$2:$C$1001, 2, FALSE),"")</f>
        <v/>
      </c>
      <c r="BV3" s="226" t="str">
        <f>IFERROR(VLOOKUP(TEXT(BV4,"mm.yyyy"),HMG!$B$2:$C$1001, 2, FALSE),"")</f>
        <v/>
      </c>
      <c r="BW3" s="226" t="str">
        <f>IFERROR(VLOOKUP(TEXT(BW4,"mm.yyyy"),HMG!$B$2:$C$1001, 2, FALSE),"")</f>
        <v/>
      </c>
      <c r="BX3" s="226" t="str">
        <f>IFERROR(VLOOKUP(TEXT(BX4,"mm.yyyy"),HMG!$B$2:$C$1001, 2, FALSE),"")</f>
        <v/>
      </c>
      <c r="BY3" s="588"/>
      <c r="BZ3" s="597"/>
      <c r="CA3" s="222"/>
      <c r="CB3" s="222" t="s">
        <v>202</v>
      </c>
      <c r="CC3" s="222" t="s">
        <v>203</v>
      </c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2"/>
      <c r="CV3" s="222"/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</row>
    <row r="4" spans="1:138">
      <c r="A4" s="505"/>
      <c r="B4" s="591"/>
      <c r="C4" s="592"/>
      <c r="D4" s="506"/>
      <c r="E4" s="227">
        <v>45292</v>
      </c>
      <c r="F4" s="227">
        <v>45323</v>
      </c>
      <c r="G4" s="227">
        <v>45352</v>
      </c>
      <c r="H4" s="227">
        <v>45383</v>
      </c>
      <c r="I4" s="227">
        <v>45413</v>
      </c>
      <c r="J4" s="227">
        <v>45444</v>
      </c>
      <c r="K4" s="227">
        <v>45474</v>
      </c>
      <c r="L4" s="227">
        <v>45505</v>
      </c>
      <c r="M4" s="227">
        <v>45536</v>
      </c>
      <c r="N4" s="227">
        <v>45566</v>
      </c>
      <c r="O4" s="364">
        <v>45597</v>
      </c>
      <c r="P4" s="227">
        <v>45627</v>
      </c>
      <c r="Q4" s="227">
        <v>45658</v>
      </c>
      <c r="R4" s="227">
        <v>45689</v>
      </c>
      <c r="S4" s="227">
        <v>45717</v>
      </c>
      <c r="T4" s="227">
        <v>45748</v>
      </c>
      <c r="U4" s="227">
        <v>45778</v>
      </c>
      <c r="V4" s="227">
        <v>45809</v>
      </c>
      <c r="W4" s="227">
        <v>45839</v>
      </c>
      <c r="X4" s="227">
        <v>45870</v>
      </c>
      <c r="Y4" s="227">
        <v>45901</v>
      </c>
      <c r="Z4" s="227">
        <v>45931</v>
      </c>
      <c r="AA4" s="227">
        <v>45962</v>
      </c>
      <c r="AB4" s="227">
        <v>45992</v>
      </c>
      <c r="AC4" s="227">
        <v>46023</v>
      </c>
      <c r="AD4" s="227">
        <v>46054</v>
      </c>
      <c r="AE4" s="227">
        <v>46082</v>
      </c>
      <c r="AF4" s="227">
        <v>46113</v>
      </c>
      <c r="AG4" s="227">
        <v>46143</v>
      </c>
      <c r="AH4" s="227">
        <v>46174</v>
      </c>
      <c r="AI4" s="227">
        <v>46204</v>
      </c>
      <c r="AJ4" s="227">
        <v>46235</v>
      </c>
      <c r="AK4" s="227">
        <v>46266</v>
      </c>
      <c r="AL4" s="227">
        <v>46296</v>
      </c>
      <c r="AM4" s="227">
        <v>46327</v>
      </c>
      <c r="AN4" s="227">
        <v>46357</v>
      </c>
      <c r="AO4" s="227">
        <v>46388</v>
      </c>
      <c r="AP4" s="227">
        <v>46419</v>
      </c>
      <c r="AQ4" s="227">
        <v>46447</v>
      </c>
      <c r="AR4" s="227">
        <v>46478</v>
      </c>
      <c r="AS4" s="227">
        <v>46508</v>
      </c>
      <c r="AT4" s="227">
        <v>46539</v>
      </c>
      <c r="AU4" s="227">
        <v>46569</v>
      </c>
      <c r="AV4" s="227">
        <v>46600</v>
      </c>
      <c r="AW4" s="227">
        <v>46631</v>
      </c>
      <c r="AX4" s="227">
        <v>46661</v>
      </c>
      <c r="AY4" s="227">
        <v>46692</v>
      </c>
      <c r="AZ4" s="227">
        <v>46722</v>
      </c>
      <c r="BA4" s="227">
        <v>46753</v>
      </c>
      <c r="BB4" s="227">
        <v>46784</v>
      </c>
      <c r="BC4" s="227">
        <v>46813</v>
      </c>
      <c r="BD4" s="227">
        <v>46844</v>
      </c>
      <c r="BE4" s="227">
        <v>46874</v>
      </c>
      <c r="BF4" s="227">
        <v>46905</v>
      </c>
      <c r="BG4" s="227">
        <v>46935</v>
      </c>
      <c r="BH4" s="227">
        <v>46966</v>
      </c>
      <c r="BI4" s="227">
        <v>46997</v>
      </c>
      <c r="BJ4" s="227">
        <v>47027</v>
      </c>
      <c r="BK4" s="227">
        <v>47058</v>
      </c>
      <c r="BL4" s="227">
        <v>47088</v>
      </c>
      <c r="BM4" s="227">
        <v>47119</v>
      </c>
      <c r="BN4" s="227">
        <v>47150</v>
      </c>
      <c r="BO4" s="227">
        <v>47178</v>
      </c>
      <c r="BP4" s="227">
        <v>47209</v>
      </c>
      <c r="BQ4" s="227">
        <v>47239</v>
      </c>
      <c r="BR4" s="227">
        <v>47270</v>
      </c>
      <c r="BS4" s="227">
        <v>47300</v>
      </c>
      <c r="BT4" s="227">
        <v>47331</v>
      </c>
      <c r="BU4" s="227">
        <v>47362</v>
      </c>
      <c r="BV4" s="227">
        <v>47392</v>
      </c>
      <c r="BW4" s="227">
        <v>47423</v>
      </c>
      <c r="BX4" s="227">
        <v>47453</v>
      </c>
      <c r="BY4" s="591"/>
      <c r="BZ4" s="592"/>
      <c r="CA4" s="222"/>
      <c r="CB4" s="222" t="s">
        <v>63</v>
      </c>
      <c r="CC4" s="222"/>
      <c r="CD4" s="222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2"/>
      <c r="CV4" s="222"/>
      <c r="CW4" s="222"/>
      <c r="CX4" s="222"/>
      <c r="CY4" s="222"/>
      <c r="CZ4" s="222"/>
      <c r="DA4" s="222"/>
      <c r="DB4" s="222"/>
      <c r="DC4" s="222"/>
      <c r="DD4" s="222"/>
      <c r="DE4" s="222"/>
      <c r="DF4" s="222"/>
      <c r="DG4" s="222"/>
      <c r="DH4" s="222"/>
      <c r="DI4" s="222"/>
      <c r="DJ4" s="222"/>
      <c r="DK4" s="222"/>
      <c r="DL4" s="222"/>
      <c r="DM4" s="222"/>
      <c r="DN4" s="222"/>
      <c r="DO4" s="222"/>
      <c r="DP4" s="222"/>
      <c r="DQ4" s="222"/>
      <c r="DR4" s="222"/>
      <c r="DS4" s="222"/>
      <c r="DT4" s="222"/>
      <c r="DU4" s="222"/>
      <c r="DV4" s="222"/>
      <c r="DW4" s="222"/>
      <c r="DX4" s="222"/>
      <c r="DY4" s="222"/>
      <c r="DZ4" s="222"/>
      <c r="EA4" s="222"/>
      <c r="EB4" s="222"/>
      <c r="EC4" s="222"/>
      <c r="ED4" s="222"/>
      <c r="EE4" s="222"/>
      <c r="EF4" s="222"/>
      <c r="EG4" s="222"/>
      <c r="EH4" s="222"/>
    </row>
    <row r="5" spans="1:138">
      <c r="A5" s="505"/>
      <c r="B5" s="568" t="s">
        <v>204</v>
      </c>
      <c r="C5" s="228" t="s">
        <v>205</v>
      </c>
      <c r="D5" s="229" t="s">
        <v>206</v>
      </c>
      <c r="E5" s="230"/>
      <c r="F5" s="231"/>
      <c r="G5" s="231"/>
      <c r="H5" s="231">
        <f>16365002</f>
        <v>16365002</v>
      </c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2"/>
      <c r="BY5" s="233">
        <f t="shared" ref="BY5:BY15" si="0">SUM(E5:BX5)</f>
        <v>16365002</v>
      </c>
      <c r="BZ5" s="561">
        <f>SUM(BY5:BY8)</f>
        <v>34583335</v>
      </c>
      <c r="CA5" s="222"/>
      <c r="CB5" s="233">
        <f t="shared" ref="CB5:CB15" si="1">SUM(H5:CA5)</f>
        <v>67313339</v>
      </c>
      <c r="CC5" s="561">
        <f>SUM(CB5:CB8)</f>
        <v>103750005</v>
      </c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</row>
    <row r="6" spans="1:138">
      <c r="A6" s="505"/>
      <c r="B6" s="600"/>
      <c r="C6" s="228" t="s">
        <v>207</v>
      </c>
      <c r="D6" s="229" t="s">
        <v>206</v>
      </c>
      <c r="E6" s="231"/>
      <c r="F6" s="231"/>
      <c r="G6" s="231"/>
      <c r="H6" s="231"/>
      <c r="I6" s="231"/>
      <c r="J6" s="231">
        <f>5000000+3333333</f>
        <v>8333333</v>
      </c>
      <c r="K6" s="231">
        <v>885000</v>
      </c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28"/>
      <c r="BY6" s="233">
        <f t="shared" si="0"/>
        <v>9218333</v>
      </c>
      <c r="BZ6" s="597"/>
      <c r="CA6" s="222"/>
      <c r="CB6" s="233">
        <f t="shared" si="1"/>
        <v>18436666</v>
      </c>
      <c r="CC6" s="597"/>
      <c r="CD6" s="222"/>
      <c r="CE6" s="222"/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</row>
    <row r="7" spans="1:138">
      <c r="A7" s="505"/>
      <c r="B7" s="600"/>
      <c r="C7" s="234" t="s">
        <v>208</v>
      </c>
      <c r="D7" s="229" t="s">
        <v>206</v>
      </c>
      <c r="E7" s="231"/>
      <c r="F7" s="231"/>
      <c r="G7" s="231"/>
      <c r="H7" s="231"/>
      <c r="I7" s="231"/>
      <c r="J7" s="231"/>
      <c r="K7" s="231"/>
      <c r="L7" s="231">
        <f>2000000+5870667+1129333</f>
        <v>9000000</v>
      </c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28"/>
      <c r="BY7" s="233">
        <f t="shared" si="0"/>
        <v>9000000</v>
      </c>
      <c r="BZ7" s="597"/>
      <c r="CA7" s="222"/>
      <c r="CB7" s="233">
        <f t="shared" si="1"/>
        <v>18000000</v>
      </c>
      <c r="CC7" s="597"/>
      <c r="CD7" s="222"/>
      <c r="CE7" s="222"/>
      <c r="CF7" s="238">
        <f>1100000/9000000</f>
        <v>0.12222222222222222</v>
      </c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</row>
    <row r="8" spans="1:138">
      <c r="A8" s="505"/>
      <c r="B8" s="601"/>
      <c r="C8" s="234" t="s">
        <v>209</v>
      </c>
      <c r="D8" s="235" t="s">
        <v>206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4"/>
      <c r="BY8" s="237">
        <f t="shared" si="0"/>
        <v>0</v>
      </c>
      <c r="BZ8" s="592"/>
      <c r="CA8" s="222"/>
      <c r="CB8" s="237">
        <f t="shared" si="1"/>
        <v>0</v>
      </c>
      <c r="CC8" s="592"/>
      <c r="CD8" s="222"/>
      <c r="CE8" s="222"/>
      <c r="CF8" s="222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</row>
    <row r="9" spans="1:138">
      <c r="A9" s="505"/>
      <c r="B9" s="568" t="s">
        <v>210</v>
      </c>
      <c r="C9" s="232" t="s">
        <v>211</v>
      </c>
      <c r="D9" s="229" t="s">
        <v>206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2"/>
      <c r="BY9" s="233">
        <f t="shared" si="0"/>
        <v>0</v>
      </c>
      <c r="BZ9" s="561">
        <f>SUM(BY9:BY11)</f>
        <v>45452749</v>
      </c>
      <c r="CA9" s="222"/>
      <c r="CB9" s="233">
        <f t="shared" si="1"/>
        <v>45452749</v>
      </c>
      <c r="CC9" s="561">
        <f>SUM(CB9:CB11)</f>
        <v>136358247</v>
      </c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</row>
    <row r="10" spans="1:138">
      <c r="A10" s="505"/>
      <c r="B10" s="600"/>
      <c r="C10" s="232" t="s">
        <v>326</v>
      </c>
      <c r="D10" s="229" t="s">
        <v>206</v>
      </c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28"/>
      <c r="BY10" s="233">
        <f t="shared" si="0"/>
        <v>0</v>
      </c>
      <c r="BZ10" s="597"/>
      <c r="CA10" s="222"/>
      <c r="CB10" s="233">
        <f t="shared" si="1"/>
        <v>0</v>
      </c>
      <c r="CC10" s="597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</row>
    <row r="11" spans="1:138">
      <c r="A11" s="505"/>
      <c r="B11" s="599"/>
      <c r="C11" s="234" t="s">
        <v>213</v>
      </c>
      <c r="D11" s="235" t="s">
        <v>206</v>
      </c>
      <c r="E11" s="236"/>
      <c r="F11" s="236"/>
      <c r="G11" s="236"/>
      <c r="H11" s="236"/>
      <c r="I11" s="236"/>
      <c r="J11" s="236"/>
      <c r="K11" s="236"/>
      <c r="L11" s="236">
        <v>5500000</v>
      </c>
      <c r="M11" s="236">
        <f>22000000+165083</f>
        <v>22165083</v>
      </c>
      <c r="N11" s="236">
        <f>8700000+215833</f>
        <v>8915833</v>
      </c>
      <c r="O11" s="236">
        <f>8600000+271833</f>
        <v>8871833</v>
      </c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9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4"/>
      <c r="BY11" s="237">
        <f t="shared" si="0"/>
        <v>45452749</v>
      </c>
      <c r="BZ11" s="602"/>
      <c r="CA11" s="241"/>
      <c r="CB11" s="237">
        <f t="shared" si="1"/>
        <v>90905498</v>
      </c>
      <c r="CC11" s="602"/>
      <c r="CD11" s="241"/>
      <c r="CE11" s="241"/>
      <c r="CF11" s="241"/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</row>
    <row r="12" spans="1:138">
      <c r="A12" s="505"/>
      <c r="B12" s="568" t="s">
        <v>214</v>
      </c>
      <c r="C12" s="228" t="s">
        <v>215</v>
      </c>
      <c r="D12" s="229" t="s">
        <v>206</v>
      </c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>
        <f>SUM(Rentroll!$M$2:$M$4)</f>
        <v>613130.50199999986</v>
      </c>
      <c r="R12" s="230">
        <f>SUM(Rentroll!$M$2:$M$4)</f>
        <v>613130.50199999986</v>
      </c>
      <c r="S12" s="230">
        <f>SUM(Rentroll!$M$2:$M$4)</f>
        <v>613130.50199999986</v>
      </c>
      <c r="T12" s="230">
        <f>SUM(Rentroll!$M$2:$M$4)</f>
        <v>613130.50199999986</v>
      </c>
      <c r="U12" s="230">
        <f>SUM(Rentroll!$M$2:$M$4)</f>
        <v>613130.50199999986</v>
      </c>
      <c r="V12" s="230">
        <f>SUM(Rentroll!$M$2:$M$4)</f>
        <v>613130.50199999986</v>
      </c>
      <c r="W12" s="230">
        <f>SUM(Rentroll!$M$2:$M$4)</f>
        <v>613130.50199999986</v>
      </c>
      <c r="X12" s="230">
        <f>SUM(Rentroll!$M$2:$M$4)</f>
        <v>613130.50199999986</v>
      </c>
      <c r="Y12" s="230">
        <f>SUM(Rentroll!$M$2:$M$4)</f>
        <v>613130.50199999986</v>
      </c>
      <c r="Z12" s="230">
        <f>SUM(Rentroll!$M$2:$M$4)</f>
        <v>613130.50199999986</v>
      </c>
      <c r="AA12" s="230">
        <f>SUM(Rentroll!$M$2:$M$4)</f>
        <v>613130.50199999986</v>
      </c>
      <c r="AB12" s="230">
        <f>SUM(Rentroll!$M$2:$M$4)</f>
        <v>613130.50199999986</v>
      </c>
      <c r="AC12" s="230">
        <f>SUM(Rentroll!$M$2:$M$4)</f>
        <v>613130.50199999986</v>
      </c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2"/>
      <c r="BY12" s="233">
        <f t="shared" si="0"/>
        <v>7970696.5260000005</v>
      </c>
      <c r="BZ12" s="561">
        <f>SUM(BY12:BY15)</f>
        <v>153763155.86480984</v>
      </c>
      <c r="CA12" s="222"/>
      <c r="CB12" s="233">
        <f t="shared" si="1"/>
        <v>169704548.91680986</v>
      </c>
      <c r="CC12" s="561">
        <f>SUM(CB12:CB15)</f>
        <v>461289467.59442955</v>
      </c>
      <c r="CD12" s="222"/>
      <c r="CE12" s="238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</row>
    <row r="13" spans="1:138">
      <c r="A13" s="505"/>
      <c r="B13" s="600"/>
      <c r="C13" s="228" t="s">
        <v>216</v>
      </c>
      <c r="D13" s="229" t="s">
        <v>206</v>
      </c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>
        <f>Businessplan_prodej!$J$25</f>
        <v>138882598.15999994</v>
      </c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2"/>
      <c r="BY13" s="233">
        <f t="shared" si="0"/>
        <v>138882598.15999994</v>
      </c>
      <c r="BZ13" s="597"/>
      <c r="CA13" s="222"/>
      <c r="CB13" s="233">
        <f t="shared" si="1"/>
        <v>277765196.31999987</v>
      </c>
      <c r="CC13" s="597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</row>
    <row r="14" spans="1:138">
      <c r="A14" s="505"/>
      <c r="B14" s="600"/>
      <c r="C14" s="228" t="s">
        <v>7</v>
      </c>
      <c r="D14" s="229" t="s">
        <v>217</v>
      </c>
      <c r="E14" s="231"/>
      <c r="F14" s="231"/>
      <c r="G14" s="231"/>
      <c r="H14" s="231"/>
      <c r="I14" s="231">
        <v>6227</v>
      </c>
      <c r="J14" s="231">
        <v>14588</v>
      </c>
      <c r="K14" s="231">
        <f t="shared" ref="K14:O14" si="2">-(SUM(I23,I37)-SUM(I23,I37)/1.21)</f>
        <v>135544.58677685948</v>
      </c>
      <c r="L14" s="231">
        <f t="shared" si="2"/>
        <v>175965.38851239672</v>
      </c>
      <c r="M14" s="231">
        <f t="shared" si="2"/>
        <v>282844.25509917364</v>
      </c>
      <c r="N14" s="231">
        <f t="shared" si="2"/>
        <v>59788.500082644634</v>
      </c>
      <c r="O14" s="231">
        <f t="shared" si="2"/>
        <v>59788.500082644634</v>
      </c>
      <c r="P14" s="231">
        <f>-O15+7000000-(SUM(N23,N37)-SUM(N23,N37)/1.21)</f>
        <v>-1410211.4999173554</v>
      </c>
      <c r="Q14" s="231">
        <f>-(SUM(O23,O37)-SUM(O23,O37)/1.21)</f>
        <v>110832.96908264456</v>
      </c>
      <c r="R14" s="231">
        <f>-(SUM(Rentroll!$H$2:$H$4)+Rentroll!$K$2)-(SUM(P23,P37)-SUM(P23,P37)/1.21)</f>
        <v>-42342.303239669447</v>
      </c>
      <c r="S14" s="231">
        <f>-(SUM(Rentroll!$H$2:$H$4)+Rentroll!$K$2)-(SUM(Q23,Q37,Q63)-SUM(Q23,Q37,Q63)/1.21)</f>
        <v>-84814.307917355371</v>
      </c>
      <c r="T14" s="231">
        <f>-(SUM(Rentroll!$H$2:$H$4)+Rentroll!$K$2)-(SUM(R23,R37,R63)-SUM(R23,R37,R63)/1.21)</f>
        <v>-84814.307917355371</v>
      </c>
      <c r="U14" s="231">
        <f>-(SUM(Rentroll!$H$2:$H$4)+Rentroll!$K$2)-(SUM(S23,S37,S63)-SUM(S23,S37,S63)/1.21)</f>
        <v>-84814.307917355371</v>
      </c>
      <c r="V14" s="231">
        <f>-(SUM(Rentroll!$H$2:$H$4)+Rentroll!$K$2)-(SUM(T23,T37,T63)-SUM(T23,T37,T63)/1.21)</f>
        <v>-84814.307917355371</v>
      </c>
      <c r="W14" s="231">
        <f>-(SUM(Rentroll!$H$2:$H$4)+Rentroll!$K$2)-(SUM(U23,U37,U63)-SUM(U23,U37,U63)/1.21)</f>
        <v>-87700.998000000007</v>
      </c>
      <c r="X14" s="231">
        <f>-(SUM(Rentroll!$H$2:$H$4)+Rentroll!$K$2)-(SUM(V23,V37,V63)-SUM(V23,V37,V63)/1.21)</f>
        <v>-87700.998000000007</v>
      </c>
      <c r="Y14" s="231">
        <f>-(SUM(Rentroll!$H$2:$H$4)+Rentroll!$K$2)-(SUM(W23,W37,W63)-SUM(W23,W37,W63)/1.21)</f>
        <v>-87700.998000000007</v>
      </c>
      <c r="Z14" s="231">
        <f>-(SUM(Rentroll!$H$2:$H$4)+Rentroll!$K$2)-(SUM(X23,X37,X63)-SUM(X23,X37,X63)/1.21)</f>
        <v>-87700.998000000007</v>
      </c>
      <c r="AA14" s="231">
        <f>-(SUM(Rentroll!$H$2:$H$4)+Rentroll!$K$2)-(SUM(Y23,Y37,Y63)-SUM(Y23,Y37,Y63)/1.21)</f>
        <v>-87700.998000000007</v>
      </c>
      <c r="AB14" s="231">
        <f>-(SUM(Rentroll!$H$2:$H$4)+Rentroll!$K$2)-(SUM(Z23,Z37,Z63)-SUM(Z23,Z37,Z63)/1.21)</f>
        <v>-87700.998000000007</v>
      </c>
      <c r="AC14" s="231">
        <f>-(SUM(Rentroll!$H$2:$H$4)+Rentroll!$K$2)-(SUM(AA23,AA37,AA63)-SUM(AA23,AA37,AA63)/1.21)</f>
        <v>-87700.998000000007</v>
      </c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28"/>
      <c r="BY14" s="233">
        <f t="shared" si="0"/>
        <v>-1560138.821190082</v>
      </c>
      <c r="BZ14" s="597"/>
      <c r="CA14" s="222"/>
      <c r="CB14" s="233">
        <f t="shared" si="1"/>
        <v>-3120277.642380164</v>
      </c>
      <c r="CC14" s="597"/>
      <c r="CD14" s="222"/>
      <c r="CE14" s="222">
        <f>51450000</f>
        <v>51450000</v>
      </c>
      <c r="CF14" s="222">
        <f>BY11/24.5</f>
        <v>1855214.2448979593</v>
      </c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</row>
    <row r="15" spans="1:138">
      <c r="A15" s="505"/>
      <c r="B15" s="599"/>
      <c r="C15" s="234" t="s">
        <v>218</v>
      </c>
      <c r="D15" s="235" t="s">
        <v>217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>
        <f>7000000*1.21</f>
        <v>8470000</v>
      </c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4"/>
      <c r="BY15" s="237">
        <f t="shared" si="0"/>
        <v>8470000</v>
      </c>
      <c r="BZ15" s="602"/>
      <c r="CA15" s="222"/>
      <c r="CB15" s="237">
        <f t="shared" si="1"/>
        <v>16940000</v>
      </c>
      <c r="CC15" s="602"/>
      <c r="CD15" s="222"/>
      <c r="CE15" s="222">
        <f>CE14/24.5</f>
        <v>2100000</v>
      </c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</row>
    <row r="16" spans="1:138" ht="15.95">
      <c r="A16" s="505"/>
      <c r="B16" s="569" t="s">
        <v>219</v>
      </c>
      <c r="C16" s="592"/>
      <c r="D16" s="242"/>
      <c r="E16" s="243">
        <f t="shared" ref="E16:BX16" si="3">SUM(E5:E15)</f>
        <v>0</v>
      </c>
      <c r="F16" s="243">
        <f t="shared" si="3"/>
        <v>0</v>
      </c>
      <c r="G16" s="243">
        <f t="shared" si="3"/>
        <v>0</v>
      </c>
      <c r="H16" s="243">
        <f t="shared" si="3"/>
        <v>16365002</v>
      </c>
      <c r="I16" s="243">
        <f t="shared" si="3"/>
        <v>6227</v>
      </c>
      <c r="J16" s="243">
        <f t="shared" si="3"/>
        <v>8347921</v>
      </c>
      <c r="K16" s="243">
        <f t="shared" si="3"/>
        <v>1020544.5867768595</v>
      </c>
      <c r="L16" s="243">
        <f t="shared" si="3"/>
        <v>14675965.388512397</v>
      </c>
      <c r="M16" s="243">
        <f t="shared" si="3"/>
        <v>22447927.255099174</v>
      </c>
      <c r="N16" s="243">
        <f t="shared" si="3"/>
        <v>8975621.5000826456</v>
      </c>
      <c r="O16" s="243">
        <f t="shared" si="3"/>
        <v>17401621.500082646</v>
      </c>
      <c r="P16" s="243">
        <f t="shared" si="3"/>
        <v>-1410211.4999173554</v>
      </c>
      <c r="Q16" s="243">
        <f t="shared" si="3"/>
        <v>723963.47108264442</v>
      </c>
      <c r="R16" s="243">
        <f t="shared" si="3"/>
        <v>570788.19876033044</v>
      </c>
      <c r="S16" s="243">
        <f t="shared" si="3"/>
        <v>528316.19408264454</v>
      </c>
      <c r="T16" s="243">
        <f t="shared" si="3"/>
        <v>528316.19408264454</v>
      </c>
      <c r="U16" s="243">
        <f t="shared" si="3"/>
        <v>528316.19408264454</v>
      </c>
      <c r="V16" s="243">
        <f t="shared" si="3"/>
        <v>528316.19408264454</v>
      </c>
      <c r="W16" s="243">
        <f t="shared" si="3"/>
        <v>525429.50399999984</v>
      </c>
      <c r="X16" s="243">
        <f t="shared" si="3"/>
        <v>525429.50399999984</v>
      </c>
      <c r="Y16" s="243">
        <f t="shared" si="3"/>
        <v>525429.50399999984</v>
      </c>
      <c r="Z16" s="243">
        <f t="shared" si="3"/>
        <v>525429.50399999984</v>
      </c>
      <c r="AA16" s="243">
        <f t="shared" si="3"/>
        <v>525429.50399999984</v>
      </c>
      <c r="AB16" s="243">
        <f t="shared" si="3"/>
        <v>525429.50399999984</v>
      </c>
      <c r="AC16" s="243">
        <f t="shared" si="3"/>
        <v>139408027.66399994</v>
      </c>
      <c r="AD16" s="243">
        <f t="shared" si="3"/>
        <v>0</v>
      </c>
      <c r="AE16" s="243">
        <f t="shared" si="3"/>
        <v>0</v>
      </c>
      <c r="AF16" s="243">
        <f t="shared" si="3"/>
        <v>0</v>
      </c>
      <c r="AG16" s="243">
        <f t="shared" si="3"/>
        <v>0</v>
      </c>
      <c r="AH16" s="243">
        <f t="shared" si="3"/>
        <v>0</v>
      </c>
      <c r="AI16" s="243">
        <f t="shared" si="3"/>
        <v>0</v>
      </c>
      <c r="AJ16" s="243">
        <f t="shared" si="3"/>
        <v>0</v>
      </c>
      <c r="AK16" s="243">
        <f t="shared" si="3"/>
        <v>0</v>
      </c>
      <c r="AL16" s="243">
        <f t="shared" si="3"/>
        <v>0</v>
      </c>
      <c r="AM16" s="243">
        <f t="shared" si="3"/>
        <v>0</v>
      </c>
      <c r="AN16" s="243">
        <f t="shared" si="3"/>
        <v>0</v>
      </c>
      <c r="AO16" s="243">
        <f t="shared" si="3"/>
        <v>0</v>
      </c>
      <c r="AP16" s="243">
        <f t="shared" si="3"/>
        <v>0</v>
      </c>
      <c r="AQ16" s="243">
        <f t="shared" si="3"/>
        <v>0</v>
      </c>
      <c r="AR16" s="243">
        <f t="shared" si="3"/>
        <v>0</v>
      </c>
      <c r="AS16" s="243">
        <f t="shared" si="3"/>
        <v>0</v>
      </c>
      <c r="AT16" s="243">
        <f t="shared" si="3"/>
        <v>0</v>
      </c>
      <c r="AU16" s="243">
        <f t="shared" si="3"/>
        <v>0</v>
      </c>
      <c r="AV16" s="243">
        <f t="shared" si="3"/>
        <v>0</v>
      </c>
      <c r="AW16" s="243">
        <f t="shared" si="3"/>
        <v>0</v>
      </c>
      <c r="AX16" s="243">
        <f t="shared" si="3"/>
        <v>0</v>
      </c>
      <c r="AY16" s="243">
        <f t="shared" si="3"/>
        <v>0</v>
      </c>
      <c r="AZ16" s="243">
        <f t="shared" si="3"/>
        <v>0</v>
      </c>
      <c r="BA16" s="243">
        <f t="shared" si="3"/>
        <v>0</v>
      </c>
      <c r="BB16" s="243">
        <f t="shared" si="3"/>
        <v>0</v>
      </c>
      <c r="BC16" s="243">
        <f t="shared" si="3"/>
        <v>0</v>
      </c>
      <c r="BD16" s="243">
        <f t="shared" si="3"/>
        <v>0</v>
      </c>
      <c r="BE16" s="243">
        <f t="shared" si="3"/>
        <v>0</v>
      </c>
      <c r="BF16" s="243">
        <f t="shared" si="3"/>
        <v>0</v>
      </c>
      <c r="BG16" s="243">
        <f t="shared" si="3"/>
        <v>0</v>
      </c>
      <c r="BH16" s="243">
        <f t="shared" si="3"/>
        <v>0</v>
      </c>
      <c r="BI16" s="243">
        <f t="shared" si="3"/>
        <v>0</v>
      </c>
      <c r="BJ16" s="243">
        <f t="shared" si="3"/>
        <v>0</v>
      </c>
      <c r="BK16" s="243">
        <f t="shared" si="3"/>
        <v>0</v>
      </c>
      <c r="BL16" s="243">
        <f t="shared" si="3"/>
        <v>0</v>
      </c>
      <c r="BM16" s="243">
        <f t="shared" si="3"/>
        <v>0</v>
      </c>
      <c r="BN16" s="243">
        <f t="shared" si="3"/>
        <v>0</v>
      </c>
      <c r="BO16" s="243">
        <f t="shared" si="3"/>
        <v>0</v>
      </c>
      <c r="BP16" s="243">
        <f t="shared" si="3"/>
        <v>0</v>
      </c>
      <c r="BQ16" s="243">
        <f t="shared" si="3"/>
        <v>0</v>
      </c>
      <c r="BR16" s="243">
        <f t="shared" si="3"/>
        <v>0</v>
      </c>
      <c r="BS16" s="243">
        <f t="shared" si="3"/>
        <v>0</v>
      </c>
      <c r="BT16" s="243">
        <f t="shared" si="3"/>
        <v>0</v>
      </c>
      <c r="BU16" s="243">
        <f t="shared" si="3"/>
        <v>0</v>
      </c>
      <c r="BV16" s="243">
        <f t="shared" si="3"/>
        <v>0</v>
      </c>
      <c r="BW16" s="243">
        <f t="shared" si="3"/>
        <v>0</v>
      </c>
      <c r="BX16" s="243">
        <f t="shared" si="3"/>
        <v>0</v>
      </c>
      <c r="BY16" s="563">
        <f>BZ5+BZ9+BZ12</f>
        <v>233799239.86480984</v>
      </c>
      <c r="BZ16" s="592"/>
      <c r="CA16" s="222"/>
      <c r="CB16" s="563">
        <f>CC5+CC9+CC12</f>
        <v>701397719.59442949</v>
      </c>
      <c r="CC16" s="59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</row>
    <row r="17" spans="1:138" ht="15.95" collapsed="1">
      <c r="A17" s="505"/>
      <c r="B17" s="570" t="s">
        <v>220</v>
      </c>
      <c r="C17" s="244" t="s">
        <v>221</v>
      </c>
      <c r="D17" s="245"/>
      <c r="E17" s="246">
        <f t="shared" ref="E17:BY17" si="4">SUM(E18:E22)</f>
        <v>0</v>
      </c>
      <c r="F17" s="246">
        <f t="shared" si="4"/>
        <v>0</v>
      </c>
      <c r="G17" s="246">
        <f t="shared" si="4"/>
        <v>0</v>
      </c>
      <c r="H17" s="246">
        <f t="shared" si="4"/>
        <v>-10620712</v>
      </c>
      <c r="I17" s="246">
        <f t="shared" si="4"/>
        <v>0</v>
      </c>
      <c r="J17" s="246">
        <f t="shared" si="4"/>
        <v>-808333</v>
      </c>
      <c r="K17" s="246">
        <f t="shared" si="4"/>
        <v>0</v>
      </c>
      <c r="L17" s="246">
        <f t="shared" si="4"/>
        <v>0</v>
      </c>
      <c r="M17" s="246">
        <f t="shared" si="4"/>
        <v>0</v>
      </c>
      <c r="N17" s="246">
        <f t="shared" si="4"/>
        <v>0</v>
      </c>
      <c r="O17" s="246">
        <f t="shared" si="4"/>
        <v>0</v>
      </c>
      <c r="P17" s="246">
        <f t="shared" si="4"/>
        <v>0</v>
      </c>
      <c r="Q17" s="246">
        <f t="shared" si="4"/>
        <v>0</v>
      </c>
      <c r="R17" s="246">
        <f t="shared" si="4"/>
        <v>0</v>
      </c>
      <c r="S17" s="246">
        <f t="shared" si="4"/>
        <v>0</v>
      </c>
      <c r="T17" s="246">
        <f t="shared" si="4"/>
        <v>0</v>
      </c>
      <c r="U17" s="246">
        <f t="shared" si="4"/>
        <v>0</v>
      </c>
      <c r="V17" s="246">
        <f t="shared" si="4"/>
        <v>0</v>
      </c>
      <c r="W17" s="246">
        <f t="shared" si="4"/>
        <v>0</v>
      </c>
      <c r="X17" s="246">
        <f t="shared" si="4"/>
        <v>0</v>
      </c>
      <c r="Y17" s="246">
        <f t="shared" si="4"/>
        <v>0</v>
      </c>
      <c r="Z17" s="246">
        <f t="shared" si="4"/>
        <v>0</v>
      </c>
      <c r="AA17" s="246">
        <f t="shared" si="4"/>
        <v>0</v>
      </c>
      <c r="AB17" s="246">
        <f t="shared" si="4"/>
        <v>0</v>
      </c>
      <c r="AC17" s="246">
        <f t="shared" si="4"/>
        <v>0</v>
      </c>
      <c r="AD17" s="246">
        <f t="shared" si="4"/>
        <v>0</v>
      </c>
      <c r="AE17" s="246">
        <f t="shared" si="4"/>
        <v>0</v>
      </c>
      <c r="AF17" s="246">
        <f t="shared" si="4"/>
        <v>0</v>
      </c>
      <c r="AG17" s="246">
        <f t="shared" si="4"/>
        <v>0</v>
      </c>
      <c r="AH17" s="246">
        <f t="shared" si="4"/>
        <v>0</v>
      </c>
      <c r="AI17" s="246">
        <f t="shared" si="4"/>
        <v>0</v>
      </c>
      <c r="AJ17" s="246">
        <f t="shared" si="4"/>
        <v>0</v>
      </c>
      <c r="AK17" s="246">
        <f t="shared" si="4"/>
        <v>0</v>
      </c>
      <c r="AL17" s="246">
        <f t="shared" si="4"/>
        <v>0</v>
      </c>
      <c r="AM17" s="246">
        <f t="shared" si="4"/>
        <v>0</v>
      </c>
      <c r="AN17" s="246">
        <f t="shared" si="4"/>
        <v>0</v>
      </c>
      <c r="AO17" s="246">
        <f t="shared" si="4"/>
        <v>0</v>
      </c>
      <c r="AP17" s="246">
        <f t="shared" si="4"/>
        <v>0</v>
      </c>
      <c r="AQ17" s="246">
        <f t="shared" si="4"/>
        <v>0</v>
      </c>
      <c r="AR17" s="246">
        <f t="shared" si="4"/>
        <v>0</v>
      </c>
      <c r="AS17" s="246">
        <f t="shared" si="4"/>
        <v>0</v>
      </c>
      <c r="AT17" s="246">
        <f t="shared" si="4"/>
        <v>0</v>
      </c>
      <c r="AU17" s="246">
        <f t="shared" si="4"/>
        <v>0</v>
      </c>
      <c r="AV17" s="246">
        <f t="shared" si="4"/>
        <v>0</v>
      </c>
      <c r="AW17" s="246">
        <f t="shared" si="4"/>
        <v>0</v>
      </c>
      <c r="AX17" s="246">
        <f t="shared" si="4"/>
        <v>0</v>
      </c>
      <c r="AY17" s="246">
        <f t="shared" si="4"/>
        <v>0</v>
      </c>
      <c r="AZ17" s="246">
        <f t="shared" si="4"/>
        <v>0</v>
      </c>
      <c r="BA17" s="246">
        <f t="shared" si="4"/>
        <v>0</v>
      </c>
      <c r="BB17" s="246">
        <f t="shared" si="4"/>
        <v>0</v>
      </c>
      <c r="BC17" s="246">
        <f t="shared" si="4"/>
        <v>0</v>
      </c>
      <c r="BD17" s="246">
        <f t="shared" si="4"/>
        <v>0</v>
      </c>
      <c r="BE17" s="246">
        <f t="shared" si="4"/>
        <v>0</v>
      </c>
      <c r="BF17" s="246">
        <f t="shared" si="4"/>
        <v>0</v>
      </c>
      <c r="BG17" s="246">
        <f t="shared" si="4"/>
        <v>0</v>
      </c>
      <c r="BH17" s="246">
        <f t="shared" si="4"/>
        <v>0</v>
      </c>
      <c r="BI17" s="246">
        <f t="shared" si="4"/>
        <v>0</v>
      </c>
      <c r="BJ17" s="246">
        <f t="shared" si="4"/>
        <v>0</v>
      </c>
      <c r="BK17" s="246">
        <f t="shared" si="4"/>
        <v>0</v>
      </c>
      <c r="BL17" s="246">
        <f t="shared" si="4"/>
        <v>0</v>
      </c>
      <c r="BM17" s="246">
        <f t="shared" si="4"/>
        <v>0</v>
      </c>
      <c r="BN17" s="246">
        <f t="shared" si="4"/>
        <v>0</v>
      </c>
      <c r="BO17" s="246">
        <f t="shared" si="4"/>
        <v>0</v>
      </c>
      <c r="BP17" s="246">
        <f t="shared" si="4"/>
        <v>0</v>
      </c>
      <c r="BQ17" s="246">
        <f t="shared" si="4"/>
        <v>0</v>
      </c>
      <c r="BR17" s="246">
        <f t="shared" si="4"/>
        <v>0</v>
      </c>
      <c r="BS17" s="246">
        <f t="shared" si="4"/>
        <v>0</v>
      </c>
      <c r="BT17" s="246">
        <f t="shared" si="4"/>
        <v>0</v>
      </c>
      <c r="BU17" s="246">
        <f t="shared" si="4"/>
        <v>0</v>
      </c>
      <c r="BV17" s="246">
        <f t="shared" si="4"/>
        <v>0</v>
      </c>
      <c r="BW17" s="246">
        <f t="shared" si="4"/>
        <v>0</v>
      </c>
      <c r="BX17" s="246">
        <f t="shared" si="4"/>
        <v>0</v>
      </c>
      <c r="BY17" s="247">
        <f t="shared" si="4"/>
        <v>-11429045</v>
      </c>
      <c r="BZ17" s="562">
        <f>BY17+BY23+BY26+BY34+BY37+BY49+BY55+BY63+BY87</f>
        <v>-85084010.00758332</v>
      </c>
      <c r="CA17" s="222"/>
      <c r="CB17" s="248"/>
      <c r="CC17" s="56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</row>
    <row r="18" spans="1:138" ht="15.95" hidden="1" outlineLevel="1">
      <c r="A18" s="505"/>
      <c r="B18" s="600"/>
      <c r="C18" s="249" t="s">
        <v>222</v>
      </c>
      <c r="D18" s="250" t="s">
        <v>223</v>
      </c>
      <c r="E18" s="251"/>
      <c r="F18" s="251"/>
      <c r="G18" s="251"/>
      <c r="H18" s="252">
        <f>-8458812-2161900</f>
        <v>-10620712</v>
      </c>
      <c r="I18" s="252"/>
      <c r="J18" s="252">
        <f>-657296-151037</f>
        <v>-808333</v>
      </c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3">
        <f t="shared" ref="BY18:BY22" si="5">SUM(E18:BX18)</f>
        <v>-11429045</v>
      </c>
      <c r="BZ18" s="597"/>
      <c r="CA18" s="222"/>
      <c r="CB18" s="248"/>
      <c r="CC18" s="597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</row>
    <row r="19" spans="1:138" ht="15.95" hidden="1" outlineLevel="1">
      <c r="A19" s="505"/>
      <c r="B19" s="600"/>
      <c r="C19" s="249" t="s">
        <v>224</v>
      </c>
      <c r="D19" s="250" t="s">
        <v>223</v>
      </c>
      <c r="E19" s="251"/>
      <c r="F19" s="251"/>
      <c r="G19" s="251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3">
        <f t="shared" si="5"/>
        <v>0</v>
      </c>
      <c r="BZ19" s="597"/>
      <c r="CA19" s="222"/>
      <c r="CB19" s="248"/>
      <c r="CC19" s="597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</row>
    <row r="20" spans="1:138" ht="15.95" hidden="1" outlineLevel="1">
      <c r="A20" s="505"/>
      <c r="B20" s="600"/>
      <c r="C20" s="249" t="s">
        <v>225</v>
      </c>
      <c r="D20" s="250" t="s">
        <v>223</v>
      </c>
      <c r="E20" s="251"/>
      <c r="F20" s="251"/>
      <c r="G20" s="251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3">
        <f t="shared" si="5"/>
        <v>0</v>
      </c>
      <c r="BZ20" s="597"/>
      <c r="CA20" s="222"/>
      <c r="CB20" s="248"/>
      <c r="CC20" s="597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</row>
    <row r="21" spans="1:138" ht="15.95" hidden="1" outlineLevel="1">
      <c r="A21" s="505"/>
      <c r="B21" s="600"/>
      <c r="C21" s="249" t="s">
        <v>226</v>
      </c>
      <c r="D21" s="250" t="s">
        <v>223</v>
      </c>
      <c r="E21" s="251"/>
      <c r="F21" s="251"/>
      <c r="G21" s="251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3">
        <f t="shared" si="5"/>
        <v>0</v>
      </c>
      <c r="BZ21" s="597"/>
      <c r="CA21" s="222"/>
      <c r="CB21" s="248"/>
      <c r="CC21" s="597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</row>
    <row r="22" spans="1:138" ht="15.95" hidden="1" outlineLevel="1">
      <c r="A22" s="505"/>
      <c r="B22" s="600"/>
      <c r="C22" s="249" t="s">
        <v>227</v>
      </c>
      <c r="D22" s="254" t="s">
        <v>223</v>
      </c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3">
        <f t="shared" si="5"/>
        <v>0</v>
      </c>
      <c r="BZ22" s="597"/>
      <c r="CA22" s="222"/>
      <c r="CB22" s="248"/>
      <c r="CC22" s="597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</row>
    <row r="23" spans="1:138" ht="15.95">
      <c r="A23" s="505"/>
      <c r="B23" s="600"/>
      <c r="C23" s="244" t="s">
        <v>228</v>
      </c>
      <c r="D23" s="245"/>
      <c r="E23" s="246">
        <f t="shared" ref="E23:BY23" si="6">SUM(E24:E25)</f>
        <v>0</v>
      </c>
      <c r="F23" s="246">
        <f t="shared" si="6"/>
        <v>0</v>
      </c>
      <c r="G23" s="246">
        <f t="shared" si="6"/>
        <v>0</v>
      </c>
      <c r="H23" s="246">
        <f t="shared" si="6"/>
        <v>0</v>
      </c>
      <c r="I23" s="246">
        <f t="shared" si="6"/>
        <v>-366025</v>
      </c>
      <c r="J23" s="246">
        <f t="shared" si="6"/>
        <v>0</v>
      </c>
      <c r="K23" s="246">
        <f t="shared" si="6"/>
        <v>-367549.6</v>
      </c>
      <c r="L23" s="246">
        <f t="shared" si="6"/>
        <v>0</v>
      </c>
      <c r="M23" s="246">
        <f t="shared" si="6"/>
        <v>0</v>
      </c>
      <c r="N23" s="246">
        <f t="shared" si="6"/>
        <v>0</v>
      </c>
      <c r="O23" s="246">
        <f t="shared" si="6"/>
        <v>0</v>
      </c>
      <c r="P23" s="246">
        <f t="shared" si="6"/>
        <v>0</v>
      </c>
      <c r="Q23" s="246">
        <f t="shared" si="6"/>
        <v>0</v>
      </c>
      <c r="R23" s="246">
        <f t="shared" si="6"/>
        <v>0</v>
      </c>
      <c r="S23" s="246">
        <f t="shared" si="6"/>
        <v>0</v>
      </c>
      <c r="T23" s="246">
        <f t="shared" si="6"/>
        <v>0</v>
      </c>
      <c r="U23" s="246">
        <f t="shared" si="6"/>
        <v>0</v>
      </c>
      <c r="V23" s="246">
        <f t="shared" si="6"/>
        <v>0</v>
      </c>
      <c r="W23" s="246">
        <f t="shared" si="6"/>
        <v>0</v>
      </c>
      <c r="X23" s="246">
        <f t="shared" si="6"/>
        <v>0</v>
      </c>
      <c r="Y23" s="246">
        <f t="shared" si="6"/>
        <v>0</v>
      </c>
      <c r="Z23" s="246">
        <f t="shared" si="6"/>
        <v>0</v>
      </c>
      <c r="AA23" s="246">
        <f t="shared" si="6"/>
        <v>0</v>
      </c>
      <c r="AB23" s="246">
        <f t="shared" si="6"/>
        <v>0</v>
      </c>
      <c r="AC23" s="246">
        <f t="shared" si="6"/>
        <v>0</v>
      </c>
      <c r="AD23" s="246">
        <f t="shared" si="6"/>
        <v>0</v>
      </c>
      <c r="AE23" s="246">
        <f t="shared" si="6"/>
        <v>0</v>
      </c>
      <c r="AF23" s="246">
        <f t="shared" si="6"/>
        <v>0</v>
      </c>
      <c r="AG23" s="246">
        <f t="shared" si="6"/>
        <v>0</v>
      </c>
      <c r="AH23" s="246">
        <f t="shared" si="6"/>
        <v>0</v>
      </c>
      <c r="AI23" s="246">
        <f t="shared" si="6"/>
        <v>0</v>
      </c>
      <c r="AJ23" s="246">
        <f t="shared" si="6"/>
        <v>0</v>
      </c>
      <c r="AK23" s="246">
        <f t="shared" si="6"/>
        <v>0</v>
      </c>
      <c r="AL23" s="246">
        <f t="shared" si="6"/>
        <v>0</v>
      </c>
      <c r="AM23" s="246">
        <f t="shared" si="6"/>
        <v>0</v>
      </c>
      <c r="AN23" s="246">
        <f t="shared" si="6"/>
        <v>0</v>
      </c>
      <c r="AO23" s="246">
        <f t="shared" si="6"/>
        <v>0</v>
      </c>
      <c r="AP23" s="246">
        <f t="shared" si="6"/>
        <v>0</v>
      </c>
      <c r="AQ23" s="246">
        <f t="shared" si="6"/>
        <v>0</v>
      </c>
      <c r="AR23" s="246">
        <f t="shared" si="6"/>
        <v>0</v>
      </c>
      <c r="AS23" s="246">
        <f t="shared" si="6"/>
        <v>0</v>
      </c>
      <c r="AT23" s="246">
        <f t="shared" si="6"/>
        <v>0</v>
      </c>
      <c r="AU23" s="246">
        <f t="shared" si="6"/>
        <v>0</v>
      </c>
      <c r="AV23" s="246">
        <f t="shared" si="6"/>
        <v>0</v>
      </c>
      <c r="AW23" s="246">
        <f t="shared" si="6"/>
        <v>0</v>
      </c>
      <c r="AX23" s="246">
        <f t="shared" si="6"/>
        <v>0</v>
      </c>
      <c r="AY23" s="246">
        <f t="shared" si="6"/>
        <v>0</v>
      </c>
      <c r="AZ23" s="246">
        <f t="shared" si="6"/>
        <v>0</v>
      </c>
      <c r="BA23" s="246">
        <f t="shared" si="6"/>
        <v>0</v>
      </c>
      <c r="BB23" s="246">
        <f t="shared" si="6"/>
        <v>0</v>
      </c>
      <c r="BC23" s="246">
        <f t="shared" si="6"/>
        <v>0</v>
      </c>
      <c r="BD23" s="246">
        <f t="shared" si="6"/>
        <v>0</v>
      </c>
      <c r="BE23" s="246">
        <f t="shared" si="6"/>
        <v>0</v>
      </c>
      <c r="BF23" s="246">
        <f t="shared" si="6"/>
        <v>0</v>
      </c>
      <c r="BG23" s="246">
        <f t="shared" si="6"/>
        <v>0</v>
      </c>
      <c r="BH23" s="246">
        <f t="shared" si="6"/>
        <v>0</v>
      </c>
      <c r="BI23" s="246">
        <f t="shared" si="6"/>
        <v>0</v>
      </c>
      <c r="BJ23" s="246">
        <f t="shared" si="6"/>
        <v>0</v>
      </c>
      <c r="BK23" s="246">
        <f t="shared" si="6"/>
        <v>0</v>
      </c>
      <c r="BL23" s="246">
        <f t="shared" si="6"/>
        <v>0</v>
      </c>
      <c r="BM23" s="246">
        <f t="shared" si="6"/>
        <v>0</v>
      </c>
      <c r="BN23" s="246">
        <f t="shared" si="6"/>
        <v>0</v>
      </c>
      <c r="BO23" s="246">
        <f t="shared" si="6"/>
        <v>0</v>
      </c>
      <c r="BP23" s="246">
        <f t="shared" si="6"/>
        <v>0</v>
      </c>
      <c r="BQ23" s="246">
        <f t="shared" si="6"/>
        <v>0</v>
      </c>
      <c r="BR23" s="246">
        <f t="shared" si="6"/>
        <v>0</v>
      </c>
      <c r="BS23" s="246">
        <f t="shared" si="6"/>
        <v>0</v>
      </c>
      <c r="BT23" s="246">
        <f t="shared" si="6"/>
        <v>0</v>
      </c>
      <c r="BU23" s="246">
        <f t="shared" si="6"/>
        <v>0</v>
      </c>
      <c r="BV23" s="246">
        <f t="shared" si="6"/>
        <v>0</v>
      </c>
      <c r="BW23" s="246">
        <f t="shared" si="6"/>
        <v>0</v>
      </c>
      <c r="BX23" s="246">
        <f t="shared" si="6"/>
        <v>0</v>
      </c>
      <c r="BY23" s="247">
        <f t="shared" si="6"/>
        <v>-733574.6</v>
      </c>
      <c r="BZ23" s="597"/>
      <c r="CA23" s="222"/>
      <c r="CB23" s="248"/>
      <c r="CC23" s="597"/>
      <c r="CD23" s="222"/>
      <c r="CE23" s="222"/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</row>
    <row r="24" spans="1:138" ht="15.95" outlineLevel="1">
      <c r="A24" s="505"/>
      <c r="B24" s="600"/>
      <c r="C24" s="249" t="s">
        <v>229</v>
      </c>
      <c r="D24" s="254" t="s">
        <v>223</v>
      </c>
      <c r="E24" s="255"/>
      <c r="F24" s="255"/>
      <c r="G24" s="255"/>
      <c r="H24" s="256"/>
      <c r="I24" s="256">
        <f>-302500*1.21</f>
        <v>-366025</v>
      </c>
      <c r="J24" s="256"/>
      <c r="K24" s="256">
        <f>-152500*1.21</f>
        <v>-184525</v>
      </c>
      <c r="L24" s="256"/>
      <c r="M24" s="256"/>
      <c r="N24" s="256"/>
      <c r="O24" s="256"/>
      <c r="P24" s="256"/>
      <c r="Q24" s="256"/>
      <c r="R24" s="256"/>
      <c r="S24" s="256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3">
        <f t="shared" ref="BY24:BY25" si="7">SUM(E24:BX24)</f>
        <v>-550550</v>
      </c>
      <c r="BZ24" s="597"/>
      <c r="CA24" s="222"/>
      <c r="CB24" s="248"/>
      <c r="CC24" s="597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</row>
    <row r="25" spans="1:138" ht="15.95" outlineLevel="1">
      <c r="A25" s="505"/>
      <c r="B25" s="600"/>
      <c r="C25" s="249" t="s">
        <v>230</v>
      </c>
      <c r="D25" s="254" t="s">
        <v>223</v>
      </c>
      <c r="E25" s="255"/>
      <c r="F25" s="255"/>
      <c r="G25" s="255"/>
      <c r="H25" s="256"/>
      <c r="I25" s="256"/>
      <c r="J25" s="256"/>
      <c r="K25" s="256">
        <f>-Businessplan_prodej!$F$22*1.21</f>
        <v>-183024.6</v>
      </c>
      <c r="L25" s="256"/>
      <c r="M25" s="256"/>
      <c r="N25" s="256"/>
      <c r="O25" s="256"/>
      <c r="P25" s="256"/>
      <c r="Q25" s="256"/>
      <c r="R25" s="256"/>
      <c r="S25" s="256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3">
        <f t="shared" si="7"/>
        <v>-183024.6</v>
      </c>
      <c r="BZ25" s="597"/>
      <c r="CA25" s="222"/>
      <c r="CB25" s="248"/>
      <c r="CC25" s="597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</row>
    <row r="26" spans="1:138" ht="15.95">
      <c r="A26" s="505"/>
      <c r="B26" s="600"/>
      <c r="C26" s="244" t="s">
        <v>231</v>
      </c>
      <c r="D26" s="245"/>
      <c r="E26" s="246">
        <f t="shared" ref="E26:BX26" si="8">SUM(E27:E33)</f>
        <v>0</v>
      </c>
      <c r="F26" s="246">
        <f t="shared" si="8"/>
        <v>0</v>
      </c>
      <c r="G26" s="246">
        <f t="shared" si="8"/>
        <v>0</v>
      </c>
      <c r="H26" s="246">
        <f t="shared" si="8"/>
        <v>-2420</v>
      </c>
      <c r="I26" s="246">
        <f t="shared" si="8"/>
        <v>-1081909</v>
      </c>
      <c r="J26" s="246">
        <f t="shared" si="8"/>
        <v>0</v>
      </c>
      <c r="K26" s="246">
        <f t="shared" si="8"/>
        <v>-7031181</v>
      </c>
      <c r="L26" s="246">
        <f t="shared" si="8"/>
        <v>-7899681</v>
      </c>
      <c r="M26" s="246">
        <f t="shared" si="8"/>
        <v>-21093542</v>
      </c>
      <c r="N26" s="246">
        <f t="shared" si="8"/>
        <v>-8788976</v>
      </c>
      <c r="O26" s="246">
        <f t="shared" si="8"/>
        <v>-8788977</v>
      </c>
      <c r="P26" s="246">
        <f t="shared" si="8"/>
        <v>-5859318</v>
      </c>
      <c r="Q26" s="246">
        <f t="shared" si="8"/>
        <v>0</v>
      </c>
      <c r="R26" s="246">
        <f t="shared" si="8"/>
        <v>0</v>
      </c>
      <c r="S26" s="246">
        <f t="shared" si="8"/>
        <v>0</v>
      </c>
      <c r="T26" s="246">
        <f t="shared" si="8"/>
        <v>0</v>
      </c>
      <c r="U26" s="246">
        <f t="shared" si="8"/>
        <v>0</v>
      </c>
      <c r="V26" s="246">
        <f t="shared" si="8"/>
        <v>0</v>
      </c>
      <c r="W26" s="246">
        <f t="shared" si="8"/>
        <v>0</v>
      </c>
      <c r="X26" s="246">
        <f t="shared" si="8"/>
        <v>0</v>
      </c>
      <c r="Y26" s="246">
        <f t="shared" si="8"/>
        <v>0</v>
      </c>
      <c r="Z26" s="246">
        <f t="shared" si="8"/>
        <v>0</v>
      </c>
      <c r="AA26" s="246">
        <f t="shared" si="8"/>
        <v>0</v>
      </c>
      <c r="AB26" s="246">
        <f t="shared" si="8"/>
        <v>0</v>
      </c>
      <c r="AC26" s="246">
        <f t="shared" si="8"/>
        <v>0</v>
      </c>
      <c r="AD26" s="246">
        <f t="shared" si="8"/>
        <v>0</v>
      </c>
      <c r="AE26" s="246">
        <f t="shared" si="8"/>
        <v>0</v>
      </c>
      <c r="AF26" s="246">
        <f t="shared" si="8"/>
        <v>0</v>
      </c>
      <c r="AG26" s="246">
        <f t="shared" si="8"/>
        <v>0</v>
      </c>
      <c r="AH26" s="246">
        <f t="shared" si="8"/>
        <v>0</v>
      </c>
      <c r="AI26" s="246">
        <f t="shared" si="8"/>
        <v>0</v>
      </c>
      <c r="AJ26" s="246">
        <f t="shared" si="8"/>
        <v>0</v>
      </c>
      <c r="AK26" s="246">
        <f t="shared" si="8"/>
        <v>0</v>
      </c>
      <c r="AL26" s="246">
        <f t="shared" si="8"/>
        <v>0</v>
      </c>
      <c r="AM26" s="246">
        <f t="shared" si="8"/>
        <v>0</v>
      </c>
      <c r="AN26" s="246">
        <f t="shared" si="8"/>
        <v>0</v>
      </c>
      <c r="AO26" s="246">
        <f t="shared" si="8"/>
        <v>0</v>
      </c>
      <c r="AP26" s="246">
        <f t="shared" si="8"/>
        <v>0</v>
      </c>
      <c r="AQ26" s="246">
        <f t="shared" si="8"/>
        <v>0</v>
      </c>
      <c r="AR26" s="246">
        <f t="shared" si="8"/>
        <v>0</v>
      </c>
      <c r="AS26" s="246">
        <f t="shared" si="8"/>
        <v>0</v>
      </c>
      <c r="AT26" s="246">
        <f t="shared" si="8"/>
        <v>0</v>
      </c>
      <c r="AU26" s="246">
        <f t="shared" si="8"/>
        <v>0</v>
      </c>
      <c r="AV26" s="246">
        <f t="shared" si="8"/>
        <v>0</v>
      </c>
      <c r="AW26" s="246">
        <f t="shared" si="8"/>
        <v>0</v>
      </c>
      <c r="AX26" s="246">
        <f t="shared" si="8"/>
        <v>0</v>
      </c>
      <c r="AY26" s="246">
        <f t="shared" si="8"/>
        <v>0</v>
      </c>
      <c r="AZ26" s="246">
        <f t="shared" si="8"/>
        <v>0</v>
      </c>
      <c r="BA26" s="246">
        <f t="shared" si="8"/>
        <v>0</v>
      </c>
      <c r="BB26" s="246">
        <f t="shared" si="8"/>
        <v>0</v>
      </c>
      <c r="BC26" s="246">
        <f t="shared" si="8"/>
        <v>0</v>
      </c>
      <c r="BD26" s="246">
        <f t="shared" si="8"/>
        <v>0</v>
      </c>
      <c r="BE26" s="246">
        <f t="shared" si="8"/>
        <v>0</v>
      </c>
      <c r="BF26" s="246">
        <f t="shared" si="8"/>
        <v>0</v>
      </c>
      <c r="BG26" s="246">
        <f t="shared" si="8"/>
        <v>0</v>
      </c>
      <c r="BH26" s="246">
        <f t="shared" si="8"/>
        <v>0</v>
      </c>
      <c r="BI26" s="246">
        <f t="shared" si="8"/>
        <v>0</v>
      </c>
      <c r="BJ26" s="246">
        <f t="shared" si="8"/>
        <v>0</v>
      </c>
      <c r="BK26" s="246">
        <f t="shared" si="8"/>
        <v>0</v>
      </c>
      <c r="BL26" s="246">
        <f t="shared" si="8"/>
        <v>0</v>
      </c>
      <c r="BM26" s="246">
        <f t="shared" si="8"/>
        <v>0</v>
      </c>
      <c r="BN26" s="246">
        <f t="shared" si="8"/>
        <v>0</v>
      </c>
      <c r="BO26" s="246">
        <f t="shared" si="8"/>
        <v>0</v>
      </c>
      <c r="BP26" s="246">
        <f t="shared" si="8"/>
        <v>0</v>
      </c>
      <c r="BQ26" s="246">
        <f t="shared" si="8"/>
        <v>0</v>
      </c>
      <c r="BR26" s="246">
        <f t="shared" si="8"/>
        <v>0</v>
      </c>
      <c r="BS26" s="246">
        <f t="shared" si="8"/>
        <v>0</v>
      </c>
      <c r="BT26" s="246">
        <f t="shared" si="8"/>
        <v>0</v>
      </c>
      <c r="BU26" s="246">
        <f t="shared" si="8"/>
        <v>0</v>
      </c>
      <c r="BV26" s="246">
        <f t="shared" si="8"/>
        <v>0</v>
      </c>
      <c r="BW26" s="246">
        <f t="shared" si="8"/>
        <v>0</v>
      </c>
      <c r="BX26" s="246">
        <f t="shared" si="8"/>
        <v>0</v>
      </c>
      <c r="BY26" s="248">
        <f>SUM(BY27:BY33)</f>
        <v>-60546004</v>
      </c>
      <c r="BZ26" s="597"/>
      <c r="CA26" s="222"/>
      <c r="CB26" s="248"/>
      <c r="CC26" s="597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</row>
    <row r="27" spans="1:138" ht="15.95" outlineLevel="1">
      <c r="A27" s="505"/>
      <c r="B27" s="600"/>
      <c r="C27" s="249" t="s">
        <v>232</v>
      </c>
      <c r="D27" s="250" t="s">
        <v>223</v>
      </c>
      <c r="E27" s="251"/>
      <c r="F27" s="251"/>
      <c r="G27" s="251"/>
      <c r="H27" s="252"/>
      <c r="I27" s="252"/>
      <c r="J27" s="252"/>
      <c r="K27" s="252">
        <f t="shared" ref="K27:L27" si="9">-7031181</f>
        <v>-7031181</v>
      </c>
      <c r="L27" s="252">
        <f t="shared" si="9"/>
        <v>-7031181</v>
      </c>
      <c r="M27" s="252">
        <f>-6445249-5859317-5859317-2929659</f>
        <v>-21093542</v>
      </c>
      <c r="N27" s="252">
        <f>-2929659-5859317</f>
        <v>-8788976</v>
      </c>
      <c r="O27" s="252">
        <f>-2929659-2929659-2929659</f>
        <v>-8788977</v>
      </c>
      <c r="P27" s="252">
        <f>-2929659-2929659</f>
        <v>-5859318</v>
      </c>
      <c r="Q27" s="252"/>
      <c r="R27" s="252"/>
      <c r="S27" s="252"/>
      <c r="T27" s="252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60"/>
      <c r="BY27" s="253">
        <f t="shared" ref="BY27:BY33" si="10">SUM(E27:BX27)</f>
        <v>-58593175</v>
      </c>
      <c r="BZ27" s="597"/>
      <c r="CA27" s="222"/>
      <c r="CB27" s="248"/>
      <c r="CC27" s="597"/>
      <c r="CD27" s="222"/>
      <c r="CE27" s="222"/>
      <c r="CF27" s="222"/>
      <c r="CG27" s="222"/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</row>
    <row r="28" spans="1:138" ht="15.95" outlineLevel="1">
      <c r="A28" s="505"/>
      <c r="B28" s="600"/>
      <c r="C28" s="249" t="s">
        <v>233</v>
      </c>
      <c r="D28" s="250" t="s">
        <v>223</v>
      </c>
      <c r="E28" s="251"/>
      <c r="F28" s="251"/>
      <c r="G28" s="251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60"/>
      <c r="BY28" s="253">
        <f t="shared" si="10"/>
        <v>0</v>
      </c>
      <c r="BZ28" s="597"/>
      <c r="CA28" s="222"/>
      <c r="CB28" s="248"/>
      <c r="CC28" s="597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</row>
    <row r="29" spans="1:138" ht="15.95" outlineLevel="1">
      <c r="A29" s="505"/>
      <c r="B29" s="600"/>
      <c r="C29" s="249" t="s">
        <v>234</v>
      </c>
      <c r="D29" s="250" t="s">
        <v>223</v>
      </c>
      <c r="E29" s="251"/>
      <c r="F29" s="251"/>
      <c r="G29" s="251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60"/>
      <c r="BY29" s="253">
        <f t="shared" si="10"/>
        <v>0</v>
      </c>
      <c r="BZ29" s="597"/>
      <c r="CA29" s="222"/>
      <c r="CB29" s="248"/>
      <c r="CC29" s="597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</row>
    <row r="30" spans="1:138" ht="15.95" outlineLevel="1">
      <c r="A30" s="505"/>
      <c r="B30" s="600"/>
      <c r="C30" s="249" t="s">
        <v>235</v>
      </c>
      <c r="D30" s="250" t="s">
        <v>223</v>
      </c>
      <c r="E30" s="251"/>
      <c r="F30" s="251"/>
      <c r="G30" s="251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60"/>
      <c r="BY30" s="253">
        <f t="shared" si="10"/>
        <v>0</v>
      </c>
      <c r="BZ30" s="597"/>
      <c r="CA30" s="222"/>
      <c r="CB30" s="248"/>
      <c r="CC30" s="597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</row>
    <row r="31" spans="1:138" ht="15.95" outlineLevel="1">
      <c r="A31" s="505"/>
      <c r="B31" s="600"/>
      <c r="C31" s="249" t="s">
        <v>236</v>
      </c>
      <c r="D31" s="250" t="s">
        <v>223</v>
      </c>
      <c r="E31" s="251"/>
      <c r="F31" s="251"/>
      <c r="G31" s="251"/>
      <c r="H31" s="252">
        <f>-2420</f>
        <v>-2420</v>
      </c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60"/>
      <c r="BY31" s="253">
        <f t="shared" si="10"/>
        <v>-2420</v>
      </c>
      <c r="BZ31" s="597"/>
      <c r="CA31" s="222"/>
      <c r="CB31" s="248"/>
      <c r="CC31" s="597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</row>
    <row r="32" spans="1:138" ht="15.95" outlineLevel="1">
      <c r="A32" s="505"/>
      <c r="B32" s="600"/>
      <c r="C32" s="263" t="s">
        <v>237</v>
      </c>
      <c r="D32" s="250" t="s">
        <v>223</v>
      </c>
      <c r="E32" s="251"/>
      <c r="F32" s="251"/>
      <c r="G32" s="251"/>
      <c r="H32" s="252"/>
      <c r="I32" s="252">
        <f>-1081909</f>
        <v>-1081909</v>
      </c>
      <c r="J32" s="252"/>
      <c r="K32" s="252"/>
      <c r="L32" s="252">
        <f>-868500</f>
        <v>-868500</v>
      </c>
      <c r="M32" s="252"/>
      <c r="N32" s="252"/>
      <c r="O32" s="252"/>
      <c r="P32" s="252"/>
      <c r="Q32" s="252"/>
      <c r="R32" s="252"/>
      <c r="S32" s="252"/>
      <c r="T32" s="252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60"/>
      <c r="BY32" s="253">
        <f t="shared" si="10"/>
        <v>-1950409</v>
      </c>
      <c r="BZ32" s="597"/>
      <c r="CA32" s="222"/>
      <c r="CB32" s="248"/>
      <c r="CC32" s="597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</row>
    <row r="33" spans="1:138" ht="15.95" outlineLevel="1">
      <c r="A33" s="505"/>
      <c r="B33" s="600"/>
      <c r="C33" s="249" t="s">
        <v>238</v>
      </c>
      <c r="D33" s="254" t="s">
        <v>223</v>
      </c>
      <c r="E33" s="251"/>
      <c r="F33" s="251"/>
      <c r="G33" s="251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60"/>
      <c r="BY33" s="253">
        <f t="shared" si="10"/>
        <v>0</v>
      </c>
      <c r="BZ33" s="597"/>
      <c r="CA33" s="222"/>
      <c r="CB33" s="248"/>
      <c r="CC33" s="597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</row>
    <row r="34" spans="1:138" ht="15.95" collapsed="1">
      <c r="A34" s="505"/>
      <c r="B34" s="600"/>
      <c r="C34" s="244" t="s">
        <v>239</v>
      </c>
      <c r="D34" s="245"/>
      <c r="E34" s="246">
        <f t="shared" ref="E34:BX34" si="11">SUM(E35:E36)</f>
        <v>0</v>
      </c>
      <c r="F34" s="246">
        <f t="shared" si="11"/>
        <v>0</v>
      </c>
      <c r="G34" s="246">
        <f t="shared" si="11"/>
        <v>0</v>
      </c>
      <c r="H34" s="246">
        <f t="shared" si="11"/>
        <v>0</v>
      </c>
      <c r="I34" s="246">
        <f t="shared" si="11"/>
        <v>0</v>
      </c>
      <c r="J34" s="246">
        <f t="shared" si="11"/>
        <v>0</v>
      </c>
      <c r="K34" s="246">
        <f t="shared" si="11"/>
        <v>0</v>
      </c>
      <c r="L34" s="246">
        <f t="shared" si="11"/>
        <v>0</v>
      </c>
      <c r="M34" s="246">
        <f t="shared" si="11"/>
        <v>0</v>
      </c>
      <c r="N34" s="246">
        <f t="shared" si="11"/>
        <v>0</v>
      </c>
      <c r="O34" s="246">
        <f t="shared" si="11"/>
        <v>0</v>
      </c>
      <c r="P34" s="246">
        <f t="shared" si="11"/>
        <v>0</v>
      </c>
      <c r="Q34" s="246">
        <f t="shared" si="11"/>
        <v>0</v>
      </c>
      <c r="R34" s="246">
        <f t="shared" si="11"/>
        <v>0</v>
      </c>
      <c r="S34" s="246">
        <f t="shared" si="11"/>
        <v>0</v>
      </c>
      <c r="T34" s="246">
        <f t="shared" si="11"/>
        <v>0</v>
      </c>
      <c r="U34" s="246">
        <f t="shared" si="11"/>
        <v>0</v>
      </c>
      <c r="V34" s="246">
        <f t="shared" si="11"/>
        <v>0</v>
      </c>
      <c r="W34" s="246">
        <f t="shared" si="11"/>
        <v>0</v>
      </c>
      <c r="X34" s="246">
        <f t="shared" si="11"/>
        <v>0</v>
      </c>
      <c r="Y34" s="246">
        <f t="shared" si="11"/>
        <v>0</v>
      </c>
      <c r="Z34" s="246">
        <f t="shared" si="11"/>
        <v>0</v>
      </c>
      <c r="AA34" s="246">
        <f t="shared" si="11"/>
        <v>0</v>
      </c>
      <c r="AB34" s="246">
        <f t="shared" si="11"/>
        <v>0</v>
      </c>
      <c r="AC34" s="246">
        <f t="shared" si="11"/>
        <v>0</v>
      </c>
      <c r="AD34" s="246">
        <f t="shared" si="11"/>
        <v>0</v>
      </c>
      <c r="AE34" s="246">
        <f t="shared" si="11"/>
        <v>0</v>
      </c>
      <c r="AF34" s="246">
        <f t="shared" si="11"/>
        <v>0</v>
      </c>
      <c r="AG34" s="246">
        <f t="shared" si="11"/>
        <v>0</v>
      </c>
      <c r="AH34" s="246">
        <f t="shared" si="11"/>
        <v>0</v>
      </c>
      <c r="AI34" s="246">
        <f t="shared" si="11"/>
        <v>0</v>
      </c>
      <c r="AJ34" s="246">
        <f t="shared" si="11"/>
        <v>0</v>
      </c>
      <c r="AK34" s="246">
        <f t="shared" si="11"/>
        <v>0</v>
      </c>
      <c r="AL34" s="246">
        <f t="shared" si="11"/>
        <v>0</v>
      </c>
      <c r="AM34" s="246">
        <f t="shared" si="11"/>
        <v>0</v>
      </c>
      <c r="AN34" s="246">
        <f t="shared" si="11"/>
        <v>0</v>
      </c>
      <c r="AO34" s="246">
        <f t="shared" si="11"/>
        <v>0</v>
      </c>
      <c r="AP34" s="246">
        <f t="shared" si="11"/>
        <v>0</v>
      </c>
      <c r="AQ34" s="246">
        <f t="shared" si="11"/>
        <v>0</v>
      </c>
      <c r="AR34" s="246">
        <f t="shared" si="11"/>
        <v>0</v>
      </c>
      <c r="AS34" s="246">
        <f t="shared" si="11"/>
        <v>0</v>
      </c>
      <c r="AT34" s="246">
        <f t="shared" si="11"/>
        <v>0</v>
      </c>
      <c r="AU34" s="246">
        <f t="shared" si="11"/>
        <v>0</v>
      </c>
      <c r="AV34" s="246">
        <f t="shared" si="11"/>
        <v>0</v>
      </c>
      <c r="AW34" s="246">
        <f t="shared" si="11"/>
        <v>0</v>
      </c>
      <c r="AX34" s="246">
        <f t="shared" si="11"/>
        <v>0</v>
      </c>
      <c r="AY34" s="246">
        <f t="shared" si="11"/>
        <v>0</v>
      </c>
      <c r="AZ34" s="246">
        <f t="shared" si="11"/>
        <v>0</v>
      </c>
      <c r="BA34" s="246">
        <f t="shared" si="11"/>
        <v>0</v>
      </c>
      <c r="BB34" s="246">
        <f t="shared" si="11"/>
        <v>0</v>
      </c>
      <c r="BC34" s="246">
        <f t="shared" si="11"/>
        <v>0</v>
      </c>
      <c r="BD34" s="246">
        <f t="shared" si="11"/>
        <v>0</v>
      </c>
      <c r="BE34" s="246">
        <f t="shared" si="11"/>
        <v>0</v>
      </c>
      <c r="BF34" s="246">
        <f t="shared" si="11"/>
        <v>0</v>
      </c>
      <c r="BG34" s="246">
        <f t="shared" si="11"/>
        <v>0</v>
      </c>
      <c r="BH34" s="246">
        <f t="shared" si="11"/>
        <v>0</v>
      </c>
      <c r="BI34" s="246">
        <f t="shared" si="11"/>
        <v>0</v>
      </c>
      <c r="BJ34" s="246">
        <f t="shared" si="11"/>
        <v>0</v>
      </c>
      <c r="BK34" s="246">
        <f t="shared" si="11"/>
        <v>0</v>
      </c>
      <c r="BL34" s="246">
        <f t="shared" si="11"/>
        <v>0</v>
      </c>
      <c r="BM34" s="246">
        <f t="shared" si="11"/>
        <v>0</v>
      </c>
      <c r="BN34" s="246">
        <f t="shared" si="11"/>
        <v>0</v>
      </c>
      <c r="BO34" s="246">
        <f t="shared" si="11"/>
        <v>0</v>
      </c>
      <c r="BP34" s="246">
        <f t="shared" si="11"/>
        <v>0</v>
      </c>
      <c r="BQ34" s="246">
        <f t="shared" si="11"/>
        <v>0</v>
      </c>
      <c r="BR34" s="246">
        <f t="shared" si="11"/>
        <v>0</v>
      </c>
      <c r="BS34" s="246">
        <f t="shared" si="11"/>
        <v>0</v>
      </c>
      <c r="BT34" s="246">
        <f t="shared" si="11"/>
        <v>0</v>
      </c>
      <c r="BU34" s="246">
        <f t="shared" si="11"/>
        <v>0</v>
      </c>
      <c r="BV34" s="246">
        <f t="shared" si="11"/>
        <v>0</v>
      </c>
      <c r="BW34" s="246">
        <f t="shared" si="11"/>
        <v>0</v>
      </c>
      <c r="BX34" s="246">
        <f t="shared" si="11"/>
        <v>0</v>
      </c>
      <c r="BY34" s="248">
        <f>SUM(BY35:BY36)</f>
        <v>0</v>
      </c>
      <c r="BZ34" s="597"/>
      <c r="CA34" s="222"/>
      <c r="CB34" s="248"/>
      <c r="CC34" s="597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</row>
    <row r="35" spans="1:138" ht="15.95" hidden="1" outlineLevel="1">
      <c r="A35" s="505"/>
      <c r="B35" s="600"/>
      <c r="C35" s="249" t="s">
        <v>240</v>
      </c>
      <c r="D35" s="250" t="s">
        <v>223</v>
      </c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66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60"/>
      <c r="BY35" s="253">
        <f t="shared" ref="BY35:BY36" si="12">SUM(E35:BX35)</f>
        <v>0</v>
      </c>
      <c r="BZ35" s="597"/>
      <c r="CA35" s="222"/>
      <c r="CB35" s="248"/>
      <c r="CC35" s="597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</row>
    <row r="36" spans="1:138" ht="15.95" hidden="1" outlineLevel="1">
      <c r="A36" s="505"/>
      <c r="B36" s="600"/>
      <c r="C36" s="249" t="s">
        <v>241</v>
      </c>
      <c r="D36" s="254" t="s">
        <v>223</v>
      </c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66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60"/>
      <c r="BY36" s="253">
        <f t="shared" si="12"/>
        <v>0</v>
      </c>
      <c r="BZ36" s="597"/>
      <c r="CA36" s="222"/>
      <c r="CB36" s="248"/>
      <c r="CC36" s="597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</row>
    <row r="37" spans="1:138" ht="15.95" collapsed="1">
      <c r="A37" s="505"/>
      <c r="B37" s="600"/>
      <c r="C37" s="244" t="s">
        <v>242</v>
      </c>
      <c r="D37" s="245"/>
      <c r="E37" s="246">
        <f t="shared" ref="E37:G37" si="13">SUM(E38:E48)</f>
        <v>0</v>
      </c>
      <c r="F37" s="246">
        <f t="shared" si="13"/>
        <v>0</v>
      </c>
      <c r="G37" s="246">
        <f t="shared" si="13"/>
        <v>0</v>
      </c>
      <c r="H37" s="246">
        <f t="shared" ref="H37:BM37" si="14">SUM(H38:H41,H42,H45,H46:H48)</f>
        <v>-113225.2</v>
      </c>
      <c r="I37" s="246">
        <f t="shared" si="14"/>
        <v>-414970</v>
      </c>
      <c r="J37" s="246">
        <f t="shared" si="14"/>
        <v>-1013895.81</v>
      </c>
      <c r="K37" s="246">
        <f t="shared" si="14"/>
        <v>-1262172.0603333334</v>
      </c>
      <c r="L37" s="246">
        <f t="shared" si="14"/>
        <v>-344495.64333333331</v>
      </c>
      <c r="M37" s="246">
        <f t="shared" si="14"/>
        <v>-344495.64333333331</v>
      </c>
      <c r="N37" s="246">
        <f t="shared" si="14"/>
        <v>-344495.64333333331</v>
      </c>
      <c r="O37" s="246">
        <f t="shared" si="14"/>
        <v>-638609.01233333326</v>
      </c>
      <c r="P37" s="246">
        <f t="shared" si="14"/>
        <v>-368053.18333333329</v>
      </c>
      <c r="Q37" s="246">
        <f t="shared" si="14"/>
        <v>-25102.833333333336</v>
      </c>
      <c r="R37" s="246">
        <f t="shared" si="14"/>
        <v>-25102.833333333336</v>
      </c>
      <c r="S37" s="246">
        <f t="shared" si="14"/>
        <v>-25102.833333333336</v>
      </c>
      <c r="T37" s="246">
        <f t="shared" si="14"/>
        <v>-25102.833333333336</v>
      </c>
      <c r="U37" s="246">
        <f t="shared" si="14"/>
        <v>-8470</v>
      </c>
      <c r="V37" s="246">
        <f t="shared" si="14"/>
        <v>-8470</v>
      </c>
      <c r="W37" s="246">
        <f t="shared" si="14"/>
        <v>-8470</v>
      </c>
      <c r="X37" s="246">
        <f t="shared" si="14"/>
        <v>-8470</v>
      </c>
      <c r="Y37" s="246">
        <f t="shared" si="14"/>
        <v>-8470</v>
      </c>
      <c r="Z37" s="246">
        <f t="shared" si="14"/>
        <v>-8470</v>
      </c>
      <c r="AA37" s="246">
        <f t="shared" si="14"/>
        <v>-8470</v>
      </c>
      <c r="AB37" s="246">
        <f t="shared" si="14"/>
        <v>-8470</v>
      </c>
      <c r="AC37" s="246">
        <f t="shared" si="14"/>
        <v>-67363.850000000006</v>
      </c>
      <c r="AD37" s="246">
        <f t="shared" si="14"/>
        <v>0</v>
      </c>
      <c r="AE37" s="246">
        <f t="shared" si="14"/>
        <v>0</v>
      </c>
      <c r="AF37" s="246">
        <f t="shared" si="14"/>
        <v>0</v>
      </c>
      <c r="AG37" s="246">
        <f t="shared" si="14"/>
        <v>0</v>
      </c>
      <c r="AH37" s="246">
        <f t="shared" si="14"/>
        <v>0</v>
      </c>
      <c r="AI37" s="246">
        <f t="shared" si="14"/>
        <v>0</v>
      </c>
      <c r="AJ37" s="246">
        <f t="shared" si="14"/>
        <v>0</v>
      </c>
      <c r="AK37" s="246">
        <f t="shared" si="14"/>
        <v>0</v>
      </c>
      <c r="AL37" s="246">
        <f t="shared" si="14"/>
        <v>0</v>
      </c>
      <c r="AM37" s="246">
        <f t="shared" si="14"/>
        <v>0</v>
      </c>
      <c r="AN37" s="246">
        <f t="shared" si="14"/>
        <v>0</v>
      </c>
      <c r="AO37" s="246">
        <f t="shared" si="14"/>
        <v>0</v>
      </c>
      <c r="AP37" s="246">
        <f t="shared" si="14"/>
        <v>0</v>
      </c>
      <c r="AQ37" s="246">
        <f t="shared" si="14"/>
        <v>0</v>
      </c>
      <c r="AR37" s="246">
        <f t="shared" si="14"/>
        <v>0</v>
      </c>
      <c r="AS37" s="246">
        <f t="shared" si="14"/>
        <v>0</v>
      </c>
      <c r="AT37" s="246">
        <f t="shared" si="14"/>
        <v>0</v>
      </c>
      <c r="AU37" s="246">
        <f t="shared" si="14"/>
        <v>0</v>
      </c>
      <c r="AV37" s="246">
        <f t="shared" si="14"/>
        <v>0</v>
      </c>
      <c r="AW37" s="246">
        <f t="shared" si="14"/>
        <v>0</v>
      </c>
      <c r="AX37" s="246">
        <f t="shared" si="14"/>
        <v>0</v>
      </c>
      <c r="AY37" s="246">
        <f t="shared" si="14"/>
        <v>0</v>
      </c>
      <c r="AZ37" s="246">
        <f t="shared" si="14"/>
        <v>0</v>
      </c>
      <c r="BA37" s="246">
        <f t="shared" si="14"/>
        <v>0</v>
      </c>
      <c r="BB37" s="246">
        <f t="shared" si="14"/>
        <v>0</v>
      </c>
      <c r="BC37" s="246">
        <f t="shared" si="14"/>
        <v>0</v>
      </c>
      <c r="BD37" s="246">
        <f t="shared" si="14"/>
        <v>0</v>
      </c>
      <c r="BE37" s="246">
        <f t="shared" si="14"/>
        <v>0</v>
      </c>
      <c r="BF37" s="246">
        <f t="shared" si="14"/>
        <v>0</v>
      </c>
      <c r="BG37" s="246">
        <f t="shared" si="14"/>
        <v>0</v>
      </c>
      <c r="BH37" s="246">
        <f t="shared" si="14"/>
        <v>0</v>
      </c>
      <c r="BI37" s="246">
        <f t="shared" si="14"/>
        <v>0</v>
      </c>
      <c r="BJ37" s="246">
        <f t="shared" si="14"/>
        <v>0</v>
      </c>
      <c r="BK37" s="246">
        <f t="shared" si="14"/>
        <v>0</v>
      </c>
      <c r="BL37" s="246">
        <f t="shared" si="14"/>
        <v>0</v>
      </c>
      <c r="BM37" s="246">
        <f t="shared" si="14"/>
        <v>0</v>
      </c>
      <c r="BN37" s="246">
        <f t="shared" ref="BN37:BX37" si="15">SUM(BN38:BN48)</f>
        <v>0</v>
      </c>
      <c r="BO37" s="246">
        <f t="shared" si="15"/>
        <v>0</v>
      </c>
      <c r="BP37" s="246">
        <f t="shared" si="15"/>
        <v>0</v>
      </c>
      <c r="BQ37" s="246">
        <f t="shared" si="15"/>
        <v>0</v>
      </c>
      <c r="BR37" s="246">
        <f t="shared" si="15"/>
        <v>0</v>
      </c>
      <c r="BS37" s="246">
        <f t="shared" si="15"/>
        <v>0</v>
      </c>
      <c r="BT37" s="246">
        <f t="shared" si="15"/>
        <v>0</v>
      </c>
      <c r="BU37" s="246">
        <f t="shared" si="15"/>
        <v>0</v>
      </c>
      <c r="BV37" s="246">
        <f t="shared" si="15"/>
        <v>0</v>
      </c>
      <c r="BW37" s="246">
        <f t="shared" si="15"/>
        <v>0</v>
      </c>
      <c r="BX37" s="246">
        <f t="shared" si="15"/>
        <v>0</v>
      </c>
      <c r="BY37" s="248">
        <f>SUM(BY38:BY48)</f>
        <v>-5079947.379333334</v>
      </c>
      <c r="BZ37" s="597"/>
      <c r="CA37" s="222"/>
      <c r="CB37" s="248"/>
      <c r="CC37" s="597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</row>
    <row r="38" spans="1:138" ht="15.95" hidden="1" outlineLevel="1">
      <c r="A38" s="505"/>
      <c r="B38" s="600"/>
      <c r="C38" s="263" t="s">
        <v>170</v>
      </c>
      <c r="D38" s="250" t="s">
        <v>223</v>
      </c>
      <c r="E38" s="255"/>
      <c r="F38" s="255"/>
      <c r="G38" s="255"/>
      <c r="H38" s="256"/>
      <c r="I38" s="256">
        <f>-400000</f>
        <v>-400000</v>
      </c>
      <c r="J38" s="256">
        <f>-661353-(23520+28160+192281+20000)*1.21</f>
        <v>-980745.81</v>
      </c>
      <c r="K38" s="256">
        <f t="shared" ref="K38:P38" si="16">-(23520+28160+192281+20000)*1.21</f>
        <v>-319392.81</v>
      </c>
      <c r="L38" s="256">
        <f t="shared" si="16"/>
        <v>-319392.81</v>
      </c>
      <c r="M38" s="256">
        <f t="shared" si="16"/>
        <v>-319392.81</v>
      </c>
      <c r="N38" s="256">
        <f t="shared" si="16"/>
        <v>-319392.81</v>
      </c>
      <c r="O38" s="256">
        <f t="shared" si="16"/>
        <v>-319392.81</v>
      </c>
      <c r="P38" s="256">
        <f t="shared" si="16"/>
        <v>-319392.81</v>
      </c>
      <c r="Q38" s="256"/>
      <c r="R38" s="256"/>
      <c r="S38" s="268"/>
      <c r="T38" s="256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67"/>
      <c r="BY38" s="253">
        <f t="shared" ref="BY38:BY42" si="17">SUM(E38:BX38)</f>
        <v>-3297102.6700000004</v>
      </c>
      <c r="BZ38" s="597"/>
      <c r="CA38" s="222"/>
      <c r="CB38" s="248"/>
      <c r="CC38" s="597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</row>
    <row r="39" spans="1:138" ht="15.95" hidden="1" outlineLevel="1">
      <c r="A39" s="505"/>
      <c r="B39" s="600"/>
      <c r="C39" s="263" t="s">
        <v>171</v>
      </c>
      <c r="D39" s="250" t="s">
        <v>223</v>
      </c>
      <c r="E39" s="255"/>
      <c r="F39" s="255"/>
      <c r="G39" s="255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68"/>
      <c r="T39" s="256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67"/>
      <c r="BY39" s="253">
        <f t="shared" si="17"/>
        <v>0</v>
      </c>
      <c r="BZ39" s="597"/>
      <c r="CA39" s="222"/>
      <c r="CB39" s="248"/>
      <c r="CC39" s="597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</row>
    <row r="40" spans="1:138" ht="15.95" hidden="1" outlineLevel="1">
      <c r="A40" s="505"/>
      <c r="B40" s="600"/>
      <c r="C40" s="263" t="s">
        <v>172</v>
      </c>
      <c r="D40" s="250" t="s">
        <v>223</v>
      </c>
      <c r="E40" s="255"/>
      <c r="F40" s="255"/>
      <c r="G40" s="255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68"/>
      <c r="T40" s="256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67"/>
      <c r="BY40" s="253">
        <f t="shared" si="17"/>
        <v>0</v>
      </c>
      <c r="BZ40" s="597"/>
      <c r="CA40" s="222"/>
      <c r="CB40" s="248"/>
      <c r="CC40" s="597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</row>
    <row r="41" spans="1:138" ht="15.95" hidden="1" outlineLevel="1">
      <c r="A41" s="505"/>
      <c r="B41" s="600"/>
      <c r="C41" s="263" t="s">
        <v>176</v>
      </c>
      <c r="D41" s="250" t="s">
        <v>223</v>
      </c>
      <c r="E41" s="255"/>
      <c r="F41" s="255"/>
      <c r="G41" s="255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68"/>
      <c r="T41" s="256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67"/>
      <c r="BY41" s="253">
        <f t="shared" si="17"/>
        <v>0</v>
      </c>
      <c r="BZ41" s="597"/>
      <c r="CA41" s="222"/>
      <c r="CB41" s="248"/>
      <c r="CC41" s="597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</row>
    <row r="42" spans="1:138" ht="15.95" hidden="1" outlineLevel="1">
      <c r="A42" s="505"/>
      <c r="B42" s="600"/>
      <c r="C42" s="249" t="s">
        <v>177</v>
      </c>
      <c r="D42" s="269" t="s">
        <v>223</v>
      </c>
      <c r="E42" s="270"/>
      <c r="F42" s="271"/>
      <c r="G42" s="271"/>
      <c r="H42" s="271">
        <f t="shared" ref="H42:BM42" si="18">SUM(H43:H44)</f>
        <v>-36364</v>
      </c>
      <c r="I42" s="271">
        <f t="shared" si="18"/>
        <v>-8194</v>
      </c>
      <c r="J42" s="271">
        <f t="shared" si="18"/>
        <v>-33050</v>
      </c>
      <c r="K42" s="271">
        <f t="shared" si="18"/>
        <v>-6050</v>
      </c>
      <c r="L42" s="271">
        <f t="shared" si="18"/>
        <v>-6050</v>
      </c>
      <c r="M42" s="271">
        <f t="shared" si="18"/>
        <v>-6050</v>
      </c>
      <c r="N42" s="271">
        <f t="shared" si="18"/>
        <v>-6050</v>
      </c>
      <c r="O42" s="271">
        <f t="shared" si="18"/>
        <v>-6050</v>
      </c>
      <c r="P42" s="271">
        <f t="shared" si="18"/>
        <v>-6050</v>
      </c>
      <c r="Q42" s="271">
        <f t="shared" si="18"/>
        <v>-6050</v>
      </c>
      <c r="R42" s="271">
        <f t="shared" si="18"/>
        <v>-6050</v>
      </c>
      <c r="S42" s="271">
        <f t="shared" si="18"/>
        <v>-6050</v>
      </c>
      <c r="T42" s="271">
        <f t="shared" si="18"/>
        <v>-6050</v>
      </c>
      <c r="U42" s="271">
        <f t="shared" si="18"/>
        <v>-6050</v>
      </c>
      <c r="V42" s="271">
        <f t="shared" si="18"/>
        <v>-6050</v>
      </c>
      <c r="W42" s="271">
        <f t="shared" si="18"/>
        <v>-6050</v>
      </c>
      <c r="X42" s="271">
        <f t="shared" si="18"/>
        <v>-6050</v>
      </c>
      <c r="Y42" s="271">
        <f t="shared" si="18"/>
        <v>-6050</v>
      </c>
      <c r="Z42" s="271">
        <f t="shared" si="18"/>
        <v>-6050</v>
      </c>
      <c r="AA42" s="271">
        <f t="shared" si="18"/>
        <v>-6050</v>
      </c>
      <c r="AB42" s="271">
        <f t="shared" si="18"/>
        <v>-6050</v>
      </c>
      <c r="AC42" s="271">
        <f t="shared" si="18"/>
        <v>-6050</v>
      </c>
      <c r="AD42" s="271">
        <f t="shared" si="18"/>
        <v>0</v>
      </c>
      <c r="AE42" s="271">
        <f t="shared" si="18"/>
        <v>0</v>
      </c>
      <c r="AF42" s="271">
        <f t="shared" si="18"/>
        <v>0</v>
      </c>
      <c r="AG42" s="271">
        <f t="shared" si="18"/>
        <v>0</v>
      </c>
      <c r="AH42" s="271">
        <f t="shared" si="18"/>
        <v>0</v>
      </c>
      <c r="AI42" s="271">
        <f t="shared" si="18"/>
        <v>0</v>
      </c>
      <c r="AJ42" s="271">
        <f t="shared" si="18"/>
        <v>0</v>
      </c>
      <c r="AK42" s="271">
        <f t="shared" si="18"/>
        <v>0</v>
      </c>
      <c r="AL42" s="271">
        <f t="shared" si="18"/>
        <v>0</v>
      </c>
      <c r="AM42" s="271">
        <f t="shared" si="18"/>
        <v>0</v>
      </c>
      <c r="AN42" s="271">
        <f t="shared" si="18"/>
        <v>0</v>
      </c>
      <c r="AO42" s="271">
        <f t="shared" si="18"/>
        <v>0</v>
      </c>
      <c r="AP42" s="271">
        <f t="shared" si="18"/>
        <v>0</v>
      </c>
      <c r="AQ42" s="271">
        <f t="shared" si="18"/>
        <v>0</v>
      </c>
      <c r="AR42" s="271">
        <f t="shared" si="18"/>
        <v>0</v>
      </c>
      <c r="AS42" s="271">
        <f t="shared" si="18"/>
        <v>0</v>
      </c>
      <c r="AT42" s="271">
        <f t="shared" si="18"/>
        <v>0</v>
      </c>
      <c r="AU42" s="271">
        <f t="shared" si="18"/>
        <v>0</v>
      </c>
      <c r="AV42" s="271">
        <f t="shared" si="18"/>
        <v>0</v>
      </c>
      <c r="AW42" s="271">
        <f t="shared" si="18"/>
        <v>0</v>
      </c>
      <c r="AX42" s="271">
        <f t="shared" si="18"/>
        <v>0</v>
      </c>
      <c r="AY42" s="271">
        <f t="shared" si="18"/>
        <v>0</v>
      </c>
      <c r="AZ42" s="271">
        <f t="shared" si="18"/>
        <v>0</v>
      </c>
      <c r="BA42" s="271">
        <f t="shared" si="18"/>
        <v>0</v>
      </c>
      <c r="BB42" s="271">
        <f t="shared" si="18"/>
        <v>0</v>
      </c>
      <c r="BC42" s="271">
        <f t="shared" si="18"/>
        <v>0</v>
      </c>
      <c r="BD42" s="271">
        <f t="shared" si="18"/>
        <v>0</v>
      </c>
      <c r="BE42" s="271">
        <f t="shared" si="18"/>
        <v>0</v>
      </c>
      <c r="BF42" s="271">
        <f t="shared" si="18"/>
        <v>0</v>
      </c>
      <c r="BG42" s="271">
        <f t="shared" si="18"/>
        <v>0</v>
      </c>
      <c r="BH42" s="271">
        <f t="shared" si="18"/>
        <v>0</v>
      </c>
      <c r="BI42" s="271">
        <f t="shared" si="18"/>
        <v>0</v>
      </c>
      <c r="BJ42" s="271">
        <f t="shared" si="18"/>
        <v>0</v>
      </c>
      <c r="BK42" s="271">
        <f t="shared" si="18"/>
        <v>0</v>
      </c>
      <c r="BL42" s="271">
        <f t="shared" si="18"/>
        <v>0</v>
      </c>
      <c r="BM42" s="271">
        <f t="shared" si="18"/>
        <v>0</v>
      </c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60"/>
      <c r="BY42" s="253">
        <f t="shared" si="17"/>
        <v>-192558</v>
      </c>
      <c r="BZ42" s="597"/>
      <c r="CA42" s="222"/>
      <c r="CB42" s="248"/>
      <c r="CC42" s="597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</row>
    <row r="43" spans="1:138" ht="15.95" hidden="1" outlineLevel="2">
      <c r="A43" s="505"/>
      <c r="B43" s="600"/>
      <c r="C43" s="273" t="s">
        <v>243</v>
      </c>
      <c r="D43" s="250" t="s">
        <v>223</v>
      </c>
      <c r="E43" s="251"/>
      <c r="F43" s="251"/>
      <c r="G43" s="251"/>
      <c r="H43" s="274">
        <f>-11364</f>
        <v>-11364</v>
      </c>
      <c r="I43" s="274">
        <f>-8194</f>
        <v>-8194</v>
      </c>
      <c r="J43" s="274">
        <f t="shared" ref="J43:AC43" si="19">-5000*1.21</f>
        <v>-6050</v>
      </c>
      <c r="K43" s="274">
        <f t="shared" si="19"/>
        <v>-6050</v>
      </c>
      <c r="L43" s="274">
        <f t="shared" si="19"/>
        <v>-6050</v>
      </c>
      <c r="M43" s="274">
        <f t="shared" si="19"/>
        <v>-6050</v>
      </c>
      <c r="N43" s="274">
        <f t="shared" si="19"/>
        <v>-6050</v>
      </c>
      <c r="O43" s="274">
        <f t="shared" si="19"/>
        <v>-6050</v>
      </c>
      <c r="P43" s="274">
        <f t="shared" si="19"/>
        <v>-6050</v>
      </c>
      <c r="Q43" s="274">
        <f t="shared" si="19"/>
        <v>-6050</v>
      </c>
      <c r="R43" s="274">
        <f t="shared" si="19"/>
        <v>-6050</v>
      </c>
      <c r="S43" s="274">
        <f t="shared" si="19"/>
        <v>-6050</v>
      </c>
      <c r="T43" s="274">
        <f t="shared" si="19"/>
        <v>-6050</v>
      </c>
      <c r="U43" s="274">
        <f t="shared" si="19"/>
        <v>-6050</v>
      </c>
      <c r="V43" s="274">
        <f t="shared" si="19"/>
        <v>-6050</v>
      </c>
      <c r="W43" s="274">
        <f t="shared" si="19"/>
        <v>-6050</v>
      </c>
      <c r="X43" s="274">
        <f t="shared" si="19"/>
        <v>-6050</v>
      </c>
      <c r="Y43" s="274">
        <f t="shared" si="19"/>
        <v>-6050</v>
      </c>
      <c r="Z43" s="274">
        <f t="shared" si="19"/>
        <v>-6050</v>
      </c>
      <c r="AA43" s="274">
        <f t="shared" si="19"/>
        <v>-6050</v>
      </c>
      <c r="AB43" s="274">
        <f t="shared" si="19"/>
        <v>-6050</v>
      </c>
      <c r="AC43" s="274">
        <f t="shared" si="19"/>
        <v>-6050</v>
      </c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60"/>
      <c r="BY43" s="253"/>
      <c r="BZ43" s="597"/>
      <c r="CA43" s="222"/>
      <c r="CB43" s="248"/>
      <c r="CC43" s="597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</row>
    <row r="44" spans="1:138" ht="15.95" hidden="1" outlineLevel="2">
      <c r="A44" s="505"/>
      <c r="B44" s="600"/>
      <c r="C44" s="273" t="s">
        <v>244</v>
      </c>
      <c r="D44" s="250" t="s">
        <v>223</v>
      </c>
      <c r="E44" s="251"/>
      <c r="F44" s="251"/>
      <c r="G44" s="251"/>
      <c r="H44" s="274">
        <f>-25000</f>
        <v>-25000</v>
      </c>
      <c r="I44" s="274"/>
      <c r="J44" s="274">
        <f>-27000</f>
        <v>-27000</v>
      </c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60"/>
      <c r="BY44" s="253"/>
      <c r="BZ44" s="597"/>
      <c r="CA44" s="222"/>
      <c r="CB44" s="248"/>
      <c r="CC44" s="597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</row>
    <row r="45" spans="1:138" ht="15.95" hidden="1" outlineLevel="1">
      <c r="A45" s="505"/>
      <c r="B45" s="600"/>
      <c r="C45" s="249" t="s">
        <v>178</v>
      </c>
      <c r="D45" s="250" t="s">
        <v>223</v>
      </c>
      <c r="E45" s="251"/>
      <c r="F45" s="251"/>
      <c r="G45" s="251"/>
      <c r="H45" s="252">
        <f>-1000</f>
        <v>-1000</v>
      </c>
      <c r="I45" s="252"/>
      <c r="J45" s="252">
        <f>-100</f>
        <v>-100</v>
      </c>
      <c r="K45" s="252">
        <f>-Businessplan_prodej!$F$68/12*1.21</f>
        <v>-19052.833333333336</v>
      </c>
      <c r="L45" s="252">
        <f>-Businessplan_prodej!$F$68/12*1.21</f>
        <v>-19052.833333333336</v>
      </c>
      <c r="M45" s="252">
        <f>-Businessplan_prodej!$F$68/12*1.21</f>
        <v>-19052.833333333336</v>
      </c>
      <c r="N45" s="252">
        <f>-Businessplan_prodej!$F$68/12*1.21</f>
        <v>-19052.833333333336</v>
      </c>
      <c r="O45" s="252">
        <f>-Businessplan_prodej!$F$68/12*1.21</f>
        <v>-19052.833333333336</v>
      </c>
      <c r="P45" s="252">
        <f>-Businessplan_prodej!$F$68/12*1.21</f>
        <v>-19052.833333333336</v>
      </c>
      <c r="Q45" s="252">
        <f>-Businessplan_prodej!$F$68/12*1.21</f>
        <v>-19052.833333333336</v>
      </c>
      <c r="R45" s="252">
        <f>-Businessplan_prodej!$F$68/12*1.21</f>
        <v>-19052.833333333336</v>
      </c>
      <c r="S45" s="252">
        <f>-Businessplan_prodej!$F$68/12*1.21</f>
        <v>-19052.833333333336</v>
      </c>
      <c r="T45" s="252">
        <f>-Businessplan_prodej!$F$68/12*1.21</f>
        <v>-19052.833333333336</v>
      </c>
      <c r="U45" s="251">
        <f t="shared" ref="U45:AC45" si="20">-2000*1.21</f>
        <v>-2420</v>
      </c>
      <c r="V45" s="251">
        <f t="shared" si="20"/>
        <v>-2420</v>
      </c>
      <c r="W45" s="251">
        <f t="shared" si="20"/>
        <v>-2420</v>
      </c>
      <c r="X45" s="251">
        <f t="shared" si="20"/>
        <v>-2420</v>
      </c>
      <c r="Y45" s="251">
        <f t="shared" si="20"/>
        <v>-2420</v>
      </c>
      <c r="Z45" s="251">
        <f t="shared" si="20"/>
        <v>-2420</v>
      </c>
      <c r="AA45" s="251">
        <f t="shared" si="20"/>
        <v>-2420</v>
      </c>
      <c r="AB45" s="251">
        <f t="shared" si="20"/>
        <v>-2420</v>
      </c>
      <c r="AC45" s="251">
        <f t="shared" si="20"/>
        <v>-2420</v>
      </c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60"/>
      <c r="BY45" s="253">
        <f t="shared" ref="BY45:BY48" si="21">SUM(E45:BX45)</f>
        <v>-213408.3333333334</v>
      </c>
      <c r="BZ45" s="597"/>
      <c r="CA45" s="222"/>
      <c r="CB45" s="248"/>
      <c r="CC45" s="597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</row>
    <row r="46" spans="1:138" ht="14.25" hidden="1" customHeight="1" outlineLevel="1">
      <c r="A46" s="505"/>
      <c r="B46" s="600"/>
      <c r="C46" s="249" t="s">
        <v>179</v>
      </c>
      <c r="D46" s="250" t="s">
        <v>223</v>
      </c>
      <c r="E46" s="251"/>
      <c r="F46" s="251"/>
      <c r="G46" s="251"/>
      <c r="H46" s="252">
        <f>-10188.2-65673</f>
        <v>-75861.2</v>
      </c>
      <c r="I46" s="252">
        <f>-6776</f>
        <v>-6776</v>
      </c>
      <c r="J46" s="252"/>
      <c r="K46" s="252">
        <f>-Businessplan_prodej!$F$69*0.3*1.21</f>
        <v>-35336.31</v>
      </c>
      <c r="L46" s="252"/>
      <c r="M46" s="252"/>
      <c r="N46" s="252"/>
      <c r="O46" s="252"/>
      <c r="P46" s="252">
        <f>-Businessplan_prodej!$F$69*0.2*1.21</f>
        <v>-23557.54</v>
      </c>
      <c r="Q46" s="252"/>
      <c r="R46" s="252"/>
      <c r="S46" s="252"/>
      <c r="T46" s="252"/>
      <c r="U46" s="251"/>
      <c r="V46" s="251"/>
      <c r="W46" s="251"/>
      <c r="X46" s="251"/>
      <c r="Y46" s="251"/>
      <c r="Z46" s="251"/>
      <c r="AA46" s="251"/>
      <c r="AB46" s="251"/>
      <c r="AC46" s="252">
        <f>-Businessplan_prodej!$F$69*0.5*1.21</f>
        <v>-58893.85</v>
      </c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60"/>
      <c r="BY46" s="253">
        <f t="shared" si="21"/>
        <v>-200424.9</v>
      </c>
      <c r="BZ46" s="597"/>
      <c r="CA46" s="222"/>
      <c r="CB46" s="248"/>
      <c r="CC46" s="597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22"/>
      <c r="DJ46" s="222"/>
      <c r="DK46" s="222"/>
      <c r="DL46" s="222"/>
      <c r="DM46" s="222"/>
      <c r="DN46" s="222"/>
      <c r="DO46" s="222"/>
      <c r="DP46" s="222"/>
      <c r="DQ46" s="222"/>
      <c r="DR46" s="222"/>
      <c r="DS46" s="222"/>
      <c r="DT46" s="222"/>
      <c r="DU46" s="222"/>
      <c r="DV46" s="222"/>
      <c r="DW46" s="222"/>
      <c r="DX46" s="222"/>
      <c r="DY46" s="222"/>
      <c r="DZ46" s="222"/>
      <c r="EA46" s="222"/>
      <c r="EB46" s="222"/>
      <c r="EC46" s="222"/>
      <c r="ED46" s="222"/>
      <c r="EE46" s="222"/>
      <c r="EF46" s="222"/>
      <c r="EG46" s="222"/>
      <c r="EH46" s="222"/>
    </row>
    <row r="47" spans="1:138" ht="14.25" hidden="1" customHeight="1" outlineLevel="1">
      <c r="A47" s="505"/>
      <c r="B47" s="600"/>
      <c r="C47" s="249" t="s">
        <v>180</v>
      </c>
      <c r="D47" s="250" t="s">
        <v>223</v>
      </c>
      <c r="E47" s="251"/>
      <c r="F47" s="251"/>
      <c r="G47" s="251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60"/>
      <c r="BY47" s="253">
        <f t="shared" si="21"/>
        <v>0</v>
      </c>
      <c r="BZ47" s="597"/>
      <c r="CA47" s="222"/>
      <c r="CB47" s="248"/>
      <c r="CC47" s="597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/>
      <c r="DU47" s="222"/>
      <c r="DV47" s="222"/>
      <c r="DW47" s="222"/>
      <c r="DX47" s="222"/>
      <c r="DY47" s="222"/>
      <c r="DZ47" s="222"/>
      <c r="EA47" s="222"/>
      <c r="EB47" s="222"/>
      <c r="EC47" s="222"/>
      <c r="ED47" s="222"/>
      <c r="EE47" s="222"/>
      <c r="EF47" s="222"/>
      <c r="EG47" s="222"/>
      <c r="EH47" s="222"/>
    </row>
    <row r="48" spans="1:138" ht="14.25" hidden="1" customHeight="1" outlineLevel="1">
      <c r="A48" s="505"/>
      <c r="B48" s="600"/>
      <c r="C48" s="249" t="s">
        <v>181</v>
      </c>
      <c r="D48" s="254" t="s">
        <v>223</v>
      </c>
      <c r="E48" s="251"/>
      <c r="F48" s="251"/>
      <c r="G48" s="251"/>
      <c r="H48" s="252"/>
      <c r="I48" s="252"/>
      <c r="J48" s="252"/>
      <c r="K48" s="252">
        <f>-((17529*2*25.2+44407*2)*1.21)*75%</f>
        <v>-882340.10700000008</v>
      </c>
      <c r="L48" s="252"/>
      <c r="M48" s="252"/>
      <c r="N48" s="252"/>
      <c r="O48" s="252">
        <f>-((17529*2*25.2+44407*2)*1.21)*25%</f>
        <v>-294113.36900000001</v>
      </c>
      <c r="P48" s="252"/>
      <c r="Q48" s="252"/>
      <c r="R48" s="252"/>
      <c r="S48" s="252"/>
      <c r="T48" s="252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60"/>
      <c r="BY48" s="253">
        <f t="shared" si="21"/>
        <v>-1176453.476</v>
      </c>
      <c r="BZ48" s="597"/>
      <c r="CA48" s="222"/>
      <c r="CB48" s="248"/>
      <c r="CC48" s="597"/>
      <c r="CD48" s="222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2"/>
      <c r="CV48" s="222"/>
      <c r="CW48" s="222"/>
      <c r="CX48" s="222"/>
      <c r="CY48" s="222"/>
      <c r="CZ48" s="222"/>
      <c r="DA48" s="222"/>
      <c r="DB48" s="222"/>
      <c r="DC48" s="222"/>
      <c r="DD48" s="222"/>
      <c r="DE48" s="222"/>
      <c r="DF48" s="222"/>
      <c r="DG48" s="222"/>
      <c r="DH48" s="222"/>
      <c r="DI48" s="222"/>
      <c r="DJ48" s="222"/>
      <c r="DK48" s="222"/>
      <c r="DL48" s="222"/>
      <c r="DM48" s="222"/>
      <c r="DN48" s="222"/>
      <c r="DO48" s="222"/>
      <c r="DP48" s="222"/>
      <c r="DQ48" s="222"/>
      <c r="DR48" s="222"/>
      <c r="DS48" s="222"/>
      <c r="DT48" s="222"/>
      <c r="DU48" s="222"/>
      <c r="DV48" s="222"/>
      <c r="DW48" s="222"/>
      <c r="DX48" s="222"/>
      <c r="DY48" s="222"/>
      <c r="DZ48" s="222"/>
      <c r="EA48" s="222"/>
      <c r="EB48" s="222"/>
      <c r="EC48" s="222"/>
      <c r="ED48" s="222"/>
      <c r="EE48" s="222"/>
      <c r="EF48" s="222"/>
      <c r="EG48" s="222"/>
      <c r="EH48" s="222"/>
    </row>
    <row r="49" spans="1:138" ht="15.95">
      <c r="A49" s="505"/>
      <c r="B49" s="600"/>
      <c r="C49" s="244" t="s">
        <v>245</v>
      </c>
      <c r="D49" s="245"/>
      <c r="E49" s="246">
        <f t="shared" ref="E49:BX49" si="22">SUM(E50:E54)</f>
        <v>0</v>
      </c>
      <c r="F49" s="246">
        <f t="shared" si="22"/>
        <v>0</v>
      </c>
      <c r="G49" s="246">
        <f t="shared" si="22"/>
        <v>0</v>
      </c>
      <c r="H49" s="246">
        <f t="shared" si="22"/>
        <v>-1442.155</v>
      </c>
      <c r="I49" s="246">
        <f t="shared" si="22"/>
        <v>-4792.1949999999997</v>
      </c>
      <c r="J49" s="246">
        <f t="shared" si="22"/>
        <v>-1444.855</v>
      </c>
      <c r="K49" s="246">
        <f t="shared" si="22"/>
        <v>-102076.35291666667</v>
      </c>
      <c r="L49" s="246">
        <f t="shared" si="22"/>
        <v>-2076.3529166666667</v>
      </c>
      <c r="M49" s="246">
        <f t="shared" si="22"/>
        <v>-2076.3529166666667</v>
      </c>
      <c r="N49" s="246">
        <f t="shared" si="22"/>
        <v>-2076.3529166666667</v>
      </c>
      <c r="O49" s="246">
        <f t="shared" si="22"/>
        <v>-2076.3529166666667</v>
      </c>
      <c r="P49" s="246">
        <f t="shared" si="22"/>
        <v>-2076.3529166666667</v>
      </c>
      <c r="Q49" s="246">
        <f t="shared" si="22"/>
        <v>-2076.3529166666667</v>
      </c>
      <c r="R49" s="246">
        <f t="shared" si="22"/>
        <v>-2076.3529166666667</v>
      </c>
      <c r="S49" s="246">
        <f t="shared" si="22"/>
        <v>-2076.3529166666667</v>
      </c>
      <c r="T49" s="246">
        <f t="shared" si="22"/>
        <v>-2076.3529166666667</v>
      </c>
      <c r="U49" s="246">
        <f t="shared" si="22"/>
        <v>-2076.3529166666667</v>
      </c>
      <c r="V49" s="246">
        <f t="shared" si="22"/>
        <v>-2076.3529166666667</v>
      </c>
      <c r="W49" s="246">
        <f t="shared" si="22"/>
        <v>-2076.3529166666667</v>
      </c>
      <c r="X49" s="246">
        <f t="shared" si="22"/>
        <v>-2076.3529166666667</v>
      </c>
      <c r="Y49" s="246">
        <f t="shared" si="22"/>
        <v>-2076.3529166666667</v>
      </c>
      <c r="Z49" s="246">
        <f t="shared" si="22"/>
        <v>-2076.3529166666667</v>
      </c>
      <c r="AA49" s="246">
        <f t="shared" si="22"/>
        <v>-2076.3529166666667</v>
      </c>
      <c r="AB49" s="246">
        <f t="shared" si="22"/>
        <v>-2076.3529166666667</v>
      </c>
      <c r="AC49" s="246">
        <f t="shared" si="22"/>
        <v>-2076.3529166666667</v>
      </c>
      <c r="AD49" s="246">
        <f t="shared" si="22"/>
        <v>0</v>
      </c>
      <c r="AE49" s="246">
        <f t="shared" si="22"/>
        <v>0</v>
      </c>
      <c r="AF49" s="246">
        <f t="shared" si="22"/>
        <v>0</v>
      </c>
      <c r="AG49" s="246">
        <f t="shared" si="22"/>
        <v>0</v>
      </c>
      <c r="AH49" s="246">
        <f t="shared" si="22"/>
        <v>0</v>
      </c>
      <c r="AI49" s="246">
        <f t="shared" si="22"/>
        <v>0</v>
      </c>
      <c r="AJ49" s="246">
        <f t="shared" si="22"/>
        <v>0</v>
      </c>
      <c r="AK49" s="246">
        <f t="shared" si="22"/>
        <v>0</v>
      </c>
      <c r="AL49" s="246">
        <f t="shared" si="22"/>
        <v>0</v>
      </c>
      <c r="AM49" s="246">
        <f t="shared" si="22"/>
        <v>0</v>
      </c>
      <c r="AN49" s="246">
        <f t="shared" si="22"/>
        <v>0</v>
      </c>
      <c r="AO49" s="246">
        <f t="shared" si="22"/>
        <v>0</v>
      </c>
      <c r="AP49" s="246">
        <f t="shared" si="22"/>
        <v>0</v>
      </c>
      <c r="AQ49" s="246">
        <f t="shared" si="22"/>
        <v>0</v>
      </c>
      <c r="AR49" s="246">
        <f t="shared" si="22"/>
        <v>0</v>
      </c>
      <c r="AS49" s="246">
        <f t="shared" si="22"/>
        <v>0</v>
      </c>
      <c r="AT49" s="246">
        <f t="shared" si="22"/>
        <v>0</v>
      </c>
      <c r="AU49" s="246">
        <f t="shared" si="22"/>
        <v>0</v>
      </c>
      <c r="AV49" s="246">
        <f t="shared" si="22"/>
        <v>0</v>
      </c>
      <c r="AW49" s="246">
        <f t="shared" si="22"/>
        <v>0</v>
      </c>
      <c r="AX49" s="246">
        <f t="shared" si="22"/>
        <v>0</v>
      </c>
      <c r="AY49" s="246">
        <f t="shared" si="22"/>
        <v>0</v>
      </c>
      <c r="AZ49" s="246">
        <f t="shared" si="22"/>
        <v>0</v>
      </c>
      <c r="BA49" s="246">
        <f t="shared" si="22"/>
        <v>0</v>
      </c>
      <c r="BB49" s="246">
        <f t="shared" si="22"/>
        <v>0</v>
      </c>
      <c r="BC49" s="246">
        <f t="shared" si="22"/>
        <v>0</v>
      </c>
      <c r="BD49" s="246">
        <f t="shared" si="22"/>
        <v>0</v>
      </c>
      <c r="BE49" s="246">
        <f t="shared" si="22"/>
        <v>0</v>
      </c>
      <c r="BF49" s="246">
        <f t="shared" si="22"/>
        <v>0</v>
      </c>
      <c r="BG49" s="246">
        <f t="shared" si="22"/>
        <v>0</v>
      </c>
      <c r="BH49" s="246">
        <f t="shared" si="22"/>
        <v>0</v>
      </c>
      <c r="BI49" s="246">
        <f t="shared" si="22"/>
        <v>0</v>
      </c>
      <c r="BJ49" s="246">
        <f t="shared" si="22"/>
        <v>0</v>
      </c>
      <c r="BK49" s="246">
        <f t="shared" si="22"/>
        <v>0</v>
      </c>
      <c r="BL49" s="246">
        <f t="shared" si="22"/>
        <v>0</v>
      </c>
      <c r="BM49" s="246">
        <f t="shared" si="22"/>
        <v>0</v>
      </c>
      <c r="BN49" s="246">
        <f t="shared" si="22"/>
        <v>0</v>
      </c>
      <c r="BO49" s="246">
        <f t="shared" si="22"/>
        <v>0</v>
      </c>
      <c r="BP49" s="246">
        <f t="shared" si="22"/>
        <v>0</v>
      </c>
      <c r="BQ49" s="246">
        <f t="shared" si="22"/>
        <v>0</v>
      </c>
      <c r="BR49" s="246">
        <f t="shared" si="22"/>
        <v>0</v>
      </c>
      <c r="BS49" s="246">
        <f t="shared" si="22"/>
        <v>0</v>
      </c>
      <c r="BT49" s="246">
        <f t="shared" si="22"/>
        <v>0</v>
      </c>
      <c r="BU49" s="246">
        <f t="shared" si="22"/>
        <v>0</v>
      </c>
      <c r="BV49" s="246">
        <f t="shared" si="22"/>
        <v>0</v>
      </c>
      <c r="BW49" s="246">
        <f t="shared" si="22"/>
        <v>0</v>
      </c>
      <c r="BX49" s="246">
        <f t="shared" si="22"/>
        <v>0</v>
      </c>
      <c r="BY49" s="248">
        <f>SUM(BY50:BY54)</f>
        <v>-147129.91041666668</v>
      </c>
      <c r="BZ49" s="597"/>
      <c r="CA49" s="222"/>
      <c r="CB49" s="248"/>
      <c r="CC49" s="597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2"/>
      <c r="DE49" s="222"/>
      <c r="DF49" s="222"/>
      <c r="DG49" s="222"/>
      <c r="DH49" s="222"/>
      <c r="DI49" s="222"/>
      <c r="DJ49" s="222"/>
      <c r="DK49" s="222"/>
      <c r="DL49" s="222"/>
      <c r="DM49" s="222"/>
      <c r="DN49" s="222"/>
      <c r="DO49" s="222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2"/>
      <c r="EA49" s="222"/>
      <c r="EB49" s="222"/>
      <c r="EC49" s="222"/>
      <c r="ED49" s="222"/>
      <c r="EE49" s="222"/>
      <c r="EF49" s="222"/>
      <c r="EG49" s="222"/>
      <c r="EH49" s="222"/>
    </row>
    <row r="50" spans="1:138" ht="15.95" outlineLevel="1">
      <c r="A50" s="505"/>
      <c r="B50" s="600"/>
      <c r="C50" s="249" t="s">
        <v>183</v>
      </c>
      <c r="D50" s="250" t="s">
        <v>223</v>
      </c>
      <c r="E50" s="251"/>
      <c r="F50" s="251"/>
      <c r="G50" s="251"/>
      <c r="H50" s="252"/>
      <c r="I50" s="252"/>
      <c r="J50" s="252"/>
      <c r="K50" s="252">
        <f>-Businessplan_prodej!$F$98</f>
        <v>-100000</v>
      </c>
      <c r="L50" s="252"/>
      <c r="M50" s="252"/>
      <c r="N50" s="252"/>
      <c r="O50" s="252"/>
      <c r="P50" s="252"/>
      <c r="Q50" s="252"/>
      <c r="R50" s="252"/>
      <c r="S50" s="252"/>
      <c r="T50" s="252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60"/>
      <c r="BY50" s="253">
        <f t="shared" ref="BY50:BY54" si="23">SUM(E50:BX50)</f>
        <v>-100000</v>
      </c>
      <c r="BZ50" s="597"/>
      <c r="CA50" s="222"/>
      <c r="CB50" s="248"/>
      <c r="CC50" s="597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22"/>
      <c r="DH50" s="222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</row>
    <row r="51" spans="1:138" ht="15.95" outlineLevel="1">
      <c r="A51" s="505"/>
      <c r="B51" s="600"/>
      <c r="C51" s="249" t="s">
        <v>246</v>
      </c>
      <c r="D51" s="250" t="s">
        <v>223</v>
      </c>
      <c r="E51" s="251"/>
      <c r="F51" s="251"/>
      <c r="G51" s="251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60"/>
      <c r="BY51" s="253">
        <f t="shared" si="23"/>
        <v>0</v>
      </c>
      <c r="BZ51" s="597"/>
      <c r="CA51" s="222"/>
      <c r="CB51" s="248"/>
      <c r="CC51" s="597"/>
      <c r="CD51" s="222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222"/>
      <c r="DJ51" s="222"/>
      <c r="DK51" s="222"/>
      <c r="DL51" s="222"/>
      <c r="DM51" s="222"/>
      <c r="DN51" s="222"/>
      <c r="DO51" s="222"/>
      <c r="DP51" s="222"/>
      <c r="DQ51" s="222"/>
      <c r="DR51" s="222"/>
      <c r="DS51" s="222"/>
      <c r="DT51" s="222"/>
      <c r="DU51" s="222"/>
      <c r="DV51" s="222"/>
      <c r="DW51" s="222"/>
      <c r="DX51" s="222"/>
      <c r="DY51" s="222"/>
      <c r="DZ51" s="222"/>
      <c r="EA51" s="222"/>
      <c r="EB51" s="222"/>
      <c r="EC51" s="222"/>
      <c r="ED51" s="222"/>
      <c r="EE51" s="222"/>
      <c r="EF51" s="222"/>
      <c r="EG51" s="222"/>
      <c r="EH51" s="222"/>
    </row>
    <row r="52" spans="1:138" ht="15.95" outlineLevel="1">
      <c r="A52" s="505"/>
      <c r="B52" s="600"/>
      <c r="C52" s="249" t="s">
        <v>247</v>
      </c>
      <c r="D52" s="250" t="s">
        <v>223</v>
      </c>
      <c r="E52" s="251"/>
      <c r="F52" s="251"/>
      <c r="G52" s="251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60"/>
      <c r="BY52" s="253">
        <f t="shared" si="23"/>
        <v>0</v>
      </c>
      <c r="BZ52" s="597"/>
      <c r="CA52" s="222"/>
      <c r="CB52" s="248"/>
      <c r="CC52" s="597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</row>
    <row r="53" spans="1:138" ht="15.95" outlineLevel="1">
      <c r="A53" s="505"/>
      <c r="B53" s="600"/>
      <c r="C53" s="249" t="s">
        <v>189</v>
      </c>
      <c r="D53" s="250" t="s">
        <v>223</v>
      </c>
      <c r="E53" s="251"/>
      <c r="F53" s="251"/>
      <c r="G53" s="251"/>
      <c r="H53" s="252">
        <f>-3-12-5-200-2-12-400-36-(0.02+0.09+0.21+17.06)*22-15.91*24.5</f>
        <v>-1442.155</v>
      </c>
      <c r="I53" s="252">
        <f>-6-5-200-12-400-24-2-16.19*24.5-17.57*22</f>
        <v>-1432.1949999999999</v>
      </c>
      <c r="J53" s="252">
        <f>-3-32-5-6-200-15-400-2-(0.01+0.08+15.98+0.2)*24.5-(0.02+0.09+0.21+17.1)*22</f>
        <v>-1444.855</v>
      </c>
      <c r="K53" s="252">
        <f>-Businessplan_prodej!$F$102/12</f>
        <v>-2076.3529166666667</v>
      </c>
      <c r="L53" s="252">
        <f>-Businessplan_prodej!$F$102/12</f>
        <v>-2076.3529166666667</v>
      </c>
      <c r="M53" s="252">
        <f>-Businessplan_prodej!$F$102/12</f>
        <v>-2076.3529166666667</v>
      </c>
      <c r="N53" s="252">
        <f>-Businessplan_prodej!$F$102/12</f>
        <v>-2076.3529166666667</v>
      </c>
      <c r="O53" s="252">
        <f>-Businessplan_prodej!$F$102/12</f>
        <v>-2076.3529166666667</v>
      </c>
      <c r="P53" s="252">
        <f>-Businessplan_prodej!$F$102/12</f>
        <v>-2076.3529166666667</v>
      </c>
      <c r="Q53" s="252">
        <f>-Businessplan_prodej!$F$102/12</f>
        <v>-2076.3529166666667</v>
      </c>
      <c r="R53" s="252">
        <f>-Businessplan_prodej!$F$102/12</f>
        <v>-2076.3529166666667</v>
      </c>
      <c r="S53" s="252">
        <f>-Businessplan_prodej!$F$102/12</f>
        <v>-2076.3529166666667</v>
      </c>
      <c r="T53" s="252">
        <f>-Businessplan_prodej!$F$102/12</f>
        <v>-2076.3529166666667</v>
      </c>
      <c r="U53" s="252">
        <f>-Businessplan_prodej!$F$102/12</f>
        <v>-2076.3529166666667</v>
      </c>
      <c r="V53" s="252">
        <f>-Businessplan_prodej!$F$102/12</f>
        <v>-2076.3529166666667</v>
      </c>
      <c r="W53" s="252">
        <f>-Businessplan_prodej!$F$102/12</f>
        <v>-2076.3529166666667</v>
      </c>
      <c r="X53" s="252">
        <f>-Businessplan_prodej!$F$102/12</f>
        <v>-2076.3529166666667</v>
      </c>
      <c r="Y53" s="252">
        <f>-Businessplan_prodej!$F$102/12</f>
        <v>-2076.3529166666667</v>
      </c>
      <c r="Z53" s="252">
        <f>-Businessplan_prodej!$F$102/12</f>
        <v>-2076.3529166666667</v>
      </c>
      <c r="AA53" s="252">
        <f>-Businessplan_prodej!$F$102/12</f>
        <v>-2076.3529166666667</v>
      </c>
      <c r="AB53" s="252">
        <f>-Businessplan_prodej!$F$102/12</f>
        <v>-2076.3529166666667</v>
      </c>
      <c r="AC53" s="252">
        <f>-Businessplan_prodej!$F$102/12</f>
        <v>-2076.3529166666667</v>
      </c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60"/>
      <c r="BY53" s="253">
        <f t="shared" si="23"/>
        <v>-43769.91041666668</v>
      </c>
      <c r="BZ53" s="597"/>
      <c r="CA53" s="222"/>
      <c r="CB53" s="248"/>
      <c r="CC53" s="597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</row>
    <row r="54" spans="1:138" ht="15.95" outlineLevel="1">
      <c r="A54" s="505"/>
      <c r="B54" s="600"/>
      <c r="C54" s="249" t="s">
        <v>190</v>
      </c>
      <c r="D54" s="254" t="s">
        <v>223</v>
      </c>
      <c r="E54" s="255"/>
      <c r="F54" s="255"/>
      <c r="G54" s="251"/>
      <c r="H54" s="252"/>
      <c r="I54" s="252">
        <f>-3360</f>
        <v>-3360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60"/>
      <c r="BY54" s="253">
        <f t="shared" si="23"/>
        <v>-3360</v>
      </c>
      <c r="BZ54" s="597"/>
      <c r="CA54" s="222"/>
      <c r="CB54" s="248"/>
      <c r="CC54" s="597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</row>
    <row r="55" spans="1:138" ht="15.95">
      <c r="A55" s="505"/>
      <c r="B55" s="600"/>
      <c r="C55" s="244" t="s">
        <v>248</v>
      </c>
      <c r="D55" s="245"/>
      <c r="E55" s="246">
        <f t="shared" ref="E55:BX55" si="24">SUM(E56:E62)</f>
        <v>0</v>
      </c>
      <c r="F55" s="246">
        <f t="shared" si="24"/>
        <v>0</v>
      </c>
      <c r="G55" s="246">
        <f t="shared" si="24"/>
        <v>0</v>
      </c>
      <c r="H55" s="246">
        <f t="shared" si="24"/>
        <v>0</v>
      </c>
      <c r="I55" s="246">
        <f t="shared" si="24"/>
        <v>0</v>
      </c>
      <c r="J55" s="246">
        <f t="shared" si="24"/>
        <v>0</v>
      </c>
      <c r="K55" s="246">
        <f t="shared" si="24"/>
        <v>0</v>
      </c>
      <c r="L55" s="246">
        <f t="shared" si="24"/>
        <v>-8112.5</v>
      </c>
      <c r="M55" s="246">
        <f t="shared" si="24"/>
        <v>-165083.33333333334</v>
      </c>
      <c r="N55" s="246">
        <f t="shared" si="24"/>
        <v>-215833.33333333337</v>
      </c>
      <c r="O55" s="246">
        <f t="shared" si="24"/>
        <v>-271833.33333333337</v>
      </c>
      <c r="P55" s="246">
        <f t="shared" si="24"/>
        <v>-278614</v>
      </c>
      <c r="Q55" s="246">
        <f t="shared" si="24"/>
        <v>-265141.03583333333</v>
      </c>
      <c r="R55" s="246">
        <f t="shared" si="24"/>
        <v>-265141.03583333333</v>
      </c>
      <c r="S55" s="246">
        <f t="shared" si="24"/>
        <v>-265141.03583333333</v>
      </c>
      <c r="T55" s="246">
        <f t="shared" si="24"/>
        <v>-265141.03583333333</v>
      </c>
      <c r="U55" s="246">
        <f t="shared" si="24"/>
        <v>-265141.03583333333</v>
      </c>
      <c r="V55" s="246">
        <f t="shared" si="24"/>
        <v>-265141.03583333333</v>
      </c>
      <c r="W55" s="246">
        <f t="shared" si="24"/>
        <v>-265141.03583333333</v>
      </c>
      <c r="X55" s="246">
        <f t="shared" si="24"/>
        <v>-265141.03583333333</v>
      </c>
      <c r="Y55" s="246">
        <f t="shared" si="24"/>
        <v>-265141.03583333333</v>
      </c>
      <c r="Z55" s="246">
        <f t="shared" si="24"/>
        <v>-265141.03583333333</v>
      </c>
      <c r="AA55" s="246">
        <f t="shared" si="24"/>
        <v>-265141.03583333333</v>
      </c>
      <c r="AB55" s="246">
        <f t="shared" si="24"/>
        <v>-265141.03583333333</v>
      </c>
      <c r="AC55" s="246">
        <f t="shared" si="24"/>
        <v>-1750141.0358333334</v>
      </c>
      <c r="AD55" s="246">
        <f t="shared" si="24"/>
        <v>0</v>
      </c>
      <c r="AE55" s="246">
        <f t="shared" si="24"/>
        <v>0</v>
      </c>
      <c r="AF55" s="246">
        <f t="shared" si="24"/>
        <v>0</v>
      </c>
      <c r="AG55" s="246">
        <f t="shared" si="24"/>
        <v>0</v>
      </c>
      <c r="AH55" s="246">
        <f t="shared" si="24"/>
        <v>0</v>
      </c>
      <c r="AI55" s="246">
        <f t="shared" si="24"/>
        <v>0</v>
      </c>
      <c r="AJ55" s="246">
        <f t="shared" si="24"/>
        <v>0</v>
      </c>
      <c r="AK55" s="246">
        <f t="shared" si="24"/>
        <v>0</v>
      </c>
      <c r="AL55" s="246">
        <f t="shared" si="24"/>
        <v>0</v>
      </c>
      <c r="AM55" s="246">
        <f t="shared" si="24"/>
        <v>0</v>
      </c>
      <c r="AN55" s="246">
        <f t="shared" si="24"/>
        <v>0</v>
      </c>
      <c r="AO55" s="246">
        <f t="shared" si="24"/>
        <v>0</v>
      </c>
      <c r="AP55" s="246">
        <f t="shared" si="24"/>
        <v>0</v>
      </c>
      <c r="AQ55" s="246">
        <f t="shared" si="24"/>
        <v>0</v>
      </c>
      <c r="AR55" s="246">
        <f t="shared" si="24"/>
        <v>0</v>
      </c>
      <c r="AS55" s="246">
        <f t="shared" si="24"/>
        <v>0</v>
      </c>
      <c r="AT55" s="246">
        <f t="shared" si="24"/>
        <v>0</v>
      </c>
      <c r="AU55" s="246">
        <f t="shared" si="24"/>
        <v>0</v>
      </c>
      <c r="AV55" s="246">
        <f t="shared" si="24"/>
        <v>0</v>
      </c>
      <c r="AW55" s="246">
        <f t="shared" si="24"/>
        <v>0</v>
      </c>
      <c r="AX55" s="246">
        <f t="shared" si="24"/>
        <v>0</v>
      </c>
      <c r="AY55" s="246">
        <f t="shared" si="24"/>
        <v>0</v>
      </c>
      <c r="AZ55" s="246">
        <f t="shared" si="24"/>
        <v>0</v>
      </c>
      <c r="BA55" s="246">
        <f t="shared" si="24"/>
        <v>0</v>
      </c>
      <c r="BB55" s="246">
        <f t="shared" si="24"/>
        <v>0</v>
      </c>
      <c r="BC55" s="246">
        <f t="shared" si="24"/>
        <v>0</v>
      </c>
      <c r="BD55" s="246">
        <f t="shared" si="24"/>
        <v>0</v>
      </c>
      <c r="BE55" s="246">
        <f t="shared" si="24"/>
        <v>0</v>
      </c>
      <c r="BF55" s="246">
        <f t="shared" si="24"/>
        <v>0</v>
      </c>
      <c r="BG55" s="246">
        <f t="shared" si="24"/>
        <v>0</v>
      </c>
      <c r="BH55" s="246">
        <f t="shared" si="24"/>
        <v>0</v>
      </c>
      <c r="BI55" s="246">
        <f t="shared" si="24"/>
        <v>0</v>
      </c>
      <c r="BJ55" s="246">
        <f t="shared" si="24"/>
        <v>0</v>
      </c>
      <c r="BK55" s="246">
        <f t="shared" si="24"/>
        <v>0</v>
      </c>
      <c r="BL55" s="246">
        <f t="shared" si="24"/>
        <v>0</v>
      </c>
      <c r="BM55" s="246">
        <f t="shared" si="24"/>
        <v>0</v>
      </c>
      <c r="BN55" s="246">
        <f t="shared" si="24"/>
        <v>0</v>
      </c>
      <c r="BO55" s="246">
        <f t="shared" si="24"/>
        <v>0</v>
      </c>
      <c r="BP55" s="246">
        <f t="shared" si="24"/>
        <v>0</v>
      </c>
      <c r="BQ55" s="246">
        <f t="shared" si="24"/>
        <v>0</v>
      </c>
      <c r="BR55" s="246">
        <f t="shared" si="24"/>
        <v>0</v>
      </c>
      <c r="BS55" s="246">
        <f t="shared" si="24"/>
        <v>0</v>
      </c>
      <c r="BT55" s="246">
        <f t="shared" si="24"/>
        <v>0</v>
      </c>
      <c r="BU55" s="246">
        <f t="shared" si="24"/>
        <v>0</v>
      </c>
      <c r="BV55" s="246">
        <f t="shared" si="24"/>
        <v>0</v>
      </c>
      <c r="BW55" s="246">
        <f t="shared" si="24"/>
        <v>0</v>
      </c>
      <c r="BX55" s="246">
        <f t="shared" si="24"/>
        <v>0</v>
      </c>
      <c r="BY55" s="248">
        <f>SUM(BY56:BY62)</f>
        <v>-5871309.9658333324</v>
      </c>
      <c r="BZ55" s="597"/>
      <c r="CA55" s="222"/>
      <c r="CB55" s="248"/>
      <c r="CC55" s="597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222"/>
      <c r="DJ55" s="222"/>
      <c r="DK55" s="222"/>
      <c r="DL55" s="222"/>
      <c r="DM55" s="222"/>
      <c r="DN55" s="222"/>
      <c r="DO55" s="222"/>
      <c r="DP55" s="222"/>
      <c r="DQ55" s="222"/>
      <c r="DR55" s="222"/>
      <c r="DS55" s="222"/>
      <c r="DT55" s="222"/>
      <c r="DU55" s="222"/>
      <c r="DV55" s="222"/>
      <c r="DW55" s="222"/>
      <c r="DX55" s="222"/>
      <c r="DY55" s="222"/>
      <c r="DZ55" s="222"/>
      <c r="EA55" s="222"/>
      <c r="EB55" s="222"/>
      <c r="EC55" s="222"/>
      <c r="ED55" s="222"/>
      <c r="EE55" s="222"/>
      <c r="EF55" s="222"/>
      <c r="EG55" s="222"/>
      <c r="EH55" s="222"/>
    </row>
    <row r="56" spans="1:138" ht="15.95" outlineLevel="1">
      <c r="A56" s="505"/>
      <c r="B56" s="600"/>
      <c r="C56" s="249" t="s">
        <v>249</v>
      </c>
      <c r="D56" s="275">
        <v>0</v>
      </c>
      <c r="E56" s="251"/>
      <c r="F56" s="251"/>
      <c r="G56" s="251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53">
        <f t="shared" ref="BY56:BY62" si="25">SUM(E56:BX56)</f>
        <v>0</v>
      </c>
      <c r="BZ56" s="597"/>
      <c r="CA56" s="222"/>
      <c r="CB56" s="248"/>
      <c r="CC56" s="597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</row>
    <row r="57" spans="1:138" ht="15.95" outlineLevel="1">
      <c r="A57" s="505"/>
      <c r="B57" s="600"/>
      <c r="C57" s="249" t="s">
        <v>250</v>
      </c>
      <c r="D57" s="275">
        <v>0.11</v>
      </c>
      <c r="E57" s="251"/>
      <c r="F57" s="251"/>
      <c r="G57" s="251"/>
      <c r="H57" s="252"/>
      <c r="I57" s="252"/>
      <c r="J57" s="252"/>
      <c r="K57" s="252"/>
      <c r="L57" s="252">
        <f>-K6*D57/12</f>
        <v>-8112.5</v>
      </c>
      <c r="M57" s="252"/>
      <c r="N57" s="252"/>
      <c r="O57" s="252"/>
      <c r="P57" s="252"/>
      <c r="Q57" s="252"/>
      <c r="R57" s="252"/>
      <c r="S57" s="252"/>
      <c r="T57" s="252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53">
        <f t="shared" si="25"/>
        <v>-8112.5</v>
      </c>
      <c r="BZ57" s="597"/>
      <c r="CA57" s="222"/>
      <c r="CB57" s="248"/>
      <c r="CC57" s="597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</row>
    <row r="58" spans="1:138" ht="15.95" outlineLevel="1">
      <c r="A58" s="505"/>
      <c r="B58" s="600"/>
      <c r="C58" s="249" t="s">
        <v>251</v>
      </c>
      <c r="D58" s="275">
        <v>0.11</v>
      </c>
      <c r="E58" s="251"/>
      <c r="F58" s="251"/>
      <c r="G58" s="251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1"/>
      <c r="V58" s="251"/>
      <c r="W58" s="251"/>
      <c r="X58" s="251"/>
      <c r="Y58" s="251"/>
      <c r="Z58" s="251"/>
      <c r="AA58" s="251"/>
      <c r="AB58" s="251"/>
      <c r="AC58" s="251">
        <f>-SUM('Interest Calc Cash-flow M 22.7.'!J14:J31)-'Interest Calc Cash-flow M 22.7.'!J31</f>
        <v>-1485000</v>
      </c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53">
        <f t="shared" si="25"/>
        <v>-1485000</v>
      </c>
      <c r="BZ58" s="597"/>
      <c r="CA58" s="222"/>
      <c r="CB58" s="248"/>
      <c r="CC58" s="597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</row>
    <row r="59" spans="1:138" ht="15.95" outlineLevel="1">
      <c r="A59" s="505"/>
      <c r="B59" s="600"/>
      <c r="C59" s="249" t="s">
        <v>252</v>
      </c>
      <c r="D59" s="275">
        <v>0.105</v>
      </c>
      <c r="E59" s="251"/>
      <c r="F59" s="251"/>
      <c r="G59" s="251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53">
        <f t="shared" si="25"/>
        <v>0</v>
      </c>
      <c r="BZ59" s="597"/>
      <c r="CA59" s="222"/>
      <c r="CB59" s="248"/>
      <c r="CC59" s="597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</row>
    <row r="60" spans="1:138" ht="15.95" outlineLevel="1">
      <c r="A60" s="505"/>
      <c r="B60" s="600"/>
      <c r="C60" s="249" t="s">
        <v>253</v>
      </c>
      <c r="D60" s="275">
        <v>0.15</v>
      </c>
      <c r="E60" s="251"/>
      <c r="F60" s="251"/>
      <c r="G60" s="251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53">
        <f t="shared" si="25"/>
        <v>0</v>
      </c>
      <c r="BZ60" s="597"/>
      <c r="CA60" s="222"/>
      <c r="CB60" s="248"/>
      <c r="CC60" s="597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</row>
    <row r="61" spans="1:138" ht="15.95" outlineLevel="1">
      <c r="A61" s="505"/>
      <c r="B61" s="600"/>
      <c r="C61" s="249" t="s">
        <v>328</v>
      </c>
      <c r="D61" s="279">
        <f>25%/12</f>
        <v>2.0833333333333332E-2</v>
      </c>
      <c r="E61" s="255"/>
      <c r="F61" s="255"/>
      <c r="G61" s="255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  <c r="BL61" s="251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53">
        <f t="shared" si="25"/>
        <v>0</v>
      </c>
      <c r="BZ61" s="597"/>
      <c r="CA61" s="222"/>
      <c r="CB61" s="248"/>
      <c r="CC61" s="597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</row>
    <row r="62" spans="1:138" ht="15.95" outlineLevel="1">
      <c r="A62" s="505"/>
      <c r="B62" s="600"/>
      <c r="C62" s="280" t="s">
        <v>255</v>
      </c>
      <c r="D62" s="281">
        <v>7.0000000000000007E-2</v>
      </c>
      <c r="E62" s="282"/>
      <c r="F62" s="282"/>
      <c r="G62" s="282"/>
      <c r="H62" s="283"/>
      <c r="I62" s="283"/>
      <c r="J62" s="283"/>
      <c r="K62" s="283"/>
      <c r="L62" s="283"/>
      <c r="M62" s="283">
        <v>-165083.33333333334</v>
      </c>
      <c r="N62" s="283">
        <v>-215833.33333333337</v>
      </c>
      <c r="O62" s="283">
        <v>-271833.33333333337</v>
      </c>
      <c r="P62" s="283">
        <f>-280000+1386</f>
        <v>-278614</v>
      </c>
      <c r="Q62" s="283">
        <f t="shared" ref="Q62:AC62" si="26">-SUM($K$11:Q11)*$D$62/12</f>
        <v>-265141.03583333333</v>
      </c>
      <c r="R62" s="283">
        <f t="shared" si="26"/>
        <v>-265141.03583333333</v>
      </c>
      <c r="S62" s="283">
        <f t="shared" si="26"/>
        <v>-265141.03583333333</v>
      </c>
      <c r="T62" s="283">
        <f t="shared" si="26"/>
        <v>-265141.03583333333</v>
      </c>
      <c r="U62" s="283">
        <f t="shared" si="26"/>
        <v>-265141.03583333333</v>
      </c>
      <c r="V62" s="283">
        <f t="shared" si="26"/>
        <v>-265141.03583333333</v>
      </c>
      <c r="W62" s="283">
        <f t="shared" si="26"/>
        <v>-265141.03583333333</v>
      </c>
      <c r="X62" s="283">
        <f t="shared" si="26"/>
        <v>-265141.03583333333</v>
      </c>
      <c r="Y62" s="283">
        <f t="shared" si="26"/>
        <v>-265141.03583333333</v>
      </c>
      <c r="Z62" s="283">
        <f t="shared" si="26"/>
        <v>-265141.03583333333</v>
      </c>
      <c r="AA62" s="283">
        <f t="shared" si="26"/>
        <v>-265141.03583333333</v>
      </c>
      <c r="AB62" s="283">
        <f t="shared" si="26"/>
        <v>-265141.03583333333</v>
      </c>
      <c r="AC62" s="283">
        <f t="shared" si="26"/>
        <v>-265141.03583333333</v>
      </c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4"/>
      <c r="BN62" s="284"/>
      <c r="BO62" s="284"/>
      <c r="BP62" s="284"/>
      <c r="BQ62" s="284"/>
      <c r="BR62" s="284"/>
      <c r="BS62" s="284"/>
      <c r="BT62" s="284"/>
      <c r="BU62" s="284"/>
      <c r="BV62" s="284"/>
      <c r="BW62" s="284"/>
      <c r="BX62" s="284"/>
      <c r="BY62" s="253">
        <f t="shared" si="25"/>
        <v>-4378197.4658333324</v>
      </c>
      <c r="BZ62" s="597"/>
      <c r="CA62" s="222"/>
      <c r="CB62" s="248"/>
      <c r="CC62" s="597"/>
      <c r="CD62" s="222"/>
      <c r="CE62" s="222"/>
      <c r="CF62" s="222"/>
      <c r="CG62" s="222"/>
      <c r="CH62" s="222"/>
      <c r="CI62" s="222"/>
      <c r="CJ62" s="222"/>
      <c r="CK62" s="222"/>
      <c r="CL62" s="222"/>
      <c r="CM62" s="222"/>
      <c r="CN62" s="222"/>
      <c r="CO62" s="222"/>
      <c r="CP62" s="222"/>
      <c r="CQ62" s="222"/>
      <c r="CR62" s="222"/>
      <c r="CS62" s="222"/>
      <c r="CT62" s="222"/>
      <c r="CU62" s="222"/>
      <c r="CV62" s="222"/>
      <c r="CW62" s="222"/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222"/>
      <c r="DT62" s="222"/>
      <c r="DU62" s="222"/>
      <c r="DV62" s="222"/>
      <c r="DW62" s="222"/>
      <c r="DX62" s="222"/>
      <c r="DY62" s="222"/>
      <c r="DZ62" s="222"/>
      <c r="EA62" s="222"/>
      <c r="EB62" s="222"/>
      <c r="EC62" s="222"/>
      <c r="ED62" s="222"/>
      <c r="EE62" s="222"/>
      <c r="EF62" s="222"/>
      <c r="EG62" s="222"/>
      <c r="EH62" s="222"/>
    </row>
    <row r="63" spans="1:138" ht="15.95" collapsed="1">
      <c r="A63" s="505"/>
      <c r="B63" s="600"/>
      <c r="C63" s="244" t="s">
        <v>256</v>
      </c>
      <c r="D63" s="245"/>
      <c r="E63" s="246">
        <f t="shared" ref="E63:BY63" si="27">SUM(E64:E86)</f>
        <v>0</v>
      </c>
      <c r="F63" s="246">
        <f t="shared" si="27"/>
        <v>0</v>
      </c>
      <c r="G63" s="246">
        <f t="shared" si="27"/>
        <v>0</v>
      </c>
      <c r="H63" s="246">
        <f t="shared" si="27"/>
        <v>0</v>
      </c>
      <c r="I63" s="246">
        <f t="shared" si="27"/>
        <v>0</v>
      </c>
      <c r="J63" s="246">
        <f t="shared" si="27"/>
        <v>0</v>
      </c>
      <c r="K63" s="246">
        <f t="shared" si="27"/>
        <v>0</v>
      </c>
      <c r="L63" s="246">
        <f t="shared" si="27"/>
        <v>0</v>
      </c>
      <c r="M63" s="246">
        <f t="shared" si="27"/>
        <v>0</v>
      </c>
      <c r="N63" s="246">
        <f t="shared" si="27"/>
        <v>0</v>
      </c>
      <c r="O63" s="246">
        <f t="shared" si="27"/>
        <v>0</v>
      </c>
      <c r="P63" s="246">
        <f t="shared" si="27"/>
        <v>0</v>
      </c>
      <c r="Q63" s="246">
        <f t="shared" si="27"/>
        <v>-98230.703999999983</v>
      </c>
      <c r="R63" s="246">
        <f t="shared" si="27"/>
        <v>-98230.703999999983</v>
      </c>
      <c r="S63" s="246">
        <f t="shared" si="27"/>
        <v>-98230.703999999983</v>
      </c>
      <c r="T63" s="246">
        <f t="shared" si="27"/>
        <v>-98230.703999999983</v>
      </c>
      <c r="U63" s="246">
        <f t="shared" si="27"/>
        <v>-98230.703999999983</v>
      </c>
      <c r="V63" s="246">
        <f t="shared" si="27"/>
        <v>-98230.703999999983</v>
      </c>
      <c r="W63" s="246">
        <f t="shared" si="27"/>
        <v>-98230.703999999983</v>
      </c>
      <c r="X63" s="246">
        <f t="shared" si="27"/>
        <v>-98230.703999999983</v>
      </c>
      <c r="Y63" s="246">
        <f t="shared" si="27"/>
        <v>-98230.703999999983</v>
      </c>
      <c r="Z63" s="246">
        <f t="shared" si="27"/>
        <v>-98230.703999999983</v>
      </c>
      <c r="AA63" s="246">
        <f t="shared" si="27"/>
        <v>-98230.703999999983</v>
      </c>
      <c r="AB63" s="246">
        <f t="shared" si="27"/>
        <v>-98230.703999999983</v>
      </c>
      <c r="AC63" s="246">
        <f t="shared" si="27"/>
        <v>-98230.703999999983</v>
      </c>
      <c r="AD63" s="246">
        <f t="shared" si="27"/>
        <v>0</v>
      </c>
      <c r="AE63" s="246">
        <f t="shared" si="27"/>
        <v>0</v>
      </c>
      <c r="AF63" s="246">
        <f t="shared" si="27"/>
        <v>0</v>
      </c>
      <c r="AG63" s="246">
        <f t="shared" si="27"/>
        <v>0</v>
      </c>
      <c r="AH63" s="246">
        <f t="shared" si="27"/>
        <v>0</v>
      </c>
      <c r="AI63" s="246">
        <f t="shared" si="27"/>
        <v>0</v>
      </c>
      <c r="AJ63" s="246">
        <f t="shared" si="27"/>
        <v>0</v>
      </c>
      <c r="AK63" s="246">
        <f t="shared" si="27"/>
        <v>0</v>
      </c>
      <c r="AL63" s="246">
        <f t="shared" si="27"/>
        <v>0</v>
      </c>
      <c r="AM63" s="246">
        <f t="shared" si="27"/>
        <v>0</v>
      </c>
      <c r="AN63" s="246">
        <f t="shared" si="27"/>
        <v>0</v>
      </c>
      <c r="AO63" s="246">
        <f t="shared" si="27"/>
        <v>0</v>
      </c>
      <c r="AP63" s="246">
        <f t="shared" si="27"/>
        <v>0</v>
      </c>
      <c r="AQ63" s="246">
        <f t="shared" si="27"/>
        <v>0</v>
      </c>
      <c r="AR63" s="246">
        <f t="shared" si="27"/>
        <v>0</v>
      </c>
      <c r="AS63" s="246">
        <f t="shared" si="27"/>
        <v>0</v>
      </c>
      <c r="AT63" s="246">
        <f t="shared" si="27"/>
        <v>0</v>
      </c>
      <c r="AU63" s="246">
        <f t="shared" si="27"/>
        <v>0</v>
      </c>
      <c r="AV63" s="246">
        <f t="shared" si="27"/>
        <v>0</v>
      </c>
      <c r="AW63" s="246">
        <f t="shared" si="27"/>
        <v>0</v>
      </c>
      <c r="AX63" s="246">
        <f t="shared" si="27"/>
        <v>0</v>
      </c>
      <c r="AY63" s="246">
        <f t="shared" si="27"/>
        <v>0</v>
      </c>
      <c r="AZ63" s="246">
        <f t="shared" si="27"/>
        <v>0</v>
      </c>
      <c r="BA63" s="246">
        <f t="shared" si="27"/>
        <v>0</v>
      </c>
      <c r="BB63" s="246">
        <f t="shared" si="27"/>
        <v>0</v>
      </c>
      <c r="BC63" s="246">
        <f t="shared" si="27"/>
        <v>0</v>
      </c>
      <c r="BD63" s="246">
        <f t="shared" si="27"/>
        <v>0</v>
      </c>
      <c r="BE63" s="246">
        <f t="shared" si="27"/>
        <v>0</v>
      </c>
      <c r="BF63" s="246">
        <f t="shared" si="27"/>
        <v>0</v>
      </c>
      <c r="BG63" s="246">
        <f t="shared" si="27"/>
        <v>0</v>
      </c>
      <c r="BH63" s="246">
        <f t="shared" si="27"/>
        <v>0</v>
      </c>
      <c r="BI63" s="246">
        <f t="shared" si="27"/>
        <v>0</v>
      </c>
      <c r="BJ63" s="246">
        <f t="shared" si="27"/>
        <v>0</v>
      </c>
      <c r="BK63" s="246">
        <f t="shared" si="27"/>
        <v>0</v>
      </c>
      <c r="BL63" s="246">
        <f t="shared" si="27"/>
        <v>0</v>
      </c>
      <c r="BM63" s="246">
        <f t="shared" si="27"/>
        <v>0</v>
      </c>
      <c r="BN63" s="246">
        <f t="shared" si="27"/>
        <v>0</v>
      </c>
      <c r="BO63" s="246">
        <f t="shared" si="27"/>
        <v>0</v>
      </c>
      <c r="BP63" s="246">
        <f t="shared" si="27"/>
        <v>0</v>
      </c>
      <c r="BQ63" s="246">
        <f t="shared" si="27"/>
        <v>0</v>
      </c>
      <c r="BR63" s="246">
        <f t="shared" si="27"/>
        <v>0</v>
      </c>
      <c r="BS63" s="246">
        <f t="shared" si="27"/>
        <v>0</v>
      </c>
      <c r="BT63" s="246">
        <f t="shared" si="27"/>
        <v>0</v>
      </c>
      <c r="BU63" s="246">
        <f t="shared" si="27"/>
        <v>0</v>
      </c>
      <c r="BV63" s="246">
        <f t="shared" si="27"/>
        <v>0</v>
      </c>
      <c r="BW63" s="246">
        <f t="shared" si="27"/>
        <v>0</v>
      </c>
      <c r="BX63" s="246">
        <f t="shared" si="27"/>
        <v>0</v>
      </c>
      <c r="BY63" s="247">
        <f t="shared" si="27"/>
        <v>-1276999.1519999998</v>
      </c>
      <c r="BZ63" s="597"/>
      <c r="CA63" s="222"/>
      <c r="CB63" s="248"/>
      <c r="CC63" s="597"/>
      <c r="CD63" s="222"/>
      <c r="CE63" s="222"/>
      <c r="CF63" s="222"/>
      <c r="CG63" s="222"/>
      <c r="CH63" s="222"/>
      <c r="CI63" s="222"/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2"/>
      <c r="DI63" s="222"/>
      <c r="DJ63" s="222"/>
      <c r="DK63" s="222"/>
      <c r="DL63" s="222"/>
      <c r="DM63" s="222"/>
      <c r="DN63" s="222"/>
      <c r="DO63" s="222"/>
      <c r="DP63" s="222"/>
      <c r="DQ63" s="222"/>
      <c r="DR63" s="222"/>
      <c r="DS63" s="222"/>
      <c r="DT63" s="222"/>
      <c r="DU63" s="222"/>
      <c r="DV63" s="222"/>
      <c r="DW63" s="222"/>
      <c r="DX63" s="222"/>
      <c r="DY63" s="222"/>
      <c r="DZ63" s="222"/>
      <c r="EA63" s="222"/>
      <c r="EB63" s="222"/>
      <c r="EC63" s="222"/>
      <c r="ED63" s="222"/>
      <c r="EE63" s="222"/>
      <c r="EF63" s="222"/>
      <c r="EG63" s="222"/>
      <c r="EH63" s="222"/>
    </row>
    <row r="64" spans="1:138" ht="15.95" hidden="1" outlineLevel="1">
      <c r="A64" s="505"/>
      <c r="B64" s="600"/>
      <c r="C64" s="286" t="s">
        <v>257</v>
      </c>
      <c r="D64" s="250" t="s">
        <v>223</v>
      </c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53">
        <f t="shared" ref="BY64:BY86" si="28">SUM(E64:BX64)</f>
        <v>0</v>
      </c>
      <c r="BZ64" s="597"/>
      <c r="CA64" s="222"/>
      <c r="CB64" s="248"/>
      <c r="CC64" s="597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</row>
    <row r="65" spans="1:138" ht="15.95" hidden="1" outlineLevel="1">
      <c r="A65" s="505"/>
      <c r="B65" s="600"/>
      <c r="C65" s="288" t="s">
        <v>258</v>
      </c>
      <c r="D65" s="250" t="s">
        <v>223</v>
      </c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53">
        <f t="shared" si="28"/>
        <v>0</v>
      </c>
      <c r="BZ65" s="597"/>
      <c r="CA65" s="222"/>
      <c r="CB65" s="248"/>
      <c r="CC65" s="597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2"/>
      <c r="DC65" s="222"/>
      <c r="DD65" s="222"/>
      <c r="DE65" s="222"/>
      <c r="DF65" s="222"/>
      <c r="DG65" s="222"/>
      <c r="DH65" s="222"/>
      <c r="DI65" s="222"/>
      <c r="DJ65" s="222"/>
      <c r="DK65" s="222"/>
      <c r="DL65" s="222"/>
      <c r="DM65" s="222"/>
      <c r="DN65" s="222"/>
      <c r="DO65" s="222"/>
      <c r="DP65" s="222"/>
      <c r="DQ65" s="222"/>
      <c r="DR65" s="222"/>
      <c r="DS65" s="222"/>
      <c r="DT65" s="222"/>
      <c r="DU65" s="222"/>
      <c r="DV65" s="222"/>
      <c r="DW65" s="222"/>
      <c r="DX65" s="222"/>
      <c r="DY65" s="222"/>
      <c r="DZ65" s="222"/>
      <c r="EA65" s="222"/>
      <c r="EB65" s="222"/>
      <c r="EC65" s="222"/>
      <c r="ED65" s="222"/>
      <c r="EE65" s="222"/>
      <c r="EF65" s="222"/>
      <c r="EG65" s="222"/>
      <c r="EH65" s="222"/>
    </row>
    <row r="66" spans="1:138" ht="15.95" hidden="1" outlineLevel="1">
      <c r="A66" s="505"/>
      <c r="B66" s="600"/>
      <c r="C66" s="288" t="s">
        <v>259</v>
      </c>
      <c r="D66" s="250" t="s">
        <v>223</v>
      </c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53">
        <f t="shared" si="28"/>
        <v>0</v>
      </c>
      <c r="BZ66" s="597"/>
      <c r="CA66" s="222"/>
      <c r="CB66" s="248"/>
      <c r="CC66" s="597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</row>
    <row r="67" spans="1:138" ht="15.95" hidden="1" outlineLevel="1">
      <c r="A67" s="505"/>
      <c r="B67" s="600"/>
      <c r="C67" s="288" t="s">
        <v>260</v>
      </c>
      <c r="D67" s="250" t="s">
        <v>223</v>
      </c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53">
        <f t="shared" si="28"/>
        <v>0</v>
      </c>
      <c r="BZ67" s="597"/>
      <c r="CA67" s="222"/>
      <c r="CB67" s="248"/>
      <c r="CC67" s="597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</row>
    <row r="68" spans="1:138" ht="15.95" hidden="1" outlineLevel="1">
      <c r="A68" s="505"/>
      <c r="B68" s="600"/>
      <c r="C68" s="288" t="s">
        <v>261</v>
      </c>
      <c r="D68" s="250" t="s">
        <v>223</v>
      </c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53">
        <f t="shared" si="28"/>
        <v>0</v>
      </c>
      <c r="BZ68" s="597"/>
      <c r="CA68" s="222"/>
      <c r="CB68" s="248"/>
      <c r="CC68" s="597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</row>
    <row r="69" spans="1:138" ht="15.95" hidden="1" outlineLevel="1">
      <c r="A69" s="505"/>
      <c r="B69" s="600"/>
      <c r="C69" s="288" t="s">
        <v>262</v>
      </c>
      <c r="D69" s="250" t="s">
        <v>223</v>
      </c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53">
        <f t="shared" si="28"/>
        <v>0</v>
      </c>
      <c r="BZ69" s="597"/>
      <c r="CA69" s="222"/>
      <c r="CB69" s="248"/>
      <c r="CC69" s="597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</row>
    <row r="70" spans="1:138" ht="15.95" hidden="1" outlineLevel="1">
      <c r="A70" s="505"/>
      <c r="B70" s="600"/>
      <c r="C70" s="288" t="s">
        <v>263</v>
      </c>
      <c r="D70" s="250" t="s">
        <v>223</v>
      </c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53">
        <f t="shared" si="28"/>
        <v>0</v>
      </c>
      <c r="BZ70" s="597"/>
      <c r="CA70" s="222"/>
      <c r="CB70" s="248"/>
      <c r="CC70" s="597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2"/>
      <c r="DI70" s="222"/>
      <c r="DJ70" s="222"/>
      <c r="DK70" s="222"/>
      <c r="DL70" s="222"/>
      <c r="DM70" s="222"/>
      <c r="DN70" s="222"/>
      <c r="DO70" s="222"/>
      <c r="DP70" s="222"/>
      <c r="DQ70" s="222"/>
      <c r="DR70" s="222"/>
      <c r="DS70" s="222"/>
      <c r="DT70" s="222"/>
      <c r="DU70" s="222"/>
      <c r="DV70" s="222"/>
      <c r="DW70" s="222"/>
      <c r="DX70" s="222"/>
      <c r="DY70" s="222"/>
      <c r="DZ70" s="222"/>
      <c r="EA70" s="222"/>
      <c r="EB70" s="222"/>
      <c r="EC70" s="222"/>
      <c r="ED70" s="222"/>
      <c r="EE70" s="222"/>
      <c r="EF70" s="222"/>
      <c r="EG70" s="222"/>
      <c r="EH70" s="222"/>
    </row>
    <row r="71" spans="1:138" ht="15.95" hidden="1" outlineLevel="1">
      <c r="A71" s="505"/>
      <c r="B71" s="600"/>
      <c r="C71" s="288" t="s">
        <v>264</v>
      </c>
      <c r="D71" s="250" t="s">
        <v>223</v>
      </c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53">
        <f t="shared" si="28"/>
        <v>0</v>
      </c>
      <c r="BZ71" s="597"/>
      <c r="CA71" s="222"/>
      <c r="CB71" s="248"/>
      <c r="CC71" s="597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D71" s="222"/>
      <c r="EE71" s="222"/>
      <c r="EF71" s="222"/>
      <c r="EG71" s="222"/>
      <c r="EH71" s="222"/>
    </row>
    <row r="72" spans="1:138" ht="15.95" hidden="1" outlineLevel="1">
      <c r="A72" s="505"/>
      <c r="B72" s="600"/>
      <c r="C72" s="288" t="s">
        <v>265</v>
      </c>
      <c r="D72" s="250" t="s">
        <v>223</v>
      </c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53">
        <f t="shared" si="28"/>
        <v>0</v>
      </c>
      <c r="BZ72" s="597"/>
      <c r="CA72" s="222"/>
      <c r="CB72" s="248"/>
      <c r="CC72" s="597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2"/>
      <c r="DI72" s="222"/>
      <c r="DJ72" s="222"/>
      <c r="DK72" s="222"/>
      <c r="DL72" s="222"/>
      <c r="DM72" s="222"/>
      <c r="DN72" s="222"/>
      <c r="DO72" s="222"/>
      <c r="DP72" s="222"/>
      <c r="DQ72" s="222"/>
      <c r="DR72" s="222"/>
      <c r="DS72" s="222"/>
      <c r="DT72" s="222"/>
      <c r="DU72" s="222"/>
      <c r="DV72" s="222"/>
      <c r="DW72" s="222"/>
      <c r="DX72" s="222"/>
      <c r="DY72" s="222"/>
      <c r="DZ72" s="222"/>
      <c r="EA72" s="222"/>
      <c r="EB72" s="222"/>
      <c r="EC72" s="222"/>
      <c r="ED72" s="222"/>
      <c r="EE72" s="222"/>
      <c r="EF72" s="222"/>
      <c r="EG72" s="222"/>
      <c r="EH72" s="222"/>
    </row>
    <row r="73" spans="1:138" ht="15.95" hidden="1" outlineLevel="1">
      <c r="A73" s="505"/>
      <c r="B73" s="600"/>
      <c r="C73" s="288" t="s">
        <v>266</v>
      </c>
      <c r="D73" s="250" t="s">
        <v>223</v>
      </c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53">
        <f t="shared" si="28"/>
        <v>0</v>
      </c>
      <c r="BZ73" s="597"/>
      <c r="CA73" s="222"/>
      <c r="CB73" s="248"/>
      <c r="CC73" s="597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  <c r="DI73" s="222"/>
      <c r="DJ73" s="222"/>
      <c r="DK73" s="222"/>
      <c r="DL73" s="222"/>
      <c r="DM73" s="222"/>
      <c r="DN73" s="222"/>
      <c r="DO73" s="222"/>
      <c r="DP73" s="222"/>
      <c r="DQ73" s="222"/>
      <c r="DR73" s="222"/>
      <c r="DS73" s="222"/>
      <c r="DT73" s="222"/>
      <c r="DU73" s="222"/>
      <c r="DV73" s="222"/>
      <c r="DW73" s="222"/>
      <c r="DX73" s="222"/>
      <c r="DY73" s="222"/>
      <c r="DZ73" s="222"/>
      <c r="EA73" s="222"/>
      <c r="EB73" s="222"/>
      <c r="EC73" s="222"/>
      <c r="ED73" s="222"/>
      <c r="EE73" s="222"/>
      <c r="EF73" s="222"/>
      <c r="EG73" s="222"/>
      <c r="EH73" s="222"/>
    </row>
    <row r="74" spans="1:138" ht="15.95" hidden="1" outlineLevel="1">
      <c r="A74" s="505"/>
      <c r="B74" s="600"/>
      <c r="C74" s="288" t="s">
        <v>267</v>
      </c>
      <c r="D74" s="250" t="s">
        <v>223</v>
      </c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53">
        <f t="shared" si="28"/>
        <v>0</v>
      </c>
      <c r="BZ74" s="597"/>
      <c r="CA74" s="222"/>
      <c r="CB74" s="248"/>
      <c r="CC74" s="597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2"/>
      <c r="DI74" s="222"/>
      <c r="DJ74" s="222"/>
      <c r="DK74" s="222"/>
      <c r="DL74" s="222"/>
      <c r="DM74" s="222"/>
      <c r="DN74" s="222"/>
      <c r="DO74" s="222"/>
      <c r="DP74" s="222"/>
      <c r="DQ74" s="222"/>
      <c r="DR74" s="222"/>
      <c r="DS74" s="222"/>
      <c r="DT74" s="222"/>
      <c r="DU74" s="222"/>
      <c r="DV74" s="222"/>
      <c r="DW74" s="222"/>
      <c r="DX74" s="222"/>
      <c r="DY74" s="222"/>
      <c r="DZ74" s="222"/>
      <c r="EA74" s="222"/>
      <c r="EB74" s="222"/>
      <c r="EC74" s="222"/>
      <c r="ED74" s="222"/>
      <c r="EE74" s="222"/>
      <c r="EF74" s="222"/>
      <c r="EG74" s="222"/>
      <c r="EH74" s="222"/>
    </row>
    <row r="75" spans="1:138" ht="15.95" hidden="1" outlineLevel="1">
      <c r="A75" s="505"/>
      <c r="B75" s="600"/>
      <c r="C75" s="288" t="s">
        <v>268</v>
      </c>
      <c r="D75" s="250" t="s">
        <v>223</v>
      </c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53">
        <f t="shared" si="28"/>
        <v>0</v>
      </c>
      <c r="BZ75" s="597"/>
      <c r="CA75" s="222"/>
      <c r="CB75" s="248"/>
      <c r="CC75" s="597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</row>
    <row r="76" spans="1:138" ht="15.95" hidden="1" outlineLevel="1">
      <c r="A76" s="505"/>
      <c r="B76" s="600"/>
      <c r="C76" s="288" t="s">
        <v>269</v>
      </c>
      <c r="D76" s="250" t="s">
        <v>223</v>
      </c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53">
        <f t="shared" si="28"/>
        <v>0</v>
      </c>
      <c r="BZ76" s="597"/>
      <c r="CA76" s="222"/>
      <c r="CB76" s="248"/>
      <c r="CC76" s="597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</row>
    <row r="77" spans="1:138" ht="15.95" hidden="1" outlineLevel="1">
      <c r="A77" s="505"/>
      <c r="B77" s="600"/>
      <c r="C77" s="288" t="s">
        <v>270</v>
      </c>
      <c r="D77" s="250" t="s">
        <v>223</v>
      </c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53">
        <f t="shared" si="28"/>
        <v>0</v>
      </c>
      <c r="BZ77" s="597"/>
      <c r="CA77" s="222"/>
      <c r="CB77" s="248"/>
      <c r="CC77" s="597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</row>
    <row r="78" spans="1:138" ht="15.95" hidden="1" outlineLevel="1">
      <c r="A78" s="505"/>
      <c r="B78" s="600"/>
      <c r="C78" s="288" t="s">
        <v>271</v>
      </c>
      <c r="D78" s="250" t="s">
        <v>223</v>
      </c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53">
        <f t="shared" si="28"/>
        <v>0</v>
      </c>
      <c r="BZ78" s="597"/>
      <c r="CA78" s="222"/>
      <c r="CB78" s="248"/>
      <c r="CC78" s="597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</row>
    <row r="79" spans="1:138" ht="15.95" hidden="1" outlineLevel="1">
      <c r="A79" s="505"/>
      <c r="B79" s="600"/>
      <c r="C79" s="288" t="s">
        <v>272</v>
      </c>
      <c r="D79" s="250" t="s">
        <v>223</v>
      </c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53">
        <f t="shared" si="28"/>
        <v>0</v>
      </c>
      <c r="BZ79" s="597"/>
      <c r="CA79" s="222"/>
      <c r="CB79" s="248"/>
      <c r="CC79" s="597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</row>
    <row r="80" spans="1:138" ht="15.95" hidden="1" outlineLevel="1">
      <c r="A80" s="505"/>
      <c r="B80" s="600"/>
      <c r="C80" s="288" t="s">
        <v>273</v>
      </c>
      <c r="D80" s="250" t="s">
        <v>223</v>
      </c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53">
        <f t="shared" si="28"/>
        <v>0</v>
      </c>
      <c r="BZ80" s="597"/>
      <c r="CA80" s="222"/>
      <c r="CB80" s="248"/>
      <c r="CC80" s="597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</row>
    <row r="81" spans="1:138" ht="15.95" hidden="1" outlineLevel="1">
      <c r="A81" s="505"/>
      <c r="B81" s="600"/>
      <c r="C81" s="288" t="s">
        <v>274</v>
      </c>
      <c r="D81" s="250" t="s">
        <v>223</v>
      </c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53">
        <f t="shared" si="28"/>
        <v>0</v>
      </c>
      <c r="BZ81" s="597"/>
      <c r="CA81" s="222"/>
      <c r="CB81" s="248"/>
      <c r="CC81" s="597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</row>
    <row r="82" spans="1:138" ht="15.95" hidden="1" outlineLevel="1">
      <c r="A82" s="505"/>
      <c r="B82" s="600"/>
      <c r="C82" s="289" t="s">
        <v>178</v>
      </c>
      <c r="D82" s="250" t="s">
        <v>223</v>
      </c>
      <c r="E82" s="252"/>
      <c r="F82" s="251"/>
      <c r="G82" s="251"/>
      <c r="H82" s="252"/>
      <c r="I82" s="252"/>
      <c r="J82" s="252"/>
      <c r="K82" s="252"/>
      <c r="L82" s="252"/>
      <c r="M82" s="252"/>
      <c r="N82" s="252"/>
      <c r="O82" s="252"/>
      <c r="P82" s="252"/>
      <c r="Q82" s="252">
        <f>-Businessplan_prodej!$N$19/12*1.21</f>
        <v>-98230.703999999983</v>
      </c>
      <c r="R82" s="252">
        <f>-Businessplan_prodej!$N$19/12*1.21</f>
        <v>-98230.703999999983</v>
      </c>
      <c r="S82" s="252">
        <f>-Businessplan_prodej!$N$19/12*1.21</f>
        <v>-98230.703999999983</v>
      </c>
      <c r="T82" s="252">
        <f>-Businessplan_prodej!$N$19/12*1.21</f>
        <v>-98230.703999999983</v>
      </c>
      <c r="U82" s="252">
        <f>-Businessplan_prodej!$N$19/12*1.21</f>
        <v>-98230.703999999983</v>
      </c>
      <c r="V82" s="252">
        <f>-Businessplan_prodej!$N$19/12*1.21</f>
        <v>-98230.703999999983</v>
      </c>
      <c r="W82" s="252">
        <f>-Businessplan_prodej!$N$19/12*1.21</f>
        <v>-98230.703999999983</v>
      </c>
      <c r="X82" s="252">
        <f>-Businessplan_prodej!$N$19/12*1.21</f>
        <v>-98230.703999999983</v>
      </c>
      <c r="Y82" s="252">
        <f>-Businessplan_prodej!$N$19/12*1.21</f>
        <v>-98230.703999999983</v>
      </c>
      <c r="Z82" s="252">
        <f>-Businessplan_prodej!$N$19/12*1.21</f>
        <v>-98230.703999999983</v>
      </c>
      <c r="AA82" s="252">
        <f>-Businessplan_prodej!$N$19/12*1.21</f>
        <v>-98230.703999999983</v>
      </c>
      <c r="AB82" s="252">
        <f>-Businessplan_prodej!$N$19/12*1.21</f>
        <v>-98230.703999999983</v>
      </c>
      <c r="AC82" s="252">
        <f>-Businessplan_prodej!$N$19/12*1.21</f>
        <v>-98230.703999999983</v>
      </c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53">
        <f t="shared" si="28"/>
        <v>-1276999.1519999998</v>
      </c>
      <c r="BZ82" s="597"/>
      <c r="CA82" s="222"/>
      <c r="CB82" s="248"/>
      <c r="CC82" s="597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</row>
    <row r="83" spans="1:138" ht="15.95" hidden="1" outlineLevel="1">
      <c r="A83" s="505"/>
      <c r="B83" s="600"/>
      <c r="C83" s="288" t="s">
        <v>179</v>
      </c>
      <c r="D83" s="250" t="s">
        <v>223</v>
      </c>
      <c r="E83" s="252"/>
      <c r="F83" s="251"/>
      <c r="G83" s="251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53">
        <f t="shared" si="28"/>
        <v>0</v>
      </c>
      <c r="BZ83" s="597"/>
      <c r="CA83" s="222"/>
      <c r="CB83" s="248"/>
      <c r="CC83" s="597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</row>
    <row r="84" spans="1:138" ht="15.95" hidden="1" outlineLevel="1">
      <c r="A84" s="505"/>
      <c r="B84" s="600"/>
      <c r="C84" s="288" t="s">
        <v>189</v>
      </c>
      <c r="D84" s="250" t="s">
        <v>223</v>
      </c>
      <c r="E84" s="252"/>
      <c r="F84" s="251"/>
      <c r="G84" s="251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53">
        <f t="shared" si="28"/>
        <v>0</v>
      </c>
      <c r="BZ84" s="597"/>
      <c r="CA84" s="222"/>
      <c r="CB84" s="248"/>
      <c r="CC84" s="597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</row>
    <row r="85" spans="1:138" ht="15.95" hidden="1" outlineLevel="1">
      <c r="A85" s="505"/>
      <c r="B85" s="600"/>
      <c r="C85" s="288" t="s">
        <v>190</v>
      </c>
      <c r="D85" s="250" t="s">
        <v>223</v>
      </c>
      <c r="E85" s="252"/>
      <c r="F85" s="251"/>
      <c r="G85" s="251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3">
        <f t="shared" si="28"/>
        <v>0</v>
      </c>
      <c r="BZ85" s="597"/>
      <c r="CA85" s="222"/>
      <c r="CB85" s="248"/>
      <c r="CC85" s="597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</row>
    <row r="86" spans="1:138" ht="15.95" hidden="1" outlineLevel="1">
      <c r="A86" s="505"/>
      <c r="B86" s="600"/>
      <c r="C86" s="290" t="s">
        <v>275</v>
      </c>
      <c r="D86" s="254" t="s">
        <v>223</v>
      </c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53">
        <f t="shared" si="28"/>
        <v>0</v>
      </c>
      <c r="BZ86" s="597"/>
      <c r="CA86" s="222"/>
      <c r="CB86" s="248"/>
      <c r="CC86" s="597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</row>
    <row r="87" spans="1:138" ht="15.95" collapsed="1">
      <c r="A87" s="505"/>
      <c r="B87" s="600"/>
      <c r="C87" s="244" t="s">
        <v>276</v>
      </c>
      <c r="D87" s="245"/>
      <c r="E87" s="246">
        <f t="shared" ref="E87:BY87" si="29">SUM(E88:E89)</f>
        <v>0</v>
      </c>
      <c r="F87" s="246">
        <f t="shared" si="29"/>
        <v>0</v>
      </c>
      <c r="G87" s="246">
        <f t="shared" si="29"/>
        <v>0</v>
      </c>
      <c r="H87" s="246">
        <f t="shared" si="29"/>
        <v>0</v>
      </c>
      <c r="I87" s="246">
        <f t="shared" si="29"/>
        <v>0</v>
      </c>
      <c r="J87" s="246">
        <f t="shared" si="29"/>
        <v>0</v>
      </c>
      <c r="K87" s="246">
        <f t="shared" si="29"/>
        <v>0</v>
      </c>
      <c r="L87" s="246">
        <f t="shared" si="29"/>
        <v>0</v>
      </c>
      <c r="M87" s="246">
        <f t="shared" si="29"/>
        <v>0</v>
      </c>
      <c r="N87" s="246">
        <f t="shared" si="29"/>
        <v>0</v>
      </c>
      <c r="O87" s="246">
        <f t="shared" si="29"/>
        <v>0</v>
      </c>
      <c r="P87" s="246">
        <f t="shared" si="29"/>
        <v>0</v>
      </c>
      <c r="Q87" s="246">
        <f t="shared" si="29"/>
        <v>0</v>
      </c>
      <c r="R87" s="246">
        <f t="shared" si="29"/>
        <v>0</v>
      </c>
      <c r="S87" s="246">
        <f t="shared" si="29"/>
        <v>0</v>
      </c>
      <c r="T87" s="246">
        <f t="shared" si="29"/>
        <v>0</v>
      </c>
      <c r="U87" s="246">
        <f t="shared" si="29"/>
        <v>0</v>
      </c>
      <c r="V87" s="246">
        <f t="shared" si="29"/>
        <v>0</v>
      </c>
      <c r="W87" s="246">
        <f t="shared" si="29"/>
        <v>0</v>
      </c>
      <c r="X87" s="246">
        <f t="shared" si="29"/>
        <v>0</v>
      </c>
      <c r="Y87" s="246">
        <f t="shared" si="29"/>
        <v>0</v>
      </c>
      <c r="Z87" s="246">
        <f t="shared" si="29"/>
        <v>0</v>
      </c>
      <c r="AA87" s="246">
        <f t="shared" si="29"/>
        <v>0</v>
      </c>
      <c r="AB87" s="246">
        <f t="shared" si="29"/>
        <v>0</v>
      </c>
      <c r="AC87" s="246">
        <f t="shared" si="29"/>
        <v>0</v>
      </c>
      <c r="AD87" s="246">
        <f t="shared" si="29"/>
        <v>0</v>
      </c>
      <c r="AE87" s="246">
        <f t="shared" si="29"/>
        <v>0</v>
      </c>
      <c r="AF87" s="246">
        <f t="shared" si="29"/>
        <v>0</v>
      </c>
      <c r="AG87" s="246">
        <f t="shared" si="29"/>
        <v>0</v>
      </c>
      <c r="AH87" s="246">
        <f t="shared" si="29"/>
        <v>0</v>
      </c>
      <c r="AI87" s="246">
        <f t="shared" si="29"/>
        <v>0</v>
      </c>
      <c r="AJ87" s="246">
        <f t="shared" si="29"/>
        <v>0</v>
      </c>
      <c r="AK87" s="246">
        <f t="shared" si="29"/>
        <v>0</v>
      </c>
      <c r="AL87" s="246">
        <f t="shared" si="29"/>
        <v>0</v>
      </c>
      <c r="AM87" s="246">
        <f t="shared" si="29"/>
        <v>0</v>
      </c>
      <c r="AN87" s="246">
        <f t="shared" si="29"/>
        <v>0</v>
      </c>
      <c r="AO87" s="246">
        <f t="shared" si="29"/>
        <v>0</v>
      </c>
      <c r="AP87" s="246">
        <f t="shared" si="29"/>
        <v>0</v>
      </c>
      <c r="AQ87" s="246">
        <f t="shared" si="29"/>
        <v>0</v>
      </c>
      <c r="AR87" s="246">
        <f t="shared" si="29"/>
        <v>0</v>
      </c>
      <c r="AS87" s="246">
        <f t="shared" si="29"/>
        <v>0</v>
      </c>
      <c r="AT87" s="246">
        <f t="shared" si="29"/>
        <v>0</v>
      </c>
      <c r="AU87" s="246">
        <f t="shared" si="29"/>
        <v>0</v>
      </c>
      <c r="AV87" s="246">
        <f t="shared" si="29"/>
        <v>0</v>
      </c>
      <c r="AW87" s="246">
        <f t="shared" si="29"/>
        <v>0</v>
      </c>
      <c r="AX87" s="246">
        <f t="shared" si="29"/>
        <v>0</v>
      </c>
      <c r="AY87" s="246">
        <f t="shared" si="29"/>
        <v>0</v>
      </c>
      <c r="AZ87" s="246">
        <f t="shared" si="29"/>
        <v>0</v>
      </c>
      <c r="BA87" s="246">
        <f t="shared" si="29"/>
        <v>0</v>
      </c>
      <c r="BB87" s="246">
        <f t="shared" si="29"/>
        <v>0</v>
      </c>
      <c r="BC87" s="246">
        <f t="shared" si="29"/>
        <v>0</v>
      </c>
      <c r="BD87" s="246">
        <f t="shared" si="29"/>
        <v>0</v>
      </c>
      <c r="BE87" s="246">
        <f t="shared" si="29"/>
        <v>0</v>
      </c>
      <c r="BF87" s="246">
        <f t="shared" si="29"/>
        <v>0</v>
      </c>
      <c r="BG87" s="246">
        <f t="shared" si="29"/>
        <v>0</v>
      </c>
      <c r="BH87" s="246">
        <f t="shared" si="29"/>
        <v>0</v>
      </c>
      <c r="BI87" s="246">
        <f t="shared" si="29"/>
        <v>0</v>
      </c>
      <c r="BJ87" s="246">
        <f t="shared" si="29"/>
        <v>0</v>
      </c>
      <c r="BK87" s="246">
        <f t="shared" si="29"/>
        <v>0</v>
      </c>
      <c r="BL87" s="246">
        <f t="shared" si="29"/>
        <v>0</v>
      </c>
      <c r="BM87" s="246">
        <f t="shared" si="29"/>
        <v>0</v>
      </c>
      <c r="BN87" s="246">
        <f t="shared" si="29"/>
        <v>0</v>
      </c>
      <c r="BO87" s="246">
        <f t="shared" si="29"/>
        <v>0</v>
      </c>
      <c r="BP87" s="246">
        <f t="shared" si="29"/>
        <v>0</v>
      </c>
      <c r="BQ87" s="246">
        <f t="shared" si="29"/>
        <v>0</v>
      </c>
      <c r="BR87" s="246">
        <f t="shared" si="29"/>
        <v>0</v>
      </c>
      <c r="BS87" s="246">
        <f t="shared" si="29"/>
        <v>0</v>
      </c>
      <c r="BT87" s="246">
        <f t="shared" si="29"/>
        <v>0</v>
      </c>
      <c r="BU87" s="246">
        <f t="shared" si="29"/>
        <v>0</v>
      </c>
      <c r="BV87" s="246">
        <f t="shared" si="29"/>
        <v>0</v>
      </c>
      <c r="BW87" s="246">
        <f t="shared" si="29"/>
        <v>0</v>
      </c>
      <c r="BX87" s="246">
        <f t="shared" si="29"/>
        <v>0</v>
      </c>
      <c r="BY87" s="247">
        <f t="shared" si="29"/>
        <v>0</v>
      </c>
      <c r="BZ87" s="597"/>
      <c r="CA87" s="222"/>
      <c r="CB87" s="248"/>
      <c r="CC87" s="597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</row>
    <row r="88" spans="1:138" ht="15.95" hidden="1" outlineLevel="1">
      <c r="A88" s="505"/>
      <c r="B88" s="600"/>
      <c r="C88" s="286" t="s">
        <v>277</v>
      </c>
      <c r="D88" s="250" t="s">
        <v>223</v>
      </c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  <c r="AR88" s="256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92">
        <f t="shared" ref="BY88:BY89" si="30">SUM(E88:BX88)</f>
        <v>0</v>
      </c>
      <c r="BZ88" s="597"/>
      <c r="CA88" s="222"/>
      <c r="CB88" s="248"/>
      <c r="CC88" s="597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</row>
    <row r="89" spans="1:138" ht="15.95" hidden="1" outlineLevel="1">
      <c r="A89" s="505"/>
      <c r="B89" s="600"/>
      <c r="C89" s="290" t="s">
        <v>278</v>
      </c>
      <c r="D89" s="254" t="s">
        <v>223</v>
      </c>
      <c r="E89" s="283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  <c r="BS89" s="284"/>
      <c r="BT89" s="284"/>
      <c r="BU89" s="284"/>
      <c r="BV89" s="284"/>
      <c r="BW89" s="284"/>
      <c r="BX89" s="284"/>
      <c r="BY89" s="293">
        <f t="shared" si="30"/>
        <v>0</v>
      </c>
      <c r="BZ89" s="592"/>
      <c r="CA89" s="222"/>
      <c r="CB89" s="248"/>
      <c r="CC89" s="59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</row>
    <row r="90" spans="1:138" collapsed="1">
      <c r="A90" s="505"/>
      <c r="B90" s="600"/>
      <c r="C90" s="244" t="s">
        <v>279</v>
      </c>
      <c r="D90" s="245"/>
      <c r="E90" s="246">
        <f t="shared" ref="E90:BX90" si="31">SUM(E91:E97)</f>
        <v>0</v>
      </c>
      <c r="F90" s="246">
        <f t="shared" si="31"/>
        <v>0</v>
      </c>
      <c r="G90" s="246">
        <f t="shared" si="31"/>
        <v>0</v>
      </c>
      <c r="H90" s="246">
        <f t="shared" si="31"/>
        <v>0</v>
      </c>
      <c r="I90" s="246">
        <f t="shared" si="31"/>
        <v>0</v>
      </c>
      <c r="J90" s="246">
        <f t="shared" si="31"/>
        <v>0</v>
      </c>
      <c r="K90" s="246">
        <f t="shared" si="31"/>
        <v>0</v>
      </c>
      <c r="L90" s="246">
        <f t="shared" si="31"/>
        <v>-885000</v>
      </c>
      <c r="M90" s="246">
        <f t="shared" si="31"/>
        <v>0</v>
      </c>
      <c r="N90" s="246">
        <f t="shared" si="31"/>
        <v>0</v>
      </c>
      <c r="O90" s="246">
        <f t="shared" si="31"/>
        <v>0</v>
      </c>
      <c r="P90" s="246">
        <f t="shared" si="31"/>
        <v>0</v>
      </c>
      <c r="Q90" s="246">
        <f t="shared" si="31"/>
        <v>-56109.53868832899</v>
      </c>
      <c r="R90" s="246">
        <f t="shared" si="31"/>
        <v>-56109.53868832899</v>
      </c>
      <c r="S90" s="246">
        <f t="shared" si="31"/>
        <v>-56109.53868832899</v>
      </c>
      <c r="T90" s="246">
        <f t="shared" si="31"/>
        <v>-56109.53868832899</v>
      </c>
      <c r="U90" s="246">
        <f t="shared" si="31"/>
        <v>-56109.53868832899</v>
      </c>
      <c r="V90" s="246">
        <f t="shared" si="31"/>
        <v>-56109.53868832899</v>
      </c>
      <c r="W90" s="246">
        <f t="shared" si="31"/>
        <v>-56109.53868832899</v>
      </c>
      <c r="X90" s="246">
        <f t="shared" si="31"/>
        <v>-56109.53868832899</v>
      </c>
      <c r="Y90" s="246">
        <f t="shared" si="31"/>
        <v>-56109.53868832899</v>
      </c>
      <c r="Z90" s="246">
        <f t="shared" si="31"/>
        <v>-56109.53868832899</v>
      </c>
      <c r="AA90" s="246">
        <f t="shared" si="31"/>
        <v>-56109.53868832899</v>
      </c>
      <c r="AB90" s="246">
        <f t="shared" si="31"/>
        <v>-56109.53868832899</v>
      </c>
      <c r="AC90" s="246">
        <f t="shared" si="31"/>
        <v>-78477769.535740048</v>
      </c>
      <c r="AD90" s="246">
        <f t="shared" si="31"/>
        <v>0</v>
      </c>
      <c r="AE90" s="246">
        <f t="shared" si="31"/>
        <v>0</v>
      </c>
      <c r="AF90" s="246">
        <f t="shared" si="31"/>
        <v>0</v>
      </c>
      <c r="AG90" s="246">
        <f t="shared" si="31"/>
        <v>0</v>
      </c>
      <c r="AH90" s="246">
        <f t="shared" si="31"/>
        <v>0</v>
      </c>
      <c r="AI90" s="246">
        <f t="shared" si="31"/>
        <v>0</v>
      </c>
      <c r="AJ90" s="246">
        <f t="shared" si="31"/>
        <v>0</v>
      </c>
      <c r="AK90" s="246">
        <f t="shared" si="31"/>
        <v>0</v>
      </c>
      <c r="AL90" s="246">
        <f t="shared" si="31"/>
        <v>0</v>
      </c>
      <c r="AM90" s="246">
        <f t="shared" si="31"/>
        <v>0</v>
      </c>
      <c r="AN90" s="246">
        <f t="shared" si="31"/>
        <v>0</v>
      </c>
      <c r="AO90" s="246">
        <f t="shared" si="31"/>
        <v>0</v>
      </c>
      <c r="AP90" s="246">
        <f t="shared" si="31"/>
        <v>0</v>
      </c>
      <c r="AQ90" s="246">
        <f t="shared" si="31"/>
        <v>0</v>
      </c>
      <c r="AR90" s="246">
        <f t="shared" si="31"/>
        <v>0</v>
      </c>
      <c r="AS90" s="246">
        <f t="shared" si="31"/>
        <v>0</v>
      </c>
      <c r="AT90" s="246">
        <f t="shared" si="31"/>
        <v>0</v>
      </c>
      <c r="AU90" s="246">
        <f t="shared" si="31"/>
        <v>0</v>
      </c>
      <c r="AV90" s="246">
        <f t="shared" si="31"/>
        <v>0</v>
      </c>
      <c r="AW90" s="246">
        <f t="shared" si="31"/>
        <v>0</v>
      </c>
      <c r="AX90" s="246">
        <f t="shared" si="31"/>
        <v>0</v>
      </c>
      <c r="AY90" s="246">
        <f t="shared" si="31"/>
        <v>0</v>
      </c>
      <c r="AZ90" s="246">
        <f t="shared" si="31"/>
        <v>0</v>
      </c>
      <c r="BA90" s="246">
        <f t="shared" si="31"/>
        <v>0</v>
      </c>
      <c r="BB90" s="246">
        <f t="shared" si="31"/>
        <v>0</v>
      </c>
      <c r="BC90" s="246">
        <f t="shared" si="31"/>
        <v>0</v>
      </c>
      <c r="BD90" s="246">
        <f t="shared" si="31"/>
        <v>0</v>
      </c>
      <c r="BE90" s="246">
        <f t="shared" si="31"/>
        <v>0</v>
      </c>
      <c r="BF90" s="246">
        <f t="shared" si="31"/>
        <v>0</v>
      </c>
      <c r="BG90" s="246">
        <f t="shared" si="31"/>
        <v>0</v>
      </c>
      <c r="BH90" s="246">
        <f t="shared" si="31"/>
        <v>0</v>
      </c>
      <c r="BI90" s="246">
        <f t="shared" si="31"/>
        <v>0</v>
      </c>
      <c r="BJ90" s="246">
        <f t="shared" si="31"/>
        <v>0</v>
      </c>
      <c r="BK90" s="246">
        <f t="shared" si="31"/>
        <v>0</v>
      </c>
      <c r="BL90" s="246">
        <f t="shared" si="31"/>
        <v>0</v>
      </c>
      <c r="BM90" s="246">
        <f t="shared" si="31"/>
        <v>0</v>
      </c>
      <c r="BN90" s="246">
        <f t="shared" si="31"/>
        <v>0</v>
      </c>
      <c r="BO90" s="246">
        <f t="shared" si="31"/>
        <v>0</v>
      </c>
      <c r="BP90" s="246">
        <f t="shared" si="31"/>
        <v>0</v>
      </c>
      <c r="BQ90" s="246">
        <f t="shared" si="31"/>
        <v>0</v>
      </c>
      <c r="BR90" s="246">
        <f t="shared" si="31"/>
        <v>0</v>
      </c>
      <c r="BS90" s="246">
        <f t="shared" si="31"/>
        <v>0</v>
      </c>
      <c r="BT90" s="246">
        <f t="shared" si="31"/>
        <v>0</v>
      </c>
      <c r="BU90" s="246">
        <f t="shared" si="31"/>
        <v>0</v>
      </c>
      <c r="BV90" s="246">
        <f t="shared" si="31"/>
        <v>0</v>
      </c>
      <c r="BW90" s="246">
        <f t="shared" si="31"/>
        <v>0</v>
      </c>
      <c r="BX90" s="246">
        <f t="shared" si="31"/>
        <v>0</v>
      </c>
      <c r="BY90" s="564">
        <f>BZ17</f>
        <v>-85084010.00758332</v>
      </c>
      <c r="BZ90" s="599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</row>
    <row r="91" spans="1:138" hidden="1" outlineLevel="1">
      <c r="A91" s="505"/>
      <c r="B91" s="600"/>
      <c r="C91" s="249" t="s">
        <v>280</v>
      </c>
      <c r="D91" s="250" t="s">
        <v>223</v>
      </c>
      <c r="E91" s="251"/>
      <c r="F91" s="251"/>
      <c r="G91" s="251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1"/>
      <c r="V91" s="251"/>
      <c r="W91" s="251"/>
      <c r="X91" s="251"/>
      <c r="Y91" s="251"/>
      <c r="Z91" s="251"/>
      <c r="AA91" s="251"/>
      <c r="AB91" s="251"/>
      <c r="AC91" s="251">
        <f>-BY5</f>
        <v>-16365002</v>
      </c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2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60"/>
      <c r="BY91" s="253">
        <f t="shared" ref="BY91:BY97" si="32">SUM(E91:BX91)</f>
        <v>-16365002</v>
      </c>
      <c r="BZ91" s="562">
        <f>SUM(BY91:BY97)</f>
        <v>-80036084</v>
      </c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</row>
    <row r="92" spans="1:138" hidden="1" outlineLevel="1">
      <c r="A92" s="505"/>
      <c r="B92" s="600"/>
      <c r="C92" s="249" t="s">
        <v>282</v>
      </c>
      <c r="D92" s="250" t="s">
        <v>223</v>
      </c>
      <c r="E92" s="251"/>
      <c r="F92" s="251"/>
      <c r="G92" s="251"/>
      <c r="H92" s="252"/>
      <c r="I92" s="252"/>
      <c r="J92" s="252"/>
      <c r="K92" s="252"/>
      <c r="L92" s="252">
        <f>-885000</f>
        <v>-885000</v>
      </c>
      <c r="M92" s="252"/>
      <c r="N92" s="252"/>
      <c r="O92" s="252"/>
      <c r="P92" s="252"/>
      <c r="Q92" s="252"/>
      <c r="R92" s="252"/>
      <c r="S92" s="252"/>
      <c r="T92" s="252"/>
      <c r="U92" s="251"/>
      <c r="V92" s="251"/>
      <c r="W92" s="251"/>
      <c r="X92" s="251"/>
      <c r="Y92" s="251"/>
      <c r="Z92" s="251"/>
      <c r="AA92" s="251"/>
      <c r="AB92" s="251"/>
      <c r="AC92" s="251">
        <f>-BY6-SUM(E92:AB92)</f>
        <v>-8333333</v>
      </c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60"/>
      <c r="BY92" s="253">
        <f t="shared" si="32"/>
        <v>-9218333</v>
      </c>
      <c r="BZ92" s="597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</row>
    <row r="93" spans="1:138" hidden="1" outlineLevel="1">
      <c r="A93" s="505"/>
      <c r="B93" s="600"/>
      <c r="C93" s="289" t="s">
        <v>281</v>
      </c>
      <c r="D93" s="250" t="s">
        <v>223</v>
      </c>
      <c r="E93" s="251"/>
      <c r="F93" s="251"/>
      <c r="G93" s="251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1"/>
      <c r="V93" s="251"/>
      <c r="W93" s="251"/>
      <c r="X93" s="251"/>
      <c r="Y93" s="251"/>
      <c r="Z93" s="251"/>
      <c r="AA93" s="251"/>
      <c r="AB93" s="251"/>
      <c r="AC93" s="251">
        <f>-BY7</f>
        <v>-9000000</v>
      </c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60"/>
      <c r="BY93" s="253">
        <f t="shared" si="32"/>
        <v>-9000000</v>
      </c>
      <c r="BZ93" s="597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</row>
    <row r="94" spans="1:138" hidden="1" outlineLevel="1">
      <c r="A94" s="505"/>
      <c r="B94" s="600"/>
      <c r="C94" s="288" t="s">
        <v>283</v>
      </c>
      <c r="D94" s="250" t="s">
        <v>223</v>
      </c>
      <c r="E94" s="251"/>
      <c r="F94" s="251"/>
      <c r="G94" s="251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60"/>
      <c r="BY94" s="253">
        <f t="shared" si="32"/>
        <v>0</v>
      </c>
      <c r="BZ94" s="597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</row>
    <row r="95" spans="1:138" hidden="1" outlineLevel="1">
      <c r="A95" s="505"/>
      <c r="B95" s="600"/>
      <c r="C95" s="249" t="s">
        <v>284</v>
      </c>
      <c r="D95" s="250" t="s">
        <v>223</v>
      </c>
      <c r="E95" s="251"/>
      <c r="F95" s="251"/>
      <c r="G95" s="251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2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60"/>
      <c r="BY95" s="253">
        <f t="shared" si="32"/>
        <v>0</v>
      </c>
      <c r="BZ95" s="597"/>
      <c r="CA95" s="222"/>
      <c r="CB95" s="222"/>
      <c r="CC95" s="222"/>
      <c r="CD95" s="222"/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222"/>
      <c r="DU95" s="222"/>
      <c r="DV95" s="222"/>
      <c r="DW95" s="222"/>
      <c r="DX95" s="222"/>
      <c r="DY95" s="222"/>
      <c r="DZ95" s="222"/>
      <c r="EA95" s="222"/>
      <c r="EB95" s="222"/>
      <c r="EC95" s="222"/>
      <c r="ED95" s="222"/>
      <c r="EE95" s="222"/>
      <c r="EF95" s="222"/>
      <c r="EG95" s="222"/>
      <c r="EH95" s="222"/>
    </row>
    <row r="96" spans="1:138" hidden="1" outlineLevel="1">
      <c r="A96" s="505"/>
      <c r="B96" s="600"/>
      <c r="C96" s="249" t="s">
        <v>330</v>
      </c>
      <c r="D96" s="250" t="s">
        <v>223</v>
      </c>
      <c r="E96" s="251"/>
      <c r="F96" s="251"/>
      <c r="G96" s="251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2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60"/>
      <c r="BY96" s="253">
        <f t="shared" si="32"/>
        <v>0</v>
      </c>
      <c r="BZ96" s="597"/>
      <c r="CA96" s="222"/>
      <c r="CB96" s="222"/>
      <c r="CC96" s="222"/>
      <c r="CD96" s="222"/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2"/>
      <c r="CQ96" s="222"/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2"/>
      <c r="DI96" s="222"/>
      <c r="DJ96" s="222"/>
      <c r="DK96" s="222"/>
      <c r="DL96" s="222"/>
      <c r="DM96" s="222"/>
      <c r="DN96" s="222"/>
      <c r="DO96" s="222"/>
      <c r="DP96" s="222"/>
      <c r="DQ96" s="222"/>
      <c r="DR96" s="222"/>
      <c r="DS96" s="222"/>
      <c r="DT96" s="222"/>
      <c r="DU96" s="222"/>
      <c r="DV96" s="222"/>
      <c r="DW96" s="222"/>
      <c r="DX96" s="222"/>
      <c r="DY96" s="222"/>
      <c r="DZ96" s="222"/>
      <c r="EA96" s="222"/>
      <c r="EB96" s="222"/>
      <c r="EC96" s="222"/>
      <c r="ED96" s="222"/>
      <c r="EE96" s="222"/>
      <c r="EF96" s="222"/>
      <c r="EG96" s="222"/>
      <c r="EH96" s="222"/>
    </row>
    <row r="97" spans="1:138" hidden="1" outlineLevel="1">
      <c r="A97" s="505"/>
      <c r="B97" s="601"/>
      <c r="C97" s="280" t="s">
        <v>286</v>
      </c>
      <c r="D97" s="295" t="s">
        <v>223</v>
      </c>
      <c r="E97" s="282"/>
      <c r="F97" s="282"/>
      <c r="G97" s="282"/>
      <c r="H97" s="283"/>
      <c r="I97" s="283"/>
      <c r="J97" s="283"/>
      <c r="K97" s="283"/>
      <c r="L97" s="283"/>
      <c r="M97" s="283"/>
      <c r="N97" s="283"/>
      <c r="O97" s="283"/>
      <c r="P97" s="283"/>
      <c r="Q97" s="283">
        <f t="shared" ref="Q97:AB97" si="33">PMT($D$62/12,25*12,$BY11)-Q62</f>
        <v>-56109.53868832899</v>
      </c>
      <c r="R97" s="283">
        <f t="shared" si="33"/>
        <v>-56109.53868832899</v>
      </c>
      <c r="S97" s="283">
        <f t="shared" si="33"/>
        <v>-56109.53868832899</v>
      </c>
      <c r="T97" s="283">
        <f t="shared" si="33"/>
        <v>-56109.53868832899</v>
      </c>
      <c r="U97" s="283">
        <f t="shared" si="33"/>
        <v>-56109.53868832899</v>
      </c>
      <c r="V97" s="283">
        <f t="shared" si="33"/>
        <v>-56109.53868832899</v>
      </c>
      <c r="W97" s="283">
        <f t="shared" si="33"/>
        <v>-56109.53868832899</v>
      </c>
      <c r="X97" s="283">
        <f t="shared" si="33"/>
        <v>-56109.53868832899</v>
      </c>
      <c r="Y97" s="283">
        <f t="shared" si="33"/>
        <v>-56109.53868832899</v>
      </c>
      <c r="Z97" s="283">
        <f t="shared" si="33"/>
        <v>-56109.53868832899</v>
      </c>
      <c r="AA97" s="283">
        <f t="shared" si="33"/>
        <v>-56109.53868832899</v>
      </c>
      <c r="AB97" s="283">
        <f t="shared" si="33"/>
        <v>-56109.53868832899</v>
      </c>
      <c r="AC97" s="283">
        <f>-$BY$11-SUM(Q97:AB97)</f>
        <v>-44779434.535740055</v>
      </c>
      <c r="AD97" s="282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  <c r="BW97" s="282"/>
      <c r="BX97" s="284"/>
      <c r="BY97" s="253">
        <f t="shared" si="32"/>
        <v>-45452749</v>
      </c>
      <c r="BZ97" s="602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2"/>
      <c r="DI97" s="222"/>
      <c r="DJ97" s="222"/>
      <c r="DK97" s="222"/>
      <c r="DL97" s="222"/>
      <c r="DM97" s="222"/>
      <c r="DN97" s="222"/>
      <c r="DO97" s="222"/>
      <c r="DP97" s="222"/>
      <c r="DQ97" s="222"/>
      <c r="DR97" s="222"/>
      <c r="DS97" s="222"/>
      <c r="DT97" s="222"/>
      <c r="DU97" s="222"/>
      <c r="DV97" s="222"/>
      <c r="DW97" s="222"/>
      <c r="DX97" s="222"/>
      <c r="DY97" s="222"/>
      <c r="DZ97" s="222"/>
      <c r="EA97" s="222"/>
      <c r="EB97" s="222"/>
      <c r="EC97" s="222"/>
      <c r="ED97" s="222"/>
      <c r="EE97" s="222"/>
      <c r="EF97" s="222"/>
      <c r="EG97" s="222"/>
      <c r="EH97" s="222"/>
    </row>
    <row r="98" spans="1:138" ht="15.95">
      <c r="A98" s="505"/>
      <c r="B98" s="571" t="s">
        <v>287</v>
      </c>
      <c r="C98" s="592"/>
      <c r="D98" s="296" t="s">
        <v>223</v>
      </c>
      <c r="E98" s="297">
        <f t="shared" ref="E98:BX98" si="34">(E17+E23+E26+E34+E37+E49+E55+E63+E87+E90)</f>
        <v>0</v>
      </c>
      <c r="F98" s="297">
        <f t="shared" si="34"/>
        <v>0</v>
      </c>
      <c r="G98" s="297">
        <f t="shared" si="34"/>
        <v>0</v>
      </c>
      <c r="H98" s="297">
        <f t="shared" si="34"/>
        <v>-10737799.354999999</v>
      </c>
      <c r="I98" s="297">
        <f t="shared" si="34"/>
        <v>-1867696.1950000001</v>
      </c>
      <c r="J98" s="297">
        <f t="shared" si="34"/>
        <v>-1823673.665</v>
      </c>
      <c r="K98" s="297">
        <f t="shared" si="34"/>
        <v>-8762979.0132500008</v>
      </c>
      <c r="L98" s="297">
        <f t="shared" si="34"/>
        <v>-9139365.4962499999</v>
      </c>
      <c r="M98" s="297">
        <f t="shared" si="34"/>
        <v>-21605197.329583332</v>
      </c>
      <c r="N98" s="297">
        <f t="shared" si="34"/>
        <v>-9351381.3295833338</v>
      </c>
      <c r="O98" s="297">
        <f t="shared" si="34"/>
        <v>-9701495.6985833347</v>
      </c>
      <c r="P98" s="297">
        <f t="shared" si="34"/>
        <v>-6508061.5362499999</v>
      </c>
      <c r="Q98" s="297">
        <f t="shared" si="34"/>
        <v>-446660.46477166231</v>
      </c>
      <c r="R98" s="297">
        <f t="shared" si="34"/>
        <v>-446660.46477166231</v>
      </c>
      <c r="S98" s="297">
        <f t="shared" si="34"/>
        <v>-446660.46477166231</v>
      </c>
      <c r="T98" s="297">
        <f t="shared" si="34"/>
        <v>-446660.46477166231</v>
      </c>
      <c r="U98" s="297">
        <f t="shared" si="34"/>
        <v>-430027.63143832894</v>
      </c>
      <c r="V98" s="297">
        <f t="shared" si="34"/>
        <v>-430027.63143832894</v>
      </c>
      <c r="W98" s="297">
        <f t="shared" si="34"/>
        <v>-430027.63143832894</v>
      </c>
      <c r="X98" s="297">
        <f t="shared" si="34"/>
        <v>-430027.63143832894</v>
      </c>
      <c r="Y98" s="297">
        <f t="shared" si="34"/>
        <v>-430027.63143832894</v>
      </c>
      <c r="Z98" s="297">
        <f t="shared" si="34"/>
        <v>-430027.63143832894</v>
      </c>
      <c r="AA98" s="297">
        <f t="shared" si="34"/>
        <v>-430027.63143832894</v>
      </c>
      <c r="AB98" s="297">
        <f t="shared" si="34"/>
        <v>-430027.63143832894</v>
      </c>
      <c r="AC98" s="297">
        <f t="shared" si="34"/>
        <v>-80395581.478490055</v>
      </c>
      <c r="AD98" s="297">
        <f t="shared" si="34"/>
        <v>0</v>
      </c>
      <c r="AE98" s="297">
        <f t="shared" si="34"/>
        <v>0</v>
      </c>
      <c r="AF98" s="297">
        <f t="shared" si="34"/>
        <v>0</v>
      </c>
      <c r="AG98" s="297">
        <f t="shared" si="34"/>
        <v>0</v>
      </c>
      <c r="AH98" s="297">
        <f t="shared" si="34"/>
        <v>0</v>
      </c>
      <c r="AI98" s="297">
        <f t="shared" si="34"/>
        <v>0</v>
      </c>
      <c r="AJ98" s="297">
        <f t="shared" si="34"/>
        <v>0</v>
      </c>
      <c r="AK98" s="297">
        <f t="shared" si="34"/>
        <v>0</v>
      </c>
      <c r="AL98" s="297">
        <f t="shared" si="34"/>
        <v>0</v>
      </c>
      <c r="AM98" s="297">
        <f t="shared" si="34"/>
        <v>0</v>
      </c>
      <c r="AN98" s="297">
        <f t="shared" si="34"/>
        <v>0</v>
      </c>
      <c r="AO98" s="297">
        <f t="shared" si="34"/>
        <v>0</v>
      </c>
      <c r="AP98" s="297">
        <f t="shared" si="34"/>
        <v>0</v>
      </c>
      <c r="AQ98" s="297">
        <f t="shared" si="34"/>
        <v>0</v>
      </c>
      <c r="AR98" s="297">
        <f t="shared" si="34"/>
        <v>0</v>
      </c>
      <c r="AS98" s="297">
        <f t="shared" si="34"/>
        <v>0</v>
      </c>
      <c r="AT98" s="297">
        <f t="shared" si="34"/>
        <v>0</v>
      </c>
      <c r="AU98" s="297">
        <f t="shared" si="34"/>
        <v>0</v>
      </c>
      <c r="AV98" s="297">
        <f t="shared" si="34"/>
        <v>0</v>
      </c>
      <c r="AW98" s="297">
        <f t="shared" si="34"/>
        <v>0</v>
      </c>
      <c r="AX98" s="297">
        <f t="shared" si="34"/>
        <v>0</v>
      </c>
      <c r="AY98" s="297">
        <f t="shared" si="34"/>
        <v>0</v>
      </c>
      <c r="AZ98" s="297">
        <f t="shared" si="34"/>
        <v>0</v>
      </c>
      <c r="BA98" s="297">
        <f t="shared" si="34"/>
        <v>0</v>
      </c>
      <c r="BB98" s="297">
        <f t="shared" si="34"/>
        <v>0</v>
      </c>
      <c r="BC98" s="297">
        <f t="shared" si="34"/>
        <v>0</v>
      </c>
      <c r="BD98" s="297">
        <f t="shared" si="34"/>
        <v>0</v>
      </c>
      <c r="BE98" s="297">
        <f t="shared" si="34"/>
        <v>0</v>
      </c>
      <c r="BF98" s="297">
        <f t="shared" si="34"/>
        <v>0</v>
      </c>
      <c r="BG98" s="297">
        <f t="shared" si="34"/>
        <v>0</v>
      </c>
      <c r="BH98" s="297">
        <f t="shared" si="34"/>
        <v>0</v>
      </c>
      <c r="BI98" s="297">
        <f t="shared" si="34"/>
        <v>0</v>
      </c>
      <c r="BJ98" s="297">
        <f t="shared" si="34"/>
        <v>0</v>
      </c>
      <c r="BK98" s="297">
        <f t="shared" si="34"/>
        <v>0</v>
      </c>
      <c r="BL98" s="297">
        <f t="shared" si="34"/>
        <v>0</v>
      </c>
      <c r="BM98" s="297">
        <f t="shared" si="34"/>
        <v>0</v>
      </c>
      <c r="BN98" s="297">
        <f t="shared" si="34"/>
        <v>0</v>
      </c>
      <c r="BO98" s="297">
        <f t="shared" si="34"/>
        <v>0</v>
      </c>
      <c r="BP98" s="297">
        <f t="shared" si="34"/>
        <v>0</v>
      </c>
      <c r="BQ98" s="297">
        <f t="shared" si="34"/>
        <v>0</v>
      </c>
      <c r="BR98" s="297">
        <f t="shared" si="34"/>
        <v>0</v>
      </c>
      <c r="BS98" s="297">
        <f t="shared" si="34"/>
        <v>0</v>
      </c>
      <c r="BT98" s="297">
        <f t="shared" si="34"/>
        <v>0</v>
      </c>
      <c r="BU98" s="297">
        <f t="shared" si="34"/>
        <v>0</v>
      </c>
      <c r="BV98" s="297">
        <f t="shared" si="34"/>
        <v>0</v>
      </c>
      <c r="BW98" s="297">
        <f t="shared" si="34"/>
        <v>0</v>
      </c>
      <c r="BX98" s="297">
        <f t="shared" si="34"/>
        <v>0</v>
      </c>
      <c r="BY98" s="564">
        <f>SUM(E98:BM98)</f>
        <v>-165120094.00758332</v>
      </c>
      <c r="BZ98" s="599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</row>
    <row r="99" spans="1:138" ht="15.95">
      <c r="A99" s="505"/>
      <c r="B99" s="572" t="s">
        <v>288</v>
      </c>
      <c r="C99" s="592"/>
      <c r="D99" s="303"/>
      <c r="E99" s="299">
        <f t="shared" ref="E99:BX99" si="35">E16+E98</f>
        <v>0</v>
      </c>
      <c r="F99" s="299">
        <f t="shared" si="35"/>
        <v>0</v>
      </c>
      <c r="G99" s="299">
        <f t="shared" si="35"/>
        <v>0</v>
      </c>
      <c r="H99" s="299">
        <f t="shared" si="35"/>
        <v>5627202.6450000014</v>
      </c>
      <c r="I99" s="299">
        <f t="shared" si="35"/>
        <v>-1861469.1950000001</v>
      </c>
      <c r="J99" s="299">
        <f t="shared" si="35"/>
        <v>6524247.335</v>
      </c>
      <c r="K99" s="299">
        <f t="shared" si="35"/>
        <v>-7742434.4264731416</v>
      </c>
      <c r="L99" s="299">
        <f t="shared" si="35"/>
        <v>5536599.8922623973</v>
      </c>
      <c r="M99" s="299">
        <f t="shared" si="35"/>
        <v>842729.92551584169</v>
      </c>
      <c r="N99" s="299">
        <f t="shared" si="35"/>
        <v>-375759.82950068824</v>
      </c>
      <c r="O99" s="299">
        <f t="shared" si="35"/>
        <v>7700125.8014993109</v>
      </c>
      <c r="P99" s="299">
        <f t="shared" si="35"/>
        <v>-7918273.0361673553</v>
      </c>
      <c r="Q99" s="299">
        <f t="shared" si="35"/>
        <v>277303.00631098211</v>
      </c>
      <c r="R99" s="299">
        <f t="shared" si="35"/>
        <v>124127.73398866813</v>
      </c>
      <c r="S99" s="299">
        <f t="shared" si="35"/>
        <v>81655.72931098222</v>
      </c>
      <c r="T99" s="299">
        <f t="shared" si="35"/>
        <v>81655.72931098222</v>
      </c>
      <c r="U99" s="299">
        <f t="shared" si="35"/>
        <v>98288.562644315592</v>
      </c>
      <c r="V99" s="299">
        <f t="shared" si="35"/>
        <v>98288.562644315592</v>
      </c>
      <c r="W99" s="299">
        <f t="shared" si="35"/>
        <v>95401.872561670898</v>
      </c>
      <c r="X99" s="299">
        <f t="shared" si="35"/>
        <v>95401.872561670898</v>
      </c>
      <c r="Y99" s="299">
        <f t="shared" si="35"/>
        <v>95401.872561670898</v>
      </c>
      <c r="Z99" s="299">
        <f t="shared" si="35"/>
        <v>95401.872561670898</v>
      </c>
      <c r="AA99" s="299">
        <f t="shared" si="35"/>
        <v>95401.872561670898</v>
      </c>
      <c r="AB99" s="299">
        <f t="shared" si="35"/>
        <v>95401.872561670898</v>
      </c>
      <c r="AC99" s="299">
        <f t="shared" si="35"/>
        <v>59012446.18550989</v>
      </c>
      <c r="AD99" s="300">
        <f t="shared" si="35"/>
        <v>0</v>
      </c>
      <c r="AE99" s="300">
        <f t="shared" si="35"/>
        <v>0</v>
      </c>
      <c r="AF99" s="300">
        <f t="shared" si="35"/>
        <v>0</v>
      </c>
      <c r="AG99" s="300">
        <f t="shared" si="35"/>
        <v>0</v>
      </c>
      <c r="AH99" s="300">
        <f t="shared" si="35"/>
        <v>0</v>
      </c>
      <c r="AI99" s="300">
        <f t="shared" si="35"/>
        <v>0</v>
      </c>
      <c r="AJ99" s="300">
        <f t="shared" si="35"/>
        <v>0</v>
      </c>
      <c r="AK99" s="300">
        <f t="shared" si="35"/>
        <v>0</v>
      </c>
      <c r="AL99" s="300">
        <f t="shared" si="35"/>
        <v>0</v>
      </c>
      <c r="AM99" s="300">
        <f t="shared" si="35"/>
        <v>0</v>
      </c>
      <c r="AN99" s="300">
        <f t="shared" si="35"/>
        <v>0</v>
      </c>
      <c r="AO99" s="299">
        <f t="shared" si="35"/>
        <v>0</v>
      </c>
      <c r="AP99" s="300">
        <f t="shared" si="35"/>
        <v>0</v>
      </c>
      <c r="AQ99" s="300">
        <f t="shared" si="35"/>
        <v>0</v>
      </c>
      <c r="AR99" s="300">
        <f t="shared" si="35"/>
        <v>0</v>
      </c>
      <c r="AS99" s="299">
        <f t="shared" si="35"/>
        <v>0</v>
      </c>
      <c r="AT99" s="299">
        <f t="shared" si="35"/>
        <v>0</v>
      </c>
      <c r="AU99" s="299">
        <f t="shared" si="35"/>
        <v>0</v>
      </c>
      <c r="AV99" s="299">
        <f t="shared" si="35"/>
        <v>0</v>
      </c>
      <c r="AW99" s="299">
        <f t="shared" si="35"/>
        <v>0</v>
      </c>
      <c r="AX99" s="299">
        <f t="shared" si="35"/>
        <v>0</v>
      </c>
      <c r="AY99" s="299">
        <f t="shared" si="35"/>
        <v>0</v>
      </c>
      <c r="AZ99" s="299">
        <f t="shared" si="35"/>
        <v>0</v>
      </c>
      <c r="BA99" s="299">
        <f t="shared" si="35"/>
        <v>0</v>
      </c>
      <c r="BB99" s="299">
        <f t="shared" si="35"/>
        <v>0</v>
      </c>
      <c r="BC99" s="299">
        <f t="shared" si="35"/>
        <v>0</v>
      </c>
      <c r="BD99" s="299">
        <f t="shared" si="35"/>
        <v>0</v>
      </c>
      <c r="BE99" s="299">
        <f t="shared" si="35"/>
        <v>0</v>
      </c>
      <c r="BF99" s="299">
        <f t="shared" si="35"/>
        <v>0</v>
      </c>
      <c r="BG99" s="299">
        <f t="shared" si="35"/>
        <v>0</v>
      </c>
      <c r="BH99" s="299">
        <f t="shared" si="35"/>
        <v>0</v>
      </c>
      <c r="BI99" s="299">
        <f t="shared" si="35"/>
        <v>0</v>
      </c>
      <c r="BJ99" s="299">
        <f t="shared" si="35"/>
        <v>0</v>
      </c>
      <c r="BK99" s="299">
        <f t="shared" si="35"/>
        <v>0</v>
      </c>
      <c r="BL99" s="304">
        <f t="shared" si="35"/>
        <v>0</v>
      </c>
      <c r="BM99" s="304">
        <f t="shared" si="35"/>
        <v>0</v>
      </c>
      <c r="BN99" s="304">
        <f t="shared" si="35"/>
        <v>0</v>
      </c>
      <c r="BO99" s="304">
        <f t="shared" si="35"/>
        <v>0</v>
      </c>
      <c r="BP99" s="304">
        <f t="shared" si="35"/>
        <v>0</v>
      </c>
      <c r="BQ99" s="304">
        <f t="shared" si="35"/>
        <v>0</v>
      </c>
      <c r="BR99" s="304">
        <f t="shared" si="35"/>
        <v>0</v>
      </c>
      <c r="BS99" s="304">
        <f t="shared" si="35"/>
        <v>0</v>
      </c>
      <c r="BT99" s="304">
        <f t="shared" si="35"/>
        <v>0</v>
      </c>
      <c r="BU99" s="304">
        <f t="shared" si="35"/>
        <v>0</v>
      </c>
      <c r="BV99" s="304">
        <f t="shared" si="35"/>
        <v>0</v>
      </c>
      <c r="BW99" s="304">
        <f t="shared" si="35"/>
        <v>0</v>
      </c>
      <c r="BX99" s="304">
        <f t="shared" si="35"/>
        <v>0</v>
      </c>
      <c r="BY99" s="566"/>
      <c r="BZ99" s="603"/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2"/>
      <c r="DI99" s="222"/>
      <c r="DJ99" s="222"/>
      <c r="DK99" s="222"/>
      <c r="DL99" s="222"/>
      <c r="DM99" s="222"/>
      <c r="DN99" s="222"/>
      <c r="DO99" s="222"/>
      <c r="DP99" s="222"/>
      <c r="DQ99" s="222"/>
      <c r="DR99" s="222"/>
      <c r="DS99" s="222"/>
      <c r="DT99" s="222"/>
      <c r="DU99" s="222"/>
      <c r="DV99" s="222"/>
      <c r="DW99" s="222"/>
      <c r="DX99" s="222"/>
      <c r="DY99" s="222"/>
      <c r="DZ99" s="222"/>
      <c r="EA99" s="222"/>
      <c r="EB99" s="222"/>
      <c r="EC99" s="222"/>
      <c r="ED99" s="222"/>
      <c r="EE99" s="222"/>
      <c r="EF99" s="222"/>
      <c r="EG99" s="222"/>
      <c r="EH99" s="222"/>
    </row>
    <row r="100" spans="1:138">
      <c r="A100" s="505"/>
      <c r="B100" s="573" t="s">
        <v>289</v>
      </c>
      <c r="C100" s="592"/>
      <c r="D100" s="305"/>
      <c r="E100" s="306">
        <f>E99</f>
        <v>0</v>
      </c>
      <c r="F100" s="306">
        <f>F99+E100</f>
        <v>0</v>
      </c>
      <c r="G100" s="306">
        <f>655760.63+24.98*24.5-16.85*22</f>
        <v>656001.94000000006</v>
      </c>
      <c r="H100" s="306">
        <f t="shared" ref="H100:AC100" si="36">H99+G100-66</f>
        <v>6283138.5850000018</v>
      </c>
      <c r="I100" s="306">
        <f t="shared" si="36"/>
        <v>4421603.3900000015</v>
      </c>
      <c r="J100" s="306">
        <f t="shared" si="36"/>
        <v>10945784.725000001</v>
      </c>
      <c r="K100" s="306">
        <f t="shared" si="36"/>
        <v>3203284.2985268598</v>
      </c>
      <c r="L100" s="306">
        <f t="shared" si="36"/>
        <v>8739818.1907892562</v>
      </c>
      <c r="M100" s="306">
        <f t="shared" si="36"/>
        <v>9582482.1163050979</v>
      </c>
      <c r="N100" s="306">
        <f t="shared" si="36"/>
        <v>9206656.2868044097</v>
      </c>
      <c r="O100" s="306">
        <f t="shared" si="36"/>
        <v>16906716.088303722</v>
      </c>
      <c r="P100" s="306">
        <f t="shared" si="36"/>
        <v>8988377.0521363672</v>
      </c>
      <c r="Q100" s="306">
        <f t="shared" si="36"/>
        <v>9265614.0584473498</v>
      </c>
      <c r="R100" s="306">
        <f t="shared" si="36"/>
        <v>9389675.7924360186</v>
      </c>
      <c r="S100" s="306">
        <f t="shared" si="36"/>
        <v>9471265.5217470005</v>
      </c>
      <c r="T100" s="306">
        <f t="shared" si="36"/>
        <v>9552855.2510579824</v>
      </c>
      <c r="U100" s="306">
        <f t="shared" si="36"/>
        <v>9651077.8137022983</v>
      </c>
      <c r="V100" s="306">
        <f t="shared" si="36"/>
        <v>9749300.3763466142</v>
      </c>
      <c r="W100" s="306">
        <f t="shared" si="36"/>
        <v>9844636.2489082851</v>
      </c>
      <c r="X100" s="306">
        <f t="shared" si="36"/>
        <v>9939972.1214699559</v>
      </c>
      <c r="Y100" s="306">
        <f t="shared" si="36"/>
        <v>10035307.994031627</v>
      </c>
      <c r="Z100" s="306">
        <f t="shared" si="36"/>
        <v>10130643.866593298</v>
      </c>
      <c r="AA100" s="306">
        <f t="shared" si="36"/>
        <v>10225979.739154968</v>
      </c>
      <c r="AB100" s="306">
        <f t="shared" si="36"/>
        <v>10321315.611716639</v>
      </c>
      <c r="AC100" s="306">
        <f t="shared" si="36"/>
        <v>69333695.797226533</v>
      </c>
      <c r="AD100" s="306">
        <f t="shared" ref="AD100:BX100" si="37">AD99+AC100</f>
        <v>69333695.797226533</v>
      </c>
      <c r="AE100" s="306">
        <f t="shared" si="37"/>
        <v>69333695.797226533</v>
      </c>
      <c r="AF100" s="306">
        <f t="shared" si="37"/>
        <v>69333695.797226533</v>
      </c>
      <c r="AG100" s="306">
        <f t="shared" si="37"/>
        <v>69333695.797226533</v>
      </c>
      <c r="AH100" s="306">
        <f t="shared" si="37"/>
        <v>69333695.797226533</v>
      </c>
      <c r="AI100" s="306">
        <f t="shared" si="37"/>
        <v>69333695.797226533</v>
      </c>
      <c r="AJ100" s="306">
        <f t="shared" si="37"/>
        <v>69333695.797226533</v>
      </c>
      <c r="AK100" s="306">
        <f t="shared" si="37"/>
        <v>69333695.797226533</v>
      </c>
      <c r="AL100" s="306">
        <f t="shared" si="37"/>
        <v>69333695.797226533</v>
      </c>
      <c r="AM100" s="306">
        <f t="shared" si="37"/>
        <v>69333695.797226533</v>
      </c>
      <c r="AN100" s="306">
        <f t="shared" si="37"/>
        <v>69333695.797226533</v>
      </c>
      <c r="AO100" s="306">
        <f t="shared" si="37"/>
        <v>69333695.797226533</v>
      </c>
      <c r="AP100" s="306">
        <f t="shared" si="37"/>
        <v>69333695.797226533</v>
      </c>
      <c r="AQ100" s="306">
        <f t="shared" si="37"/>
        <v>69333695.797226533</v>
      </c>
      <c r="AR100" s="306">
        <f t="shared" si="37"/>
        <v>69333695.797226533</v>
      </c>
      <c r="AS100" s="306">
        <f t="shared" si="37"/>
        <v>69333695.797226533</v>
      </c>
      <c r="AT100" s="306">
        <f t="shared" si="37"/>
        <v>69333695.797226533</v>
      </c>
      <c r="AU100" s="306">
        <f t="shared" si="37"/>
        <v>69333695.797226533</v>
      </c>
      <c r="AV100" s="306">
        <f t="shared" si="37"/>
        <v>69333695.797226533</v>
      </c>
      <c r="AW100" s="306">
        <f t="shared" si="37"/>
        <v>69333695.797226533</v>
      </c>
      <c r="AX100" s="306">
        <f t="shared" si="37"/>
        <v>69333695.797226533</v>
      </c>
      <c r="AY100" s="306">
        <f t="shared" si="37"/>
        <v>69333695.797226533</v>
      </c>
      <c r="AZ100" s="306">
        <f t="shared" si="37"/>
        <v>69333695.797226533</v>
      </c>
      <c r="BA100" s="306">
        <f t="shared" si="37"/>
        <v>69333695.797226533</v>
      </c>
      <c r="BB100" s="306">
        <f t="shared" si="37"/>
        <v>69333695.797226533</v>
      </c>
      <c r="BC100" s="306">
        <f t="shared" si="37"/>
        <v>69333695.797226533</v>
      </c>
      <c r="BD100" s="306">
        <f t="shared" si="37"/>
        <v>69333695.797226533</v>
      </c>
      <c r="BE100" s="306">
        <f t="shared" si="37"/>
        <v>69333695.797226533</v>
      </c>
      <c r="BF100" s="306">
        <f t="shared" si="37"/>
        <v>69333695.797226533</v>
      </c>
      <c r="BG100" s="306">
        <f t="shared" si="37"/>
        <v>69333695.797226533</v>
      </c>
      <c r="BH100" s="306">
        <f t="shared" si="37"/>
        <v>69333695.797226533</v>
      </c>
      <c r="BI100" s="306">
        <f t="shared" si="37"/>
        <v>69333695.797226533</v>
      </c>
      <c r="BJ100" s="306">
        <f t="shared" si="37"/>
        <v>69333695.797226533</v>
      </c>
      <c r="BK100" s="306">
        <f t="shared" si="37"/>
        <v>69333695.797226533</v>
      </c>
      <c r="BL100" s="306">
        <f t="shared" si="37"/>
        <v>69333695.797226533</v>
      </c>
      <c r="BM100" s="306">
        <f t="shared" si="37"/>
        <v>69333695.797226533</v>
      </c>
      <c r="BN100" s="306">
        <f t="shared" si="37"/>
        <v>69333695.797226533</v>
      </c>
      <c r="BO100" s="306">
        <f t="shared" si="37"/>
        <v>69333695.797226533</v>
      </c>
      <c r="BP100" s="306">
        <f t="shared" si="37"/>
        <v>69333695.797226533</v>
      </c>
      <c r="BQ100" s="306">
        <f t="shared" si="37"/>
        <v>69333695.797226533</v>
      </c>
      <c r="BR100" s="306">
        <f t="shared" si="37"/>
        <v>69333695.797226533</v>
      </c>
      <c r="BS100" s="306">
        <f t="shared" si="37"/>
        <v>69333695.797226533</v>
      </c>
      <c r="BT100" s="306">
        <f t="shared" si="37"/>
        <v>69333695.797226533</v>
      </c>
      <c r="BU100" s="306">
        <f t="shared" si="37"/>
        <v>69333695.797226533</v>
      </c>
      <c r="BV100" s="306">
        <f t="shared" si="37"/>
        <v>69333695.797226533</v>
      </c>
      <c r="BW100" s="306">
        <f t="shared" si="37"/>
        <v>69333695.797226533</v>
      </c>
      <c r="BX100" s="306">
        <f t="shared" si="37"/>
        <v>69333695.797226533</v>
      </c>
      <c r="BY100" s="222"/>
      <c r="BZ100" s="222"/>
      <c r="CA100" s="222"/>
      <c r="CB100" s="222"/>
      <c r="CC100" s="222"/>
      <c r="CD100" s="222"/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2"/>
      <c r="CQ100" s="222"/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E100" s="222"/>
      <c r="EF100" s="222"/>
      <c r="EG100" s="222"/>
      <c r="EH100" s="222"/>
    </row>
    <row r="101" spans="1:138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2"/>
      <c r="BK101" s="222"/>
      <c r="BL101" s="222"/>
      <c r="BM101" s="222"/>
      <c r="BN101" s="222"/>
      <c r="BO101" s="222"/>
      <c r="BP101" s="222"/>
      <c r="BQ101" s="222"/>
      <c r="BR101" s="222"/>
      <c r="BS101" s="222"/>
      <c r="BT101" s="222"/>
      <c r="BU101" s="222"/>
      <c r="BV101" s="222"/>
      <c r="BW101" s="222"/>
      <c r="BX101" s="222"/>
      <c r="BY101" s="307"/>
      <c r="BZ101" s="222"/>
      <c r="CA101" s="222"/>
      <c r="CB101" s="222"/>
      <c r="CC101" s="222"/>
      <c r="CD101" s="222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2"/>
      <c r="CV101" s="222"/>
      <c r="CW101" s="222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2"/>
      <c r="DI101" s="222"/>
      <c r="DJ101" s="222"/>
      <c r="DK101" s="222"/>
      <c r="DL101" s="222"/>
      <c r="DM101" s="222"/>
      <c r="DN101" s="222"/>
      <c r="DO101" s="222"/>
      <c r="DP101" s="222"/>
      <c r="DQ101" s="222"/>
      <c r="DR101" s="222"/>
      <c r="DS101" s="222"/>
      <c r="DT101" s="222"/>
      <c r="DU101" s="222"/>
      <c r="DV101" s="222"/>
      <c r="DW101" s="222"/>
      <c r="DX101" s="222"/>
      <c r="DY101" s="222"/>
      <c r="DZ101" s="222"/>
      <c r="EA101" s="222"/>
      <c r="EB101" s="222"/>
      <c r="EC101" s="222"/>
      <c r="ED101" s="222"/>
      <c r="EE101" s="222"/>
      <c r="EF101" s="222"/>
      <c r="EG101" s="222"/>
      <c r="EH101" s="222"/>
    </row>
    <row r="102" spans="1:138" hidden="1">
      <c r="A102" s="222"/>
      <c r="B102" s="222"/>
      <c r="C102" s="222"/>
      <c r="D102" s="308" t="s">
        <v>290</v>
      </c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9"/>
      <c r="W102" s="309"/>
      <c r="X102" s="309"/>
      <c r="Y102" s="309"/>
      <c r="Z102" s="309"/>
      <c r="AA102" s="309"/>
      <c r="AB102" s="309"/>
      <c r="AC102" s="309"/>
      <c r="AD102" s="309"/>
      <c r="AE102" s="309"/>
      <c r="AF102" s="309"/>
      <c r="AG102" s="309"/>
      <c r="AH102" s="309"/>
      <c r="AI102" s="309"/>
      <c r="AJ102" s="309"/>
      <c r="AK102" s="309"/>
      <c r="AL102" s="309"/>
      <c r="AM102" s="309"/>
      <c r="AN102" s="309"/>
      <c r="AO102" s="309"/>
      <c r="AP102" s="309"/>
      <c r="AQ102" s="309"/>
      <c r="AR102" s="309"/>
      <c r="AS102" s="309"/>
      <c r="AT102" s="309"/>
      <c r="AU102" s="309"/>
      <c r="AV102" s="309"/>
      <c r="AW102" s="309"/>
      <c r="AX102" s="309"/>
      <c r="AY102" s="309"/>
      <c r="AZ102" s="309"/>
      <c r="BA102" s="309"/>
      <c r="BB102" s="309"/>
      <c r="BC102" s="309"/>
      <c r="BD102" s="309"/>
      <c r="BE102" s="309"/>
      <c r="BF102" s="309"/>
      <c r="BG102" s="309"/>
      <c r="BH102" s="309"/>
      <c r="BI102" s="309"/>
      <c r="BJ102" s="309"/>
      <c r="BK102" s="309"/>
      <c r="BL102" s="309"/>
      <c r="BM102" s="309"/>
      <c r="BN102" s="309"/>
      <c r="BO102" s="309"/>
      <c r="BP102" s="309"/>
      <c r="BQ102" s="309"/>
      <c r="BR102" s="309"/>
      <c r="BS102" s="309"/>
      <c r="BT102" s="309"/>
      <c r="BU102" s="309"/>
      <c r="BV102" s="309"/>
      <c r="BW102" s="309"/>
      <c r="BX102" s="309"/>
      <c r="BY102" s="307"/>
      <c r="BZ102" s="222"/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</row>
    <row r="103" spans="1:138" hidden="1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222"/>
      <c r="AF103" s="222"/>
      <c r="AG103" s="222"/>
      <c r="AH103" s="222"/>
      <c r="AI103" s="222"/>
      <c r="AJ103" s="222"/>
      <c r="AK103" s="222"/>
      <c r="AL103" s="222"/>
      <c r="AM103" s="222"/>
      <c r="AN103" s="222"/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2"/>
      <c r="BB103" s="222"/>
      <c r="BC103" s="222"/>
      <c r="BD103" s="222"/>
      <c r="BE103" s="222"/>
      <c r="BF103" s="222"/>
      <c r="BG103" s="222"/>
      <c r="BH103" s="222"/>
      <c r="BI103" s="222"/>
      <c r="BJ103" s="222"/>
      <c r="BK103" s="222"/>
      <c r="BL103" s="222"/>
      <c r="BM103" s="222"/>
      <c r="BN103" s="222"/>
      <c r="BO103" s="222"/>
      <c r="BP103" s="222"/>
      <c r="BQ103" s="222"/>
      <c r="BR103" s="222"/>
      <c r="BS103" s="222"/>
      <c r="BT103" s="222"/>
      <c r="BU103" s="222"/>
      <c r="BV103" s="222"/>
      <c r="BW103" s="222"/>
      <c r="BX103" s="222"/>
      <c r="BY103" s="307"/>
      <c r="BZ103" s="222"/>
      <c r="CA103" s="222"/>
      <c r="CB103" s="222"/>
      <c r="CC103" s="222"/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2"/>
      <c r="CV103" s="222"/>
      <c r="CW103" s="222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2"/>
      <c r="DI103" s="222"/>
      <c r="DJ103" s="222"/>
      <c r="DK103" s="222"/>
      <c r="DL103" s="222"/>
      <c r="DM103" s="222"/>
      <c r="DN103" s="222"/>
      <c r="DO103" s="222"/>
      <c r="DP103" s="222"/>
      <c r="DQ103" s="222"/>
      <c r="DR103" s="222"/>
      <c r="DS103" s="222"/>
      <c r="DT103" s="222"/>
      <c r="DU103" s="222"/>
      <c r="DV103" s="222"/>
      <c r="DW103" s="222"/>
      <c r="DX103" s="222"/>
      <c r="DY103" s="222"/>
      <c r="DZ103" s="222"/>
      <c r="EA103" s="222"/>
      <c r="EB103" s="222"/>
      <c r="EC103" s="222"/>
      <c r="ED103" s="222"/>
      <c r="EE103" s="222"/>
      <c r="EF103" s="222"/>
      <c r="EG103" s="222"/>
      <c r="EH103" s="222"/>
    </row>
    <row r="104" spans="1:138" hidden="1">
      <c r="A104" s="222"/>
      <c r="B104" s="222"/>
      <c r="C104" s="310" t="s">
        <v>291</v>
      </c>
      <c r="D104" s="311"/>
      <c r="E104" s="312">
        <f>E112+E130+E191+E207</f>
        <v>0</v>
      </c>
      <c r="F104" s="312">
        <f t="shared" ref="F104:BW104" si="38">F112+F207</f>
        <v>0</v>
      </c>
      <c r="G104" s="312">
        <f t="shared" si="38"/>
        <v>0</v>
      </c>
      <c r="H104" s="312">
        <f t="shared" si="38"/>
        <v>-21706207.5</v>
      </c>
      <c r="I104" s="312">
        <f t="shared" si="38"/>
        <v>0</v>
      </c>
      <c r="J104" s="312">
        <f t="shared" si="38"/>
        <v>-8333333</v>
      </c>
      <c r="K104" s="312">
        <f t="shared" si="38"/>
        <v>-885000</v>
      </c>
      <c r="L104" s="312">
        <f t="shared" si="38"/>
        <v>885000</v>
      </c>
      <c r="M104" s="312">
        <f t="shared" si="38"/>
        <v>0</v>
      </c>
      <c r="N104" s="312">
        <f t="shared" si="38"/>
        <v>0</v>
      </c>
      <c r="O104" s="312">
        <f t="shared" si="38"/>
        <v>0</v>
      </c>
      <c r="P104" s="312">
        <f t="shared" si="38"/>
        <v>0</v>
      </c>
      <c r="Q104" s="312">
        <f t="shared" si="38"/>
        <v>0</v>
      </c>
      <c r="R104" s="312">
        <f t="shared" si="38"/>
        <v>0</v>
      </c>
      <c r="S104" s="312">
        <f t="shared" si="38"/>
        <v>0</v>
      </c>
      <c r="T104" s="312">
        <f t="shared" si="38"/>
        <v>5341205.5</v>
      </c>
      <c r="U104" s="312">
        <f t="shared" si="38"/>
        <v>0</v>
      </c>
      <c r="V104" s="312">
        <f t="shared" si="38"/>
        <v>0</v>
      </c>
      <c r="W104" s="312">
        <f t="shared" si="38"/>
        <v>0</v>
      </c>
      <c r="X104" s="312">
        <f t="shared" si="38"/>
        <v>0</v>
      </c>
      <c r="Y104" s="312">
        <f t="shared" si="38"/>
        <v>0</v>
      </c>
      <c r="Z104" s="312">
        <f t="shared" si="38"/>
        <v>0</v>
      </c>
      <c r="AA104" s="312">
        <f t="shared" si="38"/>
        <v>0</v>
      </c>
      <c r="AB104" s="312">
        <f t="shared" si="38"/>
        <v>0</v>
      </c>
      <c r="AC104" s="312">
        <f t="shared" si="38"/>
        <v>24698335</v>
      </c>
      <c r="AD104" s="312">
        <f t="shared" si="38"/>
        <v>0</v>
      </c>
      <c r="AE104" s="312">
        <f t="shared" si="38"/>
        <v>0</v>
      </c>
      <c r="AF104" s="312">
        <f t="shared" si="38"/>
        <v>0</v>
      </c>
      <c r="AG104" s="312">
        <f t="shared" si="38"/>
        <v>0</v>
      </c>
      <c r="AH104" s="312">
        <f t="shared" si="38"/>
        <v>0</v>
      </c>
      <c r="AI104" s="312">
        <f t="shared" si="38"/>
        <v>0</v>
      </c>
      <c r="AJ104" s="312">
        <f t="shared" si="38"/>
        <v>0</v>
      </c>
      <c r="AK104" s="312">
        <f t="shared" si="38"/>
        <v>0</v>
      </c>
      <c r="AL104" s="312">
        <f t="shared" si="38"/>
        <v>0</v>
      </c>
      <c r="AM104" s="312">
        <f t="shared" si="38"/>
        <v>0</v>
      </c>
      <c r="AN104" s="312">
        <f t="shared" si="38"/>
        <v>0</v>
      </c>
      <c r="AO104" s="312">
        <f t="shared" si="38"/>
        <v>0</v>
      </c>
      <c r="AP104" s="312">
        <f t="shared" si="38"/>
        <v>0</v>
      </c>
      <c r="AQ104" s="312">
        <f t="shared" si="38"/>
        <v>0</v>
      </c>
      <c r="AR104" s="312">
        <f t="shared" si="38"/>
        <v>0</v>
      </c>
      <c r="AS104" s="312">
        <f t="shared" si="38"/>
        <v>0</v>
      </c>
      <c r="AT104" s="312">
        <f t="shared" si="38"/>
        <v>0</v>
      </c>
      <c r="AU104" s="312">
        <f t="shared" si="38"/>
        <v>0</v>
      </c>
      <c r="AV104" s="312">
        <f t="shared" si="38"/>
        <v>0</v>
      </c>
      <c r="AW104" s="312">
        <f t="shared" si="38"/>
        <v>0</v>
      </c>
      <c r="AX104" s="312">
        <f t="shared" si="38"/>
        <v>0</v>
      </c>
      <c r="AY104" s="312">
        <f t="shared" si="38"/>
        <v>0</v>
      </c>
      <c r="AZ104" s="312">
        <f t="shared" si="38"/>
        <v>0</v>
      </c>
      <c r="BA104" s="312">
        <f t="shared" si="38"/>
        <v>0</v>
      </c>
      <c r="BB104" s="312">
        <f t="shared" si="38"/>
        <v>0</v>
      </c>
      <c r="BC104" s="312">
        <f t="shared" si="38"/>
        <v>0</v>
      </c>
      <c r="BD104" s="312">
        <f t="shared" si="38"/>
        <v>0</v>
      </c>
      <c r="BE104" s="312">
        <f t="shared" si="38"/>
        <v>0</v>
      </c>
      <c r="BF104" s="312">
        <f t="shared" si="38"/>
        <v>0</v>
      </c>
      <c r="BG104" s="312">
        <f t="shared" si="38"/>
        <v>0</v>
      </c>
      <c r="BH104" s="312">
        <f t="shared" si="38"/>
        <v>0</v>
      </c>
      <c r="BI104" s="312">
        <f t="shared" si="38"/>
        <v>0</v>
      </c>
      <c r="BJ104" s="312">
        <f t="shared" si="38"/>
        <v>0</v>
      </c>
      <c r="BK104" s="312">
        <f t="shared" si="38"/>
        <v>0</v>
      </c>
      <c r="BL104" s="312">
        <f t="shared" si="38"/>
        <v>0</v>
      </c>
      <c r="BM104" s="312">
        <f t="shared" si="38"/>
        <v>0</v>
      </c>
      <c r="BN104" s="312">
        <f t="shared" si="38"/>
        <v>0</v>
      </c>
      <c r="BO104" s="312">
        <f t="shared" si="38"/>
        <v>0</v>
      </c>
      <c r="BP104" s="312">
        <f t="shared" si="38"/>
        <v>0</v>
      </c>
      <c r="BQ104" s="312">
        <f t="shared" si="38"/>
        <v>0</v>
      </c>
      <c r="BR104" s="312">
        <f t="shared" si="38"/>
        <v>0</v>
      </c>
      <c r="BS104" s="312">
        <f t="shared" si="38"/>
        <v>0</v>
      </c>
      <c r="BT104" s="312">
        <f t="shared" si="38"/>
        <v>0</v>
      </c>
      <c r="BU104" s="312">
        <f t="shared" si="38"/>
        <v>0</v>
      </c>
      <c r="BV104" s="312">
        <f t="shared" si="38"/>
        <v>0</v>
      </c>
      <c r="BW104" s="312">
        <f t="shared" si="38"/>
        <v>0</v>
      </c>
      <c r="BX104" s="312">
        <f>BX112+BX207+BX100</f>
        <v>69333695.797226533</v>
      </c>
      <c r="BY104" s="307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</row>
    <row r="105" spans="1:138" hidden="1">
      <c r="A105" s="222"/>
      <c r="B105" s="222"/>
      <c r="C105" s="313" t="s">
        <v>292</v>
      </c>
      <c r="D105" s="574">
        <f>IRR(E104:BX104)*12</f>
        <v>0.32059563751795306</v>
      </c>
      <c r="E105" s="599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2"/>
      <c r="BN105" s="222"/>
      <c r="BO105" s="222"/>
      <c r="BP105" s="222"/>
      <c r="BQ105" s="222"/>
      <c r="BR105" s="222"/>
      <c r="BS105" s="222"/>
      <c r="BT105" s="222"/>
      <c r="BU105" s="222"/>
      <c r="BV105" s="222"/>
      <c r="BW105" s="222"/>
      <c r="BX105" s="222"/>
      <c r="BY105" s="307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</row>
    <row r="106" spans="1:138" hidden="1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22"/>
      <c r="BU106" s="222"/>
      <c r="BV106" s="222"/>
      <c r="BW106" s="222"/>
      <c r="BX106" s="222"/>
      <c r="BY106" s="307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  <c r="DF106" s="222"/>
      <c r="DG106" s="222"/>
      <c r="DH106" s="222"/>
      <c r="DI106" s="222"/>
      <c r="DJ106" s="222"/>
      <c r="DK106" s="222"/>
      <c r="DL106" s="222"/>
      <c r="DM106" s="222"/>
      <c r="DN106" s="222"/>
      <c r="DO106" s="222"/>
      <c r="DP106" s="222"/>
      <c r="DQ106" s="222"/>
      <c r="DR106" s="222"/>
      <c r="DS106" s="222"/>
      <c r="DT106" s="222"/>
      <c r="DU106" s="222"/>
      <c r="DV106" s="222"/>
      <c r="DW106" s="222"/>
      <c r="DX106" s="222"/>
      <c r="DY106" s="222"/>
      <c r="DZ106" s="222"/>
      <c r="EA106" s="222"/>
      <c r="EB106" s="222"/>
      <c r="EC106" s="222"/>
      <c r="ED106" s="222"/>
      <c r="EE106" s="222"/>
      <c r="EF106" s="222"/>
      <c r="EG106" s="222"/>
      <c r="EH106" s="222"/>
    </row>
    <row r="107" spans="1:138" hidden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307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2"/>
      <c r="DD107" s="222"/>
      <c r="DE107" s="222"/>
      <c r="DF107" s="222"/>
      <c r="DG107" s="222"/>
      <c r="DH107" s="222"/>
      <c r="DI107" s="222"/>
      <c r="DJ107" s="222"/>
      <c r="DK107" s="222"/>
      <c r="DL107" s="222"/>
      <c r="DM107" s="222"/>
      <c r="DN107" s="222"/>
      <c r="DO107" s="222"/>
      <c r="DP107" s="222"/>
      <c r="DQ107" s="222"/>
      <c r="DR107" s="222"/>
      <c r="DS107" s="222"/>
      <c r="DT107" s="222"/>
      <c r="DU107" s="222"/>
      <c r="DV107" s="222"/>
      <c r="DW107" s="222"/>
      <c r="DX107" s="222"/>
      <c r="DY107" s="222"/>
      <c r="DZ107" s="222"/>
      <c r="EA107" s="222"/>
      <c r="EB107" s="222"/>
      <c r="EC107" s="222"/>
      <c r="ED107" s="222"/>
      <c r="EE107" s="222"/>
      <c r="EF107" s="222"/>
      <c r="EG107" s="222"/>
      <c r="EH107" s="222"/>
    </row>
    <row r="108" spans="1:138" ht="17.100000000000001" hidden="1">
      <c r="A108" s="222"/>
      <c r="B108" s="222"/>
      <c r="C108" s="310" t="s">
        <v>293</v>
      </c>
      <c r="D108" s="604"/>
      <c r="E108" s="598"/>
      <c r="F108" s="598"/>
      <c r="G108" s="598"/>
      <c r="H108" s="598"/>
      <c r="I108" s="598"/>
      <c r="J108" s="598"/>
      <c r="K108" s="598"/>
      <c r="L108" s="598"/>
      <c r="M108" s="598"/>
      <c r="N108" s="598"/>
      <c r="O108" s="598"/>
      <c r="P108" s="598"/>
      <c r="Q108" s="598"/>
      <c r="R108" s="598"/>
      <c r="S108" s="598"/>
      <c r="T108" s="598"/>
      <c r="U108" s="598"/>
      <c r="V108" s="598"/>
      <c r="W108" s="598"/>
      <c r="X108" s="598"/>
      <c r="Y108" s="598"/>
      <c r="Z108" s="598"/>
      <c r="AA108" s="598"/>
      <c r="AB108" s="598"/>
      <c r="AC108" s="598"/>
      <c r="AD108" s="598"/>
      <c r="AE108" s="598"/>
      <c r="AF108" s="598"/>
      <c r="AG108" s="598"/>
      <c r="AH108" s="598"/>
      <c r="AI108" s="598"/>
      <c r="AJ108" s="598"/>
      <c r="AK108" s="598"/>
      <c r="AL108" s="598"/>
      <c r="AM108" s="598"/>
      <c r="AN108" s="598"/>
      <c r="AO108" s="598"/>
      <c r="AP108" s="598"/>
      <c r="AQ108" s="598"/>
      <c r="AR108" s="598"/>
      <c r="AS108" s="598"/>
      <c r="AT108" s="598"/>
      <c r="AU108" s="598"/>
      <c r="AV108" s="598"/>
      <c r="AW108" s="598"/>
      <c r="AX108" s="598"/>
      <c r="AY108" s="598"/>
      <c r="AZ108" s="598"/>
      <c r="BA108" s="598"/>
      <c r="BB108" s="598"/>
      <c r="BC108" s="598"/>
      <c r="BD108" s="598"/>
      <c r="BE108" s="598"/>
      <c r="BF108" s="598"/>
      <c r="BG108" s="598"/>
      <c r="BH108" s="598"/>
      <c r="BI108" s="598"/>
      <c r="BJ108" s="598"/>
      <c r="BK108" s="598"/>
      <c r="BL108" s="598"/>
      <c r="BM108" s="598"/>
      <c r="BN108" s="598"/>
      <c r="BO108" s="598"/>
      <c r="BP108" s="598"/>
      <c r="BQ108" s="598"/>
      <c r="BR108" s="598"/>
      <c r="BS108" s="598"/>
      <c r="BT108" s="598"/>
      <c r="BU108" s="598"/>
      <c r="BV108" s="598"/>
      <c r="BW108" s="599"/>
      <c r="BX108" s="315">
        <f>BX100*C109</f>
        <v>13866739.159445308</v>
      </c>
      <c r="BY108" s="307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2"/>
      <c r="DD108" s="222"/>
      <c r="DE108" s="222"/>
      <c r="DF108" s="222"/>
      <c r="DG108" s="222"/>
      <c r="DH108" s="222"/>
      <c r="DI108" s="222"/>
      <c r="DJ108" s="222"/>
      <c r="DK108" s="222"/>
      <c r="DL108" s="222"/>
      <c r="DM108" s="222"/>
      <c r="DN108" s="222"/>
      <c r="DO108" s="222"/>
      <c r="DP108" s="222"/>
      <c r="DQ108" s="222"/>
      <c r="DR108" s="222"/>
      <c r="DS108" s="222"/>
      <c r="DT108" s="222"/>
      <c r="DU108" s="222"/>
      <c r="DV108" s="222"/>
      <c r="DW108" s="222"/>
      <c r="DX108" s="222"/>
      <c r="DY108" s="222"/>
      <c r="DZ108" s="222"/>
      <c r="EA108" s="222"/>
      <c r="EB108" s="222"/>
      <c r="EC108" s="222"/>
      <c r="ED108" s="222"/>
      <c r="EE108" s="222"/>
      <c r="EF108" s="222"/>
      <c r="EG108" s="222"/>
      <c r="EH108" s="222"/>
    </row>
    <row r="109" spans="1:138" ht="18.95" hidden="1">
      <c r="A109" s="222"/>
      <c r="B109" s="222"/>
      <c r="C109" s="316">
        <v>0.2</v>
      </c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2"/>
      <c r="AM109" s="222"/>
      <c r="AN109" s="222"/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2"/>
      <c r="BA109" s="222"/>
      <c r="BB109" s="222"/>
      <c r="BC109" s="222"/>
      <c r="BD109" s="222"/>
      <c r="BE109" s="222"/>
      <c r="BF109" s="222"/>
      <c r="BG109" s="222"/>
      <c r="BH109" s="222"/>
      <c r="BI109" s="222"/>
      <c r="BJ109" s="222"/>
      <c r="BK109" s="222"/>
      <c r="BL109" s="222"/>
      <c r="BM109" s="222"/>
      <c r="BN109" s="222"/>
      <c r="BO109" s="222"/>
      <c r="BP109" s="222"/>
      <c r="BQ109" s="222"/>
      <c r="BR109" s="222"/>
      <c r="BS109" s="222"/>
      <c r="BT109" s="222"/>
      <c r="BU109" s="222"/>
      <c r="BV109" s="222"/>
      <c r="BW109" s="222"/>
      <c r="BX109" s="222"/>
      <c r="BY109" s="307"/>
      <c r="BZ109" s="222"/>
      <c r="CA109" s="222"/>
      <c r="CB109" s="222"/>
      <c r="CC109" s="222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222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222"/>
      <c r="DA109" s="222"/>
      <c r="DB109" s="222"/>
      <c r="DC109" s="222"/>
      <c r="DD109" s="222"/>
      <c r="DE109" s="222"/>
      <c r="DF109" s="222"/>
      <c r="DG109" s="222"/>
      <c r="DH109" s="222"/>
      <c r="DI109" s="222"/>
      <c r="DJ109" s="222"/>
      <c r="DK109" s="222"/>
      <c r="DL109" s="222"/>
      <c r="DM109" s="222"/>
      <c r="DN109" s="222"/>
      <c r="DO109" s="222"/>
      <c r="DP109" s="222"/>
      <c r="DQ109" s="222"/>
      <c r="DR109" s="222"/>
      <c r="DS109" s="222"/>
      <c r="DT109" s="222"/>
      <c r="DU109" s="222"/>
      <c r="DV109" s="222"/>
      <c r="DW109" s="222"/>
      <c r="DX109" s="222"/>
      <c r="DY109" s="222"/>
      <c r="DZ109" s="222"/>
      <c r="EA109" s="222"/>
      <c r="EB109" s="222"/>
      <c r="EC109" s="222"/>
      <c r="ED109" s="222"/>
      <c r="EE109" s="222"/>
      <c r="EF109" s="222"/>
      <c r="EG109" s="222"/>
      <c r="EH109" s="222"/>
    </row>
    <row r="110" spans="1:138" hidden="1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  <c r="AL110" s="222"/>
      <c r="AM110" s="222"/>
      <c r="AN110" s="222"/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  <c r="BB110" s="222"/>
      <c r="BC110" s="222"/>
      <c r="BD110" s="222"/>
      <c r="BE110" s="222"/>
      <c r="BF110" s="222"/>
      <c r="BG110" s="222"/>
      <c r="BH110" s="222"/>
      <c r="BI110" s="222"/>
      <c r="BJ110" s="222"/>
      <c r="BK110" s="222"/>
      <c r="BL110" s="222"/>
      <c r="BM110" s="222"/>
      <c r="BN110" s="222"/>
      <c r="BO110" s="222"/>
      <c r="BP110" s="222"/>
      <c r="BQ110" s="222"/>
      <c r="BR110" s="222"/>
      <c r="BS110" s="222"/>
      <c r="BT110" s="222"/>
      <c r="BU110" s="222"/>
      <c r="BV110" s="222"/>
      <c r="BW110" s="222"/>
      <c r="BX110" s="222"/>
      <c r="BY110" s="307"/>
      <c r="BZ110" s="222"/>
      <c r="CA110" s="222"/>
      <c r="CB110" s="222"/>
      <c r="CC110" s="222"/>
      <c r="CD110" s="222"/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2"/>
      <c r="CQ110" s="222"/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2"/>
      <c r="DD110" s="222"/>
      <c r="DE110" s="222"/>
      <c r="DF110" s="222"/>
      <c r="DG110" s="222"/>
      <c r="DH110" s="222"/>
      <c r="DI110" s="222"/>
      <c r="DJ110" s="222"/>
      <c r="DK110" s="222"/>
      <c r="DL110" s="222"/>
      <c r="DM110" s="222"/>
      <c r="DN110" s="222"/>
      <c r="DO110" s="222"/>
      <c r="DP110" s="222"/>
      <c r="DQ110" s="222"/>
      <c r="DR110" s="222"/>
      <c r="DS110" s="222"/>
      <c r="DT110" s="222"/>
      <c r="DU110" s="222"/>
      <c r="DV110" s="222"/>
      <c r="DW110" s="222"/>
      <c r="DX110" s="222"/>
      <c r="DY110" s="222"/>
      <c r="DZ110" s="222"/>
      <c r="EA110" s="222"/>
      <c r="EB110" s="222"/>
      <c r="EC110" s="222"/>
      <c r="ED110" s="222"/>
      <c r="EE110" s="222"/>
      <c r="EF110" s="222"/>
      <c r="EG110" s="222"/>
      <c r="EH110" s="222"/>
    </row>
    <row r="111" spans="1:138" hidden="1">
      <c r="A111" s="222"/>
      <c r="B111" s="222"/>
      <c r="C111" s="317"/>
      <c r="D111" s="317"/>
      <c r="E111" s="317"/>
      <c r="F111" s="317"/>
      <c r="G111" s="317"/>
      <c r="H111" s="317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  <c r="S111" s="317"/>
      <c r="T111" s="317"/>
      <c r="U111" s="317"/>
      <c r="V111" s="317"/>
      <c r="W111" s="317"/>
      <c r="X111" s="317"/>
      <c r="Y111" s="317"/>
      <c r="Z111" s="317"/>
      <c r="AA111" s="317"/>
      <c r="AB111" s="317"/>
      <c r="AC111" s="317"/>
      <c r="AD111" s="317"/>
      <c r="AE111" s="317"/>
      <c r="AF111" s="317"/>
      <c r="AG111" s="317"/>
      <c r="AH111" s="317"/>
      <c r="AI111" s="317"/>
      <c r="AJ111" s="317"/>
      <c r="AK111" s="317"/>
      <c r="AL111" s="317"/>
      <c r="AM111" s="317"/>
      <c r="AN111" s="317"/>
      <c r="AO111" s="317"/>
      <c r="AP111" s="317"/>
      <c r="AQ111" s="317"/>
      <c r="AR111" s="317"/>
      <c r="AS111" s="317"/>
      <c r="AT111" s="317"/>
      <c r="AU111" s="317"/>
      <c r="AV111" s="317"/>
      <c r="AW111" s="317"/>
      <c r="AX111" s="317"/>
      <c r="AY111" s="317"/>
      <c r="AZ111" s="317"/>
      <c r="BA111" s="317"/>
      <c r="BB111" s="317"/>
      <c r="BC111" s="317"/>
      <c r="BD111" s="317"/>
      <c r="BE111" s="317"/>
      <c r="BF111" s="317"/>
      <c r="BG111" s="317"/>
      <c r="BH111" s="317"/>
      <c r="BI111" s="317"/>
      <c r="BJ111" s="317"/>
      <c r="BK111" s="317"/>
      <c r="BL111" s="317"/>
      <c r="BM111" s="222"/>
      <c r="BN111" s="222"/>
      <c r="BO111" s="222"/>
      <c r="BP111" s="222"/>
      <c r="BQ111" s="222"/>
      <c r="BR111" s="222"/>
      <c r="BS111" s="222"/>
      <c r="BT111" s="222"/>
      <c r="BU111" s="222"/>
      <c r="BV111" s="222"/>
      <c r="BW111" s="222"/>
      <c r="BX111" s="222"/>
      <c r="BY111" s="222"/>
      <c r="BZ111" s="222"/>
      <c r="CA111" s="222"/>
      <c r="CB111" s="222"/>
      <c r="CC111" s="222"/>
      <c r="CD111" s="222"/>
      <c r="CE111" s="222"/>
      <c r="CF111" s="222"/>
      <c r="CG111" s="222"/>
      <c r="CH111" s="222"/>
      <c r="CI111" s="222"/>
      <c r="CJ111" s="222"/>
      <c r="CK111" s="222"/>
      <c r="CL111" s="222"/>
      <c r="CM111" s="222"/>
      <c r="CN111" s="222"/>
      <c r="CO111" s="222"/>
      <c r="CP111" s="222"/>
      <c r="CQ111" s="222"/>
      <c r="CR111" s="222"/>
      <c r="CS111" s="222"/>
      <c r="CT111" s="222"/>
      <c r="CU111" s="222"/>
      <c r="CV111" s="222"/>
      <c r="CW111" s="222"/>
      <c r="CX111" s="222"/>
      <c r="CY111" s="222"/>
      <c r="CZ111" s="222"/>
      <c r="DA111" s="222"/>
      <c r="DB111" s="222"/>
      <c r="DC111" s="222"/>
      <c r="DD111" s="222"/>
      <c r="DE111" s="222"/>
      <c r="DF111" s="222"/>
      <c r="DG111" s="222"/>
      <c r="DH111" s="222"/>
      <c r="DI111" s="222"/>
      <c r="DJ111" s="222"/>
      <c r="DK111" s="222"/>
      <c r="DL111" s="222"/>
      <c r="DM111" s="222"/>
      <c r="DN111" s="222"/>
      <c r="DO111" s="222"/>
      <c r="DP111" s="222"/>
      <c r="DQ111" s="222"/>
      <c r="DR111" s="222"/>
      <c r="DS111" s="222"/>
      <c r="DT111" s="222"/>
      <c r="DU111" s="222"/>
      <c r="DV111" s="222"/>
      <c r="DW111" s="222"/>
      <c r="DX111" s="222"/>
      <c r="DY111" s="222"/>
      <c r="DZ111" s="222"/>
      <c r="EA111" s="222"/>
      <c r="EB111" s="222"/>
      <c r="EC111" s="222"/>
      <c r="ED111" s="222"/>
      <c r="EE111" s="222"/>
      <c r="EF111" s="222"/>
      <c r="EG111" s="222"/>
      <c r="EH111" s="222"/>
    </row>
    <row r="112" spans="1:138">
      <c r="A112" s="222"/>
      <c r="B112" s="318"/>
      <c r="C112" s="310" t="s">
        <v>294</v>
      </c>
      <c r="D112" s="311"/>
      <c r="E112" s="312">
        <f t="shared" ref="E112:BM112" si="39">-(E5+E6+E91+E92)</f>
        <v>0</v>
      </c>
      <c r="F112" s="312">
        <f t="shared" si="39"/>
        <v>0</v>
      </c>
      <c r="G112" s="312">
        <f t="shared" si="39"/>
        <v>0</v>
      </c>
      <c r="H112" s="312">
        <f t="shared" si="39"/>
        <v>-16365002</v>
      </c>
      <c r="I112" s="312">
        <f t="shared" si="39"/>
        <v>0</v>
      </c>
      <c r="J112" s="312">
        <f t="shared" si="39"/>
        <v>-8333333</v>
      </c>
      <c r="K112" s="312">
        <f t="shared" si="39"/>
        <v>-885000</v>
      </c>
      <c r="L112" s="312">
        <f t="shared" si="39"/>
        <v>885000</v>
      </c>
      <c r="M112" s="312">
        <f t="shared" si="39"/>
        <v>0</v>
      </c>
      <c r="N112" s="312">
        <f t="shared" si="39"/>
        <v>0</v>
      </c>
      <c r="O112" s="312">
        <f t="shared" si="39"/>
        <v>0</v>
      </c>
      <c r="P112" s="312">
        <f t="shared" si="39"/>
        <v>0</v>
      </c>
      <c r="Q112" s="312">
        <f t="shared" si="39"/>
        <v>0</v>
      </c>
      <c r="R112" s="312">
        <f t="shared" si="39"/>
        <v>0</v>
      </c>
      <c r="S112" s="312">
        <f t="shared" si="39"/>
        <v>0</v>
      </c>
      <c r="T112" s="312">
        <f t="shared" si="39"/>
        <v>0</v>
      </c>
      <c r="U112" s="312">
        <f t="shared" si="39"/>
        <v>0</v>
      </c>
      <c r="V112" s="312">
        <f t="shared" si="39"/>
        <v>0</v>
      </c>
      <c r="W112" s="312">
        <f t="shared" si="39"/>
        <v>0</v>
      </c>
      <c r="X112" s="312">
        <f t="shared" si="39"/>
        <v>0</v>
      </c>
      <c r="Y112" s="312">
        <f t="shared" si="39"/>
        <v>0</v>
      </c>
      <c r="Z112" s="312">
        <f t="shared" si="39"/>
        <v>0</v>
      </c>
      <c r="AA112" s="312">
        <f t="shared" si="39"/>
        <v>0</v>
      </c>
      <c r="AB112" s="312">
        <f t="shared" si="39"/>
        <v>0</v>
      </c>
      <c r="AC112" s="312">
        <f t="shared" si="39"/>
        <v>24698335</v>
      </c>
      <c r="AD112" s="312">
        <f t="shared" si="39"/>
        <v>0</v>
      </c>
      <c r="AE112" s="312">
        <f t="shared" si="39"/>
        <v>0</v>
      </c>
      <c r="AF112" s="312">
        <f t="shared" si="39"/>
        <v>0</v>
      </c>
      <c r="AG112" s="312">
        <f t="shared" si="39"/>
        <v>0</v>
      </c>
      <c r="AH112" s="312">
        <f t="shared" si="39"/>
        <v>0</v>
      </c>
      <c r="AI112" s="312">
        <f t="shared" si="39"/>
        <v>0</v>
      </c>
      <c r="AJ112" s="312">
        <f t="shared" si="39"/>
        <v>0</v>
      </c>
      <c r="AK112" s="312">
        <f t="shared" si="39"/>
        <v>0</v>
      </c>
      <c r="AL112" s="312">
        <f t="shared" si="39"/>
        <v>0</v>
      </c>
      <c r="AM112" s="312">
        <f t="shared" si="39"/>
        <v>0</v>
      </c>
      <c r="AN112" s="312">
        <f t="shared" si="39"/>
        <v>0</v>
      </c>
      <c r="AO112" s="312">
        <f t="shared" si="39"/>
        <v>0</v>
      </c>
      <c r="AP112" s="312">
        <f t="shared" si="39"/>
        <v>0</v>
      </c>
      <c r="AQ112" s="312">
        <f t="shared" si="39"/>
        <v>0</v>
      </c>
      <c r="AR112" s="312">
        <f t="shared" si="39"/>
        <v>0</v>
      </c>
      <c r="AS112" s="312">
        <f t="shared" si="39"/>
        <v>0</v>
      </c>
      <c r="AT112" s="312">
        <f t="shared" si="39"/>
        <v>0</v>
      </c>
      <c r="AU112" s="312">
        <f t="shared" si="39"/>
        <v>0</v>
      </c>
      <c r="AV112" s="312">
        <f t="shared" si="39"/>
        <v>0</v>
      </c>
      <c r="AW112" s="312">
        <f t="shared" si="39"/>
        <v>0</v>
      </c>
      <c r="AX112" s="312">
        <f t="shared" si="39"/>
        <v>0</v>
      </c>
      <c r="AY112" s="312">
        <f t="shared" si="39"/>
        <v>0</v>
      </c>
      <c r="AZ112" s="312">
        <f t="shared" si="39"/>
        <v>0</v>
      </c>
      <c r="BA112" s="312">
        <f t="shared" si="39"/>
        <v>0</v>
      </c>
      <c r="BB112" s="312">
        <f t="shared" si="39"/>
        <v>0</v>
      </c>
      <c r="BC112" s="312">
        <f t="shared" si="39"/>
        <v>0</v>
      </c>
      <c r="BD112" s="312">
        <f t="shared" si="39"/>
        <v>0</v>
      </c>
      <c r="BE112" s="312">
        <f t="shared" si="39"/>
        <v>0</v>
      </c>
      <c r="BF112" s="312">
        <f t="shared" si="39"/>
        <v>0</v>
      </c>
      <c r="BG112" s="312">
        <f t="shared" si="39"/>
        <v>0</v>
      </c>
      <c r="BH112" s="312">
        <f t="shared" si="39"/>
        <v>0</v>
      </c>
      <c r="BI112" s="312">
        <f t="shared" si="39"/>
        <v>0</v>
      </c>
      <c r="BJ112" s="312">
        <f t="shared" si="39"/>
        <v>0</v>
      </c>
      <c r="BK112" s="312">
        <f t="shared" si="39"/>
        <v>0</v>
      </c>
      <c r="BL112" s="312">
        <f t="shared" si="39"/>
        <v>0</v>
      </c>
      <c r="BM112" s="312">
        <f t="shared" si="39"/>
        <v>0</v>
      </c>
      <c r="BN112" s="312">
        <f t="shared" ref="BN112:BX112" si="40">-(BN5+BN91)</f>
        <v>0</v>
      </c>
      <c r="BO112" s="312">
        <f t="shared" si="40"/>
        <v>0</v>
      </c>
      <c r="BP112" s="312">
        <f t="shared" si="40"/>
        <v>0</v>
      </c>
      <c r="BQ112" s="312">
        <f t="shared" si="40"/>
        <v>0</v>
      </c>
      <c r="BR112" s="312">
        <f t="shared" si="40"/>
        <v>0</v>
      </c>
      <c r="BS112" s="312">
        <f t="shared" si="40"/>
        <v>0</v>
      </c>
      <c r="BT112" s="312">
        <f t="shared" si="40"/>
        <v>0</v>
      </c>
      <c r="BU112" s="312">
        <f t="shared" si="40"/>
        <v>0</v>
      </c>
      <c r="BV112" s="312">
        <f t="shared" si="40"/>
        <v>0</v>
      </c>
      <c r="BW112" s="312">
        <f t="shared" si="40"/>
        <v>0</v>
      </c>
      <c r="BX112" s="312">
        <f t="shared" si="40"/>
        <v>0</v>
      </c>
      <c r="BY112" s="222"/>
      <c r="BZ112" s="222"/>
      <c r="CA112" s="222"/>
      <c r="CB112" s="222"/>
      <c r="CC112" s="222"/>
      <c r="CD112" s="222"/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2"/>
      <c r="CQ112" s="222"/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2"/>
      <c r="DD112" s="222"/>
      <c r="DE112" s="222"/>
      <c r="DF112" s="222"/>
      <c r="DG112" s="222"/>
      <c r="DH112" s="222"/>
      <c r="DI112" s="222"/>
      <c r="DJ112" s="222"/>
      <c r="DK112" s="222"/>
      <c r="DL112" s="222"/>
      <c r="DM112" s="222"/>
      <c r="DN112" s="222"/>
      <c r="DO112" s="222"/>
      <c r="DP112" s="222"/>
      <c r="DQ112" s="222"/>
      <c r="DR112" s="222"/>
      <c r="DS112" s="222"/>
      <c r="DT112" s="222"/>
      <c r="DU112" s="222"/>
      <c r="DV112" s="222"/>
      <c r="DW112" s="222"/>
      <c r="DX112" s="222"/>
      <c r="DY112" s="222"/>
      <c r="DZ112" s="222"/>
      <c r="EA112" s="222"/>
      <c r="EB112" s="222"/>
      <c r="EC112" s="222"/>
      <c r="ED112" s="222"/>
      <c r="EE112" s="222"/>
      <c r="EF112" s="222"/>
      <c r="EG112" s="222"/>
      <c r="EH112" s="222"/>
    </row>
    <row r="113" spans="1:138">
      <c r="A113" s="222"/>
      <c r="B113" s="318"/>
      <c r="C113" s="310" t="s">
        <v>295</v>
      </c>
      <c r="D113" s="319"/>
      <c r="E113" s="311"/>
      <c r="F113" s="311"/>
      <c r="G113" s="311"/>
      <c r="H113" s="311">
        <f>-8333333</f>
        <v>-8333333</v>
      </c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222"/>
      <c r="BZ113" s="222"/>
      <c r="CA113" s="222"/>
      <c r="CB113" s="222"/>
      <c r="CC113" s="222"/>
      <c r="CD113" s="222"/>
      <c r="CE113" s="222"/>
      <c r="CF113" s="222"/>
      <c r="CG113" s="222"/>
      <c r="CH113" s="222"/>
      <c r="CI113" s="222"/>
      <c r="CJ113" s="222"/>
      <c r="CK113" s="222"/>
      <c r="CL113" s="222"/>
      <c r="CM113" s="222"/>
      <c r="CN113" s="222"/>
      <c r="CO113" s="222"/>
      <c r="CP113" s="222"/>
      <c r="CQ113" s="222"/>
      <c r="CR113" s="222"/>
      <c r="CS113" s="222"/>
      <c r="CT113" s="222"/>
      <c r="CU113" s="222"/>
      <c r="CV113" s="222"/>
      <c r="CW113" s="222"/>
      <c r="CX113" s="222"/>
      <c r="CY113" s="222"/>
      <c r="CZ113" s="222"/>
      <c r="DA113" s="222"/>
      <c r="DB113" s="222"/>
      <c r="DC113" s="222"/>
      <c r="DD113" s="222"/>
      <c r="DE113" s="222"/>
      <c r="DF113" s="222"/>
      <c r="DG113" s="222"/>
      <c r="DH113" s="222"/>
      <c r="DI113" s="222"/>
      <c r="DJ113" s="222"/>
      <c r="DK113" s="222"/>
      <c r="DL113" s="222"/>
      <c r="DM113" s="222"/>
      <c r="DN113" s="222"/>
      <c r="DO113" s="222"/>
      <c r="DP113" s="222"/>
      <c r="DQ113" s="222"/>
      <c r="DR113" s="222"/>
      <c r="DS113" s="222"/>
      <c r="DT113" s="222"/>
      <c r="DU113" s="222"/>
      <c r="DV113" s="222"/>
      <c r="DW113" s="222"/>
      <c r="DX113" s="222"/>
      <c r="DY113" s="222"/>
      <c r="DZ113" s="222"/>
      <c r="EA113" s="222"/>
      <c r="EB113" s="222"/>
      <c r="EC113" s="222"/>
      <c r="ED113" s="222"/>
      <c r="EE113" s="222"/>
      <c r="EF113" s="222"/>
      <c r="EG113" s="222"/>
      <c r="EH113" s="222"/>
    </row>
    <row r="114" spans="1:138">
      <c r="A114" s="222"/>
      <c r="B114" s="318"/>
      <c r="C114" s="310" t="s">
        <v>296</v>
      </c>
      <c r="D114" s="319"/>
      <c r="E114" s="311">
        <f t="shared" ref="E114:S114" si="41">-E56</f>
        <v>0</v>
      </c>
      <c r="F114" s="311">
        <f t="shared" si="41"/>
        <v>0</v>
      </c>
      <c r="G114" s="311">
        <f t="shared" si="41"/>
        <v>0</v>
      </c>
      <c r="H114" s="311">
        <f t="shared" si="41"/>
        <v>0</v>
      </c>
      <c r="I114" s="311">
        <f t="shared" si="41"/>
        <v>0</v>
      </c>
      <c r="J114" s="311">
        <f t="shared" si="41"/>
        <v>0</v>
      </c>
      <c r="K114" s="311">
        <f t="shared" si="41"/>
        <v>0</v>
      </c>
      <c r="L114" s="311">
        <f t="shared" si="41"/>
        <v>0</v>
      </c>
      <c r="M114" s="311">
        <f t="shared" si="41"/>
        <v>0</v>
      </c>
      <c r="N114" s="311">
        <f t="shared" si="41"/>
        <v>0</v>
      </c>
      <c r="O114" s="311">
        <f t="shared" si="41"/>
        <v>0</v>
      </c>
      <c r="P114" s="311">
        <f t="shared" si="41"/>
        <v>0</v>
      </c>
      <c r="Q114" s="311">
        <f t="shared" si="41"/>
        <v>0</v>
      </c>
      <c r="R114" s="311">
        <f t="shared" si="41"/>
        <v>0</v>
      </c>
      <c r="S114" s="311">
        <f t="shared" si="41"/>
        <v>0</v>
      </c>
      <c r="T114" s="311">
        <f>-T56-T57</f>
        <v>0</v>
      </c>
      <c r="U114" s="311">
        <f t="shared" ref="U114:BX114" si="42">-U56</f>
        <v>0</v>
      </c>
      <c r="V114" s="311">
        <f t="shared" si="42"/>
        <v>0</v>
      </c>
      <c r="W114" s="311">
        <f t="shared" si="42"/>
        <v>0</v>
      </c>
      <c r="X114" s="311">
        <f t="shared" si="42"/>
        <v>0</v>
      </c>
      <c r="Y114" s="311">
        <f t="shared" si="42"/>
        <v>0</v>
      </c>
      <c r="Z114" s="311">
        <f t="shared" si="42"/>
        <v>0</v>
      </c>
      <c r="AA114" s="311">
        <f t="shared" si="42"/>
        <v>0</v>
      </c>
      <c r="AB114" s="311">
        <f t="shared" si="42"/>
        <v>0</v>
      </c>
      <c r="AC114" s="311">
        <f t="shared" si="42"/>
        <v>0</v>
      </c>
      <c r="AD114" s="311">
        <f t="shared" si="42"/>
        <v>0</v>
      </c>
      <c r="AE114" s="311">
        <f t="shared" si="42"/>
        <v>0</v>
      </c>
      <c r="AF114" s="311">
        <f t="shared" si="42"/>
        <v>0</v>
      </c>
      <c r="AG114" s="311">
        <f t="shared" si="42"/>
        <v>0</v>
      </c>
      <c r="AH114" s="311">
        <f t="shared" si="42"/>
        <v>0</v>
      </c>
      <c r="AI114" s="311">
        <f t="shared" si="42"/>
        <v>0</v>
      </c>
      <c r="AJ114" s="311">
        <f t="shared" si="42"/>
        <v>0</v>
      </c>
      <c r="AK114" s="311">
        <f t="shared" si="42"/>
        <v>0</v>
      </c>
      <c r="AL114" s="311">
        <f t="shared" si="42"/>
        <v>0</v>
      </c>
      <c r="AM114" s="311">
        <f t="shared" si="42"/>
        <v>0</v>
      </c>
      <c r="AN114" s="311">
        <f t="shared" si="42"/>
        <v>0</v>
      </c>
      <c r="AO114" s="311">
        <f t="shared" si="42"/>
        <v>0</v>
      </c>
      <c r="AP114" s="311">
        <f t="shared" si="42"/>
        <v>0</v>
      </c>
      <c r="AQ114" s="311">
        <f t="shared" si="42"/>
        <v>0</v>
      </c>
      <c r="AR114" s="311">
        <f t="shared" si="42"/>
        <v>0</v>
      </c>
      <c r="AS114" s="311">
        <f t="shared" si="42"/>
        <v>0</v>
      </c>
      <c r="AT114" s="311">
        <f t="shared" si="42"/>
        <v>0</v>
      </c>
      <c r="AU114" s="311">
        <f t="shared" si="42"/>
        <v>0</v>
      </c>
      <c r="AV114" s="311">
        <f t="shared" si="42"/>
        <v>0</v>
      </c>
      <c r="AW114" s="311">
        <f t="shared" si="42"/>
        <v>0</v>
      </c>
      <c r="AX114" s="311">
        <f t="shared" si="42"/>
        <v>0</v>
      </c>
      <c r="AY114" s="311">
        <f t="shared" si="42"/>
        <v>0</v>
      </c>
      <c r="AZ114" s="311">
        <f t="shared" si="42"/>
        <v>0</v>
      </c>
      <c r="BA114" s="311">
        <f t="shared" si="42"/>
        <v>0</v>
      </c>
      <c r="BB114" s="311">
        <f t="shared" si="42"/>
        <v>0</v>
      </c>
      <c r="BC114" s="311">
        <f t="shared" si="42"/>
        <v>0</v>
      </c>
      <c r="BD114" s="311">
        <f t="shared" si="42"/>
        <v>0</v>
      </c>
      <c r="BE114" s="311">
        <f t="shared" si="42"/>
        <v>0</v>
      </c>
      <c r="BF114" s="311">
        <f t="shared" si="42"/>
        <v>0</v>
      </c>
      <c r="BG114" s="311">
        <f t="shared" si="42"/>
        <v>0</v>
      </c>
      <c r="BH114" s="311">
        <f t="shared" si="42"/>
        <v>0</v>
      </c>
      <c r="BI114" s="311">
        <f t="shared" si="42"/>
        <v>0</v>
      </c>
      <c r="BJ114" s="311">
        <f t="shared" si="42"/>
        <v>0</v>
      </c>
      <c r="BK114" s="311">
        <f t="shared" si="42"/>
        <v>0</v>
      </c>
      <c r="BL114" s="311">
        <f t="shared" si="42"/>
        <v>0</v>
      </c>
      <c r="BM114" s="311">
        <f t="shared" si="42"/>
        <v>0</v>
      </c>
      <c r="BN114" s="311">
        <f t="shared" si="42"/>
        <v>0</v>
      </c>
      <c r="BO114" s="311">
        <f t="shared" si="42"/>
        <v>0</v>
      </c>
      <c r="BP114" s="311">
        <f t="shared" si="42"/>
        <v>0</v>
      </c>
      <c r="BQ114" s="311">
        <f t="shared" si="42"/>
        <v>0</v>
      </c>
      <c r="BR114" s="311">
        <f t="shared" si="42"/>
        <v>0</v>
      </c>
      <c r="BS114" s="311">
        <f t="shared" si="42"/>
        <v>0</v>
      </c>
      <c r="BT114" s="311">
        <f t="shared" si="42"/>
        <v>0</v>
      </c>
      <c r="BU114" s="311">
        <f t="shared" si="42"/>
        <v>0</v>
      </c>
      <c r="BV114" s="311">
        <f t="shared" si="42"/>
        <v>0</v>
      </c>
      <c r="BW114" s="311">
        <f t="shared" si="42"/>
        <v>0</v>
      </c>
      <c r="BX114" s="311">
        <f t="shared" si="42"/>
        <v>0</v>
      </c>
      <c r="BY114" s="222"/>
      <c r="BZ114" s="238"/>
      <c r="CA114" s="222"/>
      <c r="CB114" s="222"/>
      <c r="CC114" s="222"/>
      <c r="CD114" s="222"/>
      <c r="CE114" s="222"/>
      <c r="CF114" s="222"/>
      <c r="CG114" s="222"/>
      <c r="CH114" s="222"/>
      <c r="CI114" s="222"/>
      <c r="CJ114" s="222"/>
      <c r="CK114" s="222"/>
      <c r="CL114" s="222"/>
      <c r="CM114" s="222"/>
      <c r="CN114" s="222"/>
      <c r="CO114" s="222"/>
      <c r="CP114" s="222"/>
      <c r="CQ114" s="222"/>
      <c r="CR114" s="222"/>
      <c r="CS114" s="222"/>
      <c r="CT114" s="222"/>
      <c r="CU114" s="222"/>
      <c r="CV114" s="222"/>
      <c r="CW114" s="222"/>
      <c r="CX114" s="222"/>
      <c r="CY114" s="222"/>
      <c r="CZ114" s="222"/>
      <c r="DA114" s="222"/>
      <c r="DB114" s="222"/>
      <c r="DC114" s="222"/>
      <c r="DD114" s="222"/>
      <c r="DE114" s="222"/>
      <c r="DF114" s="222"/>
      <c r="DG114" s="222"/>
      <c r="DH114" s="222"/>
      <c r="DI114" s="222"/>
      <c r="DJ114" s="222"/>
      <c r="DK114" s="222"/>
      <c r="DL114" s="222"/>
      <c r="DM114" s="222"/>
      <c r="DN114" s="222"/>
      <c r="DO114" s="222"/>
      <c r="DP114" s="222"/>
      <c r="DQ114" s="222"/>
      <c r="DR114" s="222"/>
      <c r="DS114" s="222"/>
      <c r="DT114" s="222"/>
      <c r="DU114" s="222"/>
      <c r="DV114" s="222"/>
      <c r="DW114" s="222"/>
      <c r="DX114" s="222"/>
      <c r="DY114" s="222"/>
      <c r="DZ114" s="222"/>
      <c r="EA114" s="222"/>
      <c r="EB114" s="222"/>
      <c r="EC114" s="222"/>
      <c r="ED114" s="222"/>
      <c r="EE114" s="222"/>
      <c r="EF114" s="222"/>
      <c r="EG114" s="222"/>
      <c r="EH114" s="222"/>
    </row>
    <row r="115" spans="1:138">
      <c r="A115" s="222"/>
      <c r="B115" s="318"/>
      <c r="C115" s="310" t="s">
        <v>297</v>
      </c>
      <c r="D115" s="319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>
        <f>IF(D105&gt;0.25,(BX100-BX108)*D117,BX100*D117)</f>
        <v>55466956.637781225</v>
      </c>
      <c r="BY115" s="222"/>
      <c r="BZ115" s="222"/>
      <c r="CA115" s="222"/>
      <c r="CB115" s="222"/>
      <c r="CC115" s="222"/>
      <c r="CD115" s="222"/>
      <c r="CE115" s="222"/>
      <c r="CF115" s="222"/>
      <c r="CG115" s="222"/>
      <c r="CH115" s="222"/>
      <c r="CI115" s="222"/>
      <c r="CJ115" s="222"/>
      <c r="CK115" s="222"/>
      <c r="CL115" s="222"/>
      <c r="CM115" s="222"/>
      <c r="CN115" s="222"/>
      <c r="CO115" s="222"/>
      <c r="CP115" s="222"/>
      <c r="CQ115" s="222"/>
      <c r="CR115" s="222"/>
      <c r="CS115" s="222"/>
      <c r="CT115" s="222"/>
      <c r="CU115" s="222"/>
      <c r="CV115" s="222"/>
      <c r="CW115" s="222"/>
      <c r="CX115" s="222"/>
      <c r="CY115" s="222"/>
      <c r="CZ115" s="222"/>
      <c r="DA115" s="222"/>
      <c r="DB115" s="222"/>
      <c r="DC115" s="222"/>
      <c r="DD115" s="222"/>
      <c r="DE115" s="222"/>
      <c r="DF115" s="222"/>
      <c r="DG115" s="222"/>
      <c r="DH115" s="222"/>
      <c r="DI115" s="222"/>
      <c r="DJ115" s="222"/>
      <c r="DK115" s="222"/>
      <c r="DL115" s="222"/>
      <c r="DM115" s="222"/>
      <c r="DN115" s="222"/>
      <c r="DO115" s="222"/>
      <c r="DP115" s="222"/>
      <c r="DQ115" s="222"/>
      <c r="DR115" s="222"/>
      <c r="DS115" s="222"/>
      <c r="DT115" s="222"/>
      <c r="DU115" s="222"/>
      <c r="DV115" s="222"/>
      <c r="DW115" s="222"/>
      <c r="DX115" s="222"/>
      <c r="DY115" s="222"/>
      <c r="DZ115" s="222"/>
      <c r="EA115" s="222"/>
      <c r="EB115" s="222"/>
      <c r="EC115" s="222"/>
      <c r="ED115" s="222"/>
      <c r="EE115" s="222"/>
      <c r="EF115" s="222"/>
      <c r="EG115" s="222"/>
      <c r="EH115" s="222"/>
    </row>
    <row r="116" spans="1:138">
      <c r="A116" s="222"/>
      <c r="B116" s="318"/>
      <c r="C116" s="310" t="s">
        <v>293</v>
      </c>
      <c r="D116" s="319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/>
      <c r="AB116" s="311"/>
      <c r="AC116" s="311"/>
      <c r="AD116" s="311"/>
      <c r="AE116" s="311"/>
      <c r="AF116" s="311"/>
      <c r="AG116" s="311"/>
      <c r="AH116" s="311"/>
      <c r="AI116" s="311"/>
      <c r="AJ116" s="311"/>
      <c r="AK116" s="311"/>
      <c r="AL116" s="311"/>
      <c r="AM116" s="311"/>
      <c r="AN116" s="311"/>
      <c r="AO116" s="311"/>
      <c r="AP116" s="311"/>
      <c r="AQ116" s="311"/>
      <c r="AR116" s="311"/>
      <c r="AS116" s="311"/>
      <c r="AT116" s="311"/>
      <c r="AU116" s="311"/>
      <c r="AV116" s="311"/>
      <c r="AW116" s="311"/>
      <c r="AX116" s="311"/>
      <c r="AY116" s="311"/>
      <c r="AZ116" s="311"/>
      <c r="BA116" s="311"/>
      <c r="BB116" s="311"/>
      <c r="BC116" s="311"/>
      <c r="BD116" s="311"/>
      <c r="BE116" s="311"/>
      <c r="BF116" s="311"/>
      <c r="BG116" s="311"/>
      <c r="BH116" s="311"/>
      <c r="BI116" s="311"/>
      <c r="BJ116" s="311"/>
      <c r="BK116" s="311"/>
      <c r="BL116" s="311"/>
      <c r="BM116" s="311"/>
      <c r="BN116" s="311"/>
      <c r="BO116" s="311"/>
      <c r="BP116" s="311"/>
      <c r="BQ116" s="311"/>
      <c r="BR116" s="311"/>
      <c r="BS116" s="311"/>
      <c r="BT116" s="311"/>
      <c r="BU116" s="311"/>
      <c r="BV116" s="311"/>
      <c r="BW116" s="311"/>
      <c r="BX116" s="311">
        <f>IF(D105&gt;0.25,BX108,0)</f>
        <v>13866739.159445308</v>
      </c>
      <c r="BY116" s="222"/>
      <c r="BZ116" s="222"/>
      <c r="CA116" s="222"/>
      <c r="CB116" s="222"/>
      <c r="CC116" s="222"/>
      <c r="CD116" s="222"/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2"/>
      <c r="CQ116" s="222"/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2"/>
      <c r="DD116" s="222"/>
      <c r="DE116" s="222"/>
      <c r="DF116" s="222"/>
      <c r="DG116" s="222"/>
      <c r="DH116" s="222"/>
      <c r="DI116" s="222"/>
      <c r="DJ116" s="222"/>
      <c r="DK116" s="222"/>
      <c r="DL116" s="222"/>
      <c r="DM116" s="222"/>
      <c r="DN116" s="222"/>
      <c r="DO116" s="222"/>
      <c r="DP116" s="222"/>
      <c r="DQ116" s="222"/>
      <c r="DR116" s="222"/>
      <c r="DS116" s="222"/>
      <c r="DT116" s="222"/>
      <c r="DU116" s="222"/>
      <c r="DV116" s="222"/>
      <c r="DW116" s="222"/>
      <c r="DX116" s="222"/>
      <c r="DY116" s="222"/>
      <c r="DZ116" s="222"/>
      <c r="EA116" s="222"/>
      <c r="EB116" s="222"/>
      <c r="EC116" s="222"/>
      <c r="ED116" s="222"/>
      <c r="EE116" s="222"/>
      <c r="EF116" s="222"/>
      <c r="EG116" s="222"/>
      <c r="EH116" s="222"/>
    </row>
    <row r="117" spans="1:138">
      <c r="A117" s="222"/>
      <c r="B117" s="318"/>
      <c r="C117" s="313" t="s">
        <v>298</v>
      </c>
      <c r="D117" s="319">
        <v>1</v>
      </c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>
        <f>AC100-AC149</f>
        <v>67766195.797226533</v>
      </c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320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</row>
    <row r="118" spans="1:138">
      <c r="A118" s="222"/>
      <c r="B118" s="318"/>
      <c r="C118" s="310" t="s">
        <v>299</v>
      </c>
      <c r="D118" s="314"/>
      <c r="E118" s="321">
        <f t="shared" ref="E118:BW118" si="43">E112+E113+E114+E115+E117</f>
        <v>0</v>
      </c>
      <c r="F118" s="321">
        <f t="shared" si="43"/>
        <v>0</v>
      </c>
      <c r="G118" s="321">
        <f t="shared" si="43"/>
        <v>0</v>
      </c>
      <c r="H118" s="321">
        <f t="shared" si="43"/>
        <v>-24698335</v>
      </c>
      <c r="I118" s="321">
        <f t="shared" si="43"/>
        <v>0</v>
      </c>
      <c r="J118" s="321">
        <f t="shared" si="43"/>
        <v>-8333333</v>
      </c>
      <c r="K118" s="321">
        <f t="shared" si="43"/>
        <v>-885000</v>
      </c>
      <c r="L118" s="321">
        <f t="shared" si="43"/>
        <v>885000</v>
      </c>
      <c r="M118" s="321">
        <f t="shared" si="43"/>
        <v>0</v>
      </c>
      <c r="N118" s="321">
        <f t="shared" si="43"/>
        <v>0</v>
      </c>
      <c r="O118" s="321">
        <f t="shared" si="43"/>
        <v>0</v>
      </c>
      <c r="P118" s="321">
        <f t="shared" si="43"/>
        <v>0</v>
      </c>
      <c r="Q118" s="321">
        <f t="shared" si="43"/>
        <v>0</v>
      </c>
      <c r="R118" s="321">
        <f t="shared" si="43"/>
        <v>0</v>
      </c>
      <c r="S118" s="321">
        <f t="shared" si="43"/>
        <v>0</v>
      </c>
      <c r="T118" s="321">
        <f t="shared" si="43"/>
        <v>0</v>
      </c>
      <c r="U118" s="321">
        <f t="shared" si="43"/>
        <v>0</v>
      </c>
      <c r="V118" s="321">
        <f t="shared" si="43"/>
        <v>0</v>
      </c>
      <c r="W118" s="321">
        <f t="shared" si="43"/>
        <v>0</v>
      </c>
      <c r="X118" s="321">
        <f t="shared" si="43"/>
        <v>0</v>
      </c>
      <c r="Y118" s="321">
        <f t="shared" si="43"/>
        <v>0</v>
      </c>
      <c r="Z118" s="321">
        <f t="shared" si="43"/>
        <v>0</v>
      </c>
      <c r="AA118" s="321">
        <f t="shared" si="43"/>
        <v>0</v>
      </c>
      <c r="AB118" s="321">
        <f t="shared" si="43"/>
        <v>0</v>
      </c>
      <c r="AC118" s="321">
        <f t="shared" si="43"/>
        <v>92464530.797226533</v>
      </c>
      <c r="AD118" s="321">
        <f t="shared" si="43"/>
        <v>0</v>
      </c>
      <c r="AE118" s="321">
        <f t="shared" si="43"/>
        <v>0</v>
      </c>
      <c r="AF118" s="321">
        <f t="shared" si="43"/>
        <v>0</v>
      </c>
      <c r="AG118" s="321">
        <f t="shared" si="43"/>
        <v>0</v>
      </c>
      <c r="AH118" s="321">
        <f t="shared" si="43"/>
        <v>0</v>
      </c>
      <c r="AI118" s="321">
        <f t="shared" si="43"/>
        <v>0</v>
      </c>
      <c r="AJ118" s="321">
        <f t="shared" si="43"/>
        <v>0</v>
      </c>
      <c r="AK118" s="321">
        <f t="shared" si="43"/>
        <v>0</v>
      </c>
      <c r="AL118" s="321">
        <f t="shared" si="43"/>
        <v>0</v>
      </c>
      <c r="AM118" s="321">
        <f t="shared" si="43"/>
        <v>0</v>
      </c>
      <c r="AN118" s="321">
        <f t="shared" si="43"/>
        <v>0</v>
      </c>
      <c r="AO118" s="321">
        <f t="shared" si="43"/>
        <v>0</v>
      </c>
      <c r="AP118" s="321">
        <f t="shared" si="43"/>
        <v>0</v>
      </c>
      <c r="AQ118" s="321">
        <f t="shared" si="43"/>
        <v>0</v>
      </c>
      <c r="AR118" s="321">
        <f t="shared" si="43"/>
        <v>0</v>
      </c>
      <c r="AS118" s="321">
        <f t="shared" si="43"/>
        <v>0</v>
      </c>
      <c r="AT118" s="321">
        <f t="shared" si="43"/>
        <v>0</v>
      </c>
      <c r="AU118" s="321">
        <f t="shared" si="43"/>
        <v>0</v>
      </c>
      <c r="AV118" s="321">
        <f t="shared" si="43"/>
        <v>0</v>
      </c>
      <c r="AW118" s="321">
        <f t="shared" si="43"/>
        <v>0</v>
      </c>
      <c r="AX118" s="321">
        <f t="shared" si="43"/>
        <v>0</v>
      </c>
      <c r="AY118" s="321">
        <f t="shared" si="43"/>
        <v>0</v>
      </c>
      <c r="AZ118" s="321">
        <f t="shared" si="43"/>
        <v>0</v>
      </c>
      <c r="BA118" s="321">
        <f t="shared" si="43"/>
        <v>0</v>
      </c>
      <c r="BB118" s="321">
        <f t="shared" si="43"/>
        <v>0</v>
      </c>
      <c r="BC118" s="321">
        <f t="shared" si="43"/>
        <v>0</v>
      </c>
      <c r="BD118" s="321">
        <f t="shared" si="43"/>
        <v>0</v>
      </c>
      <c r="BE118" s="321">
        <f t="shared" si="43"/>
        <v>0</v>
      </c>
      <c r="BF118" s="321">
        <f t="shared" si="43"/>
        <v>0</v>
      </c>
      <c r="BG118" s="321">
        <f t="shared" si="43"/>
        <v>0</v>
      </c>
      <c r="BH118" s="321">
        <f t="shared" si="43"/>
        <v>0</v>
      </c>
      <c r="BI118" s="321">
        <f t="shared" si="43"/>
        <v>0</v>
      </c>
      <c r="BJ118" s="321">
        <f t="shared" si="43"/>
        <v>0</v>
      </c>
      <c r="BK118" s="321">
        <f t="shared" si="43"/>
        <v>0</v>
      </c>
      <c r="BL118" s="321">
        <f t="shared" si="43"/>
        <v>0</v>
      </c>
      <c r="BM118" s="321">
        <f t="shared" si="43"/>
        <v>0</v>
      </c>
      <c r="BN118" s="321">
        <f t="shared" si="43"/>
        <v>0</v>
      </c>
      <c r="BO118" s="321">
        <f t="shared" si="43"/>
        <v>0</v>
      </c>
      <c r="BP118" s="321">
        <f t="shared" si="43"/>
        <v>0</v>
      </c>
      <c r="BQ118" s="321">
        <f t="shared" si="43"/>
        <v>0</v>
      </c>
      <c r="BR118" s="321">
        <f t="shared" si="43"/>
        <v>0</v>
      </c>
      <c r="BS118" s="321">
        <f t="shared" si="43"/>
        <v>0</v>
      </c>
      <c r="BT118" s="321">
        <f t="shared" si="43"/>
        <v>0</v>
      </c>
      <c r="BU118" s="321">
        <f t="shared" si="43"/>
        <v>0</v>
      </c>
      <c r="BV118" s="321">
        <f t="shared" si="43"/>
        <v>0</v>
      </c>
      <c r="BW118" s="321">
        <f t="shared" si="43"/>
        <v>0</v>
      </c>
      <c r="BX118" s="321">
        <f>BX112+BX113+BX114+BX115+BX116+BX117</f>
        <v>69333695.797226533</v>
      </c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2"/>
      <c r="CQ118" s="222"/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2"/>
      <c r="DD118" s="222"/>
      <c r="DE118" s="222"/>
      <c r="DF118" s="222"/>
      <c r="DG118" s="222"/>
      <c r="DH118" s="222"/>
      <c r="DI118" s="222"/>
      <c r="DJ118" s="222"/>
      <c r="DK118" s="222"/>
      <c r="DL118" s="222"/>
      <c r="DM118" s="222"/>
      <c r="DN118" s="222"/>
      <c r="DO118" s="222"/>
      <c r="DP118" s="222"/>
      <c r="DQ118" s="222"/>
      <c r="DR118" s="222"/>
      <c r="DS118" s="222"/>
      <c r="DT118" s="222"/>
      <c r="DU118" s="222"/>
      <c r="DV118" s="222"/>
      <c r="DW118" s="222"/>
      <c r="DX118" s="222"/>
      <c r="DY118" s="222"/>
      <c r="DZ118" s="222"/>
      <c r="EA118" s="222"/>
      <c r="EB118" s="222"/>
      <c r="EC118" s="222"/>
      <c r="ED118" s="222"/>
      <c r="EE118" s="222"/>
      <c r="EF118" s="222"/>
      <c r="EG118" s="222"/>
      <c r="EH118" s="222"/>
    </row>
    <row r="119" spans="1:138">
      <c r="A119" s="222"/>
      <c r="B119" s="318"/>
      <c r="C119" s="313" t="s">
        <v>292</v>
      </c>
      <c r="D119" s="322">
        <f>IRR(E118:BX118)*12</f>
        <v>0.65375554314106044</v>
      </c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  <c r="CY119" s="222"/>
      <c r="CZ119" s="222"/>
      <c r="DA119" s="222"/>
      <c r="DB119" s="222"/>
      <c r="DC119" s="222"/>
      <c r="DD119" s="222"/>
      <c r="DE119" s="222"/>
      <c r="DF119" s="222"/>
      <c r="DG119" s="222"/>
      <c r="DH119" s="222"/>
      <c r="DI119" s="222"/>
      <c r="DJ119" s="222"/>
      <c r="DK119" s="222"/>
      <c r="DL119" s="222"/>
      <c r="DM119" s="222"/>
      <c r="DN119" s="222"/>
      <c r="DO119" s="222"/>
      <c r="DP119" s="222"/>
      <c r="DQ119" s="222"/>
      <c r="DR119" s="222"/>
      <c r="DS119" s="222"/>
      <c r="DT119" s="222"/>
      <c r="DU119" s="222"/>
      <c r="DV119" s="222"/>
      <c r="DW119" s="222"/>
      <c r="DX119" s="222"/>
      <c r="DY119" s="222"/>
      <c r="DZ119" s="222"/>
      <c r="EA119" s="222"/>
      <c r="EB119" s="222"/>
      <c r="EC119" s="222"/>
      <c r="ED119" s="222"/>
      <c r="EE119" s="222"/>
      <c r="EF119" s="222"/>
      <c r="EG119" s="222"/>
      <c r="EH119" s="222"/>
    </row>
    <row r="120" spans="1:138">
      <c r="A120" s="222"/>
      <c r="B120" s="318"/>
      <c r="C120" s="323" t="s">
        <v>300</v>
      </c>
      <c r="D120" s="324">
        <f>SUM(BY5:BY6)</f>
        <v>25583335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2"/>
      <c r="BN120" s="222"/>
      <c r="BO120" s="222"/>
      <c r="BP120" s="222"/>
      <c r="BQ120" s="222"/>
      <c r="BR120" s="222"/>
      <c r="BS120" s="222"/>
      <c r="BT120" s="222"/>
      <c r="BU120" s="222"/>
      <c r="BV120" s="222"/>
      <c r="BW120" s="222"/>
      <c r="BX120" s="222"/>
      <c r="BY120" s="222"/>
      <c r="BZ120" s="222"/>
      <c r="CA120" s="222"/>
      <c r="CB120" s="222"/>
      <c r="CC120" s="222"/>
      <c r="CD120" s="222"/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2"/>
      <c r="CQ120" s="222"/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2"/>
      <c r="DD120" s="222"/>
      <c r="DE120" s="222"/>
      <c r="DF120" s="222"/>
      <c r="DG120" s="222"/>
      <c r="DH120" s="222"/>
      <c r="DI120" s="222"/>
      <c r="DJ120" s="222"/>
      <c r="DK120" s="222"/>
      <c r="DL120" s="222"/>
      <c r="DM120" s="222"/>
      <c r="DN120" s="222"/>
      <c r="DO120" s="222"/>
      <c r="DP120" s="222"/>
      <c r="DQ120" s="222"/>
      <c r="DR120" s="222"/>
      <c r="DS120" s="222"/>
      <c r="DT120" s="222"/>
      <c r="DU120" s="222"/>
      <c r="DV120" s="222"/>
      <c r="DW120" s="222"/>
      <c r="DX120" s="222"/>
      <c r="DY120" s="222"/>
      <c r="DZ120" s="222"/>
      <c r="EA120" s="222"/>
      <c r="EB120" s="222"/>
      <c r="EC120" s="222"/>
      <c r="ED120" s="222"/>
      <c r="EE120" s="222"/>
      <c r="EF120" s="222"/>
      <c r="EG120" s="222"/>
      <c r="EH120" s="222"/>
    </row>
    <row r="121" spans="1:138">
      <c r="A121" s="222"/>
      <c r="B121" s="318"/>
      <c r="C121" s="323" t="s">
        <v>301</v>
      </c>
      <c r="D121" s="324">
        <f>-SUM(E113:BM113)</f>
        <v>8333333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2"/>
      <c r="BN121" s="222"/>
      <c r="BO121" s="222"/>
      <c r="BP121" s="222"/>
      <c r="BQ121" s="222"/>
      <c r="BR121" s="222"/>
      <c r="BS121" s="222"/>
      <c r="BT121" s="222"/>
      <c r="BU121" s="222"/>
      <c r="BV121" s="222"/>
      <c r="BW121" s="222"/>
      <c r="BX121" s="222"/>
      <c r="BY121" s="222"/>
      <c r="BZ121" s="222"/>
      <c r="CA121" s="222"/>
      <c r="CB121" s="222"/>
      <c r="CC121" s="222"/>
      <c r="CD121" s="222"/>
      <c r="CE121" s="222"/>
      <c r="CF121" s="222"/>
      <c r="CG121" s="222"/>
      <c r="CH121" s="222"/>
      <c r="CI121" s="222"/>
      <c r="CJ121" s="222"/>
      <c r="CK121" s="222"/>
      <c r="CL121" s="222"/>
      <c r="CM121" s="222"/>
      <c r="CN121" s="222"/>
      <c r="CO121" s="222"/>
      <c r="CP121" s="222"/>
      <c r="CQ121" s="222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222"/>
      <c r="DC121" s="222"/>
      <c r="DD121" s="222"/>
      <c r="DE121" s="222"/>
      <c r="DF121" s="222"/>
      <c r="DG121" s="222"/>
      <c r="DH121" s="222"/>
      <c r="DI121" s="222"/>
      <c r="DJ121" s="222"/>
      <c r="DK121" s="222"/>
      <c r="DL121" s="222"/>
      <c r="DM121" s="222"/>
      <c r="DN121" s="222"/>
      <c r="DO121" s="222"/>
      <c r="DP121" s="222"/>
      <c r="DQ121" s="222"/>
      <c r="DR121" s="222"/>
      <c r="DS121" s="222"/>
      <c r="DT121" s="222"/>
      <c r="DU121" s="222"/>
      <c r="DV121" s="222"/>
      <c r="DW121" s="325"/>
      <c r="DX121" s="325"/>
      <c r="DY121" s="325"/>
      <c r="DZ121" s="325"/>
      <c r="EA121" s="325"/>
      <c r="EB121" s="325"/>
      <c r="EC121" s="325"/>
      <c r="ED121" s="325"/>
      <c r="EE121" s="325"/>
      <c r="EF121" s="325"/>
      <c r="EG121" s="325"/>
      <c r="EH121" s="325"/>
    </row>
    <row r="122" spans="1:138">
      <c r="A122" s="222"/>
      <c r="B122" s="318"/>
      <c r="C122" s="313" t="s">
        <v>302</v>
      </c>
      <c r="D122" s="326">
        <f>D120+D121</f>
        <v>33916668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608" t="s">
        <v>331</v>
      </c>
      <c r="T122" s="588"/>
      <c r="U122" s="365"/>
      <c r="V122" s="365">
        <f>AC112+5000000+3333333</f>
        <v>33031668</v>
      </c>
      <c r="W122" s="222" t="s">
        <v>334</v>
      </c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2"/>
      <c r="BO122" s="222"/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2"/>
      <c r="CB122" s="222"/>
      <c r="CC122" s="222"/>
      <c r="CD122" s="222"/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2"/>
      <c r="CQ122" s="222"/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22"/>
      <c r="DO122" s="222"/>
      <c r="DP122" s="222"/>
      <c r="DQ122" s="222"/>
      <c r="DR122" s="222"/>
      <c r="DS122" s="222"/>
      <c r="DT122" s="222"/>
      <c r="DU122" s="222"/>
      <c r="DV122" s="222"/>
      <c r="DW122" s="325"/>
      <c r="DX122" s="325"/>
      <c r="DY122" s="325"/>
      <c r="DZ122" s="325"/>
      <c r="EA122" s="325"/>
      <c r="EB122" s="325"/>
      <c r="EC122" s="325"/>
      <c r="ED122" s="325"/>
      <c r="EE122" s="325"/>
      <c r="EF122" s="325"/>
      <c r="EG122" s="325"/>
      <c r="EH122" s="325"/>
    </row>
    <row r="123" spans="1:138">
      <c r="A123" s="222"/>
      <c r="B123" s="318"/>
      <c r="C123" s="313" t="s">
        <v>303</v>
      </c>
      <c r="D123" s="326">
        <f>AC117</f>
        <v>67766195.797226533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608" t="s">
        <v>332</v>
      </c>
      <c r="T123" s="588"/>
      <c r="U123" s="365"/>
      <c r="V123" s="365">
        <f>V122+11000000</f>
        <v>44031668</v>
      </c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2"/>
      <c r="BN123" s="222"/>
      <c r="BO123" s="222"/>
      <c r="BP123" s="222"/>
      <c r="BQ123" s="222"/>
      <c r="BR123" s="222"/>
      <c r="BS123" s="222"/>
      <c r="BT123" s="222"/>
      <c r="BU123" s="222"/>
      <c r="BV123" s="222"/>
      <c r="BW123" s="222"/>
      <c r="BX123" s="222"/>
      <c r="BY123" s="222"/>
      <c r="BZ123" s="238"/>
      <c r="CA123" s="222"/>
      <c r="CB123" s="222"/>
      <c r="CC123" s="222"/>
      <c r="CD123" s="222"/>
      <c r="CE123" s="222"/>
      <c r="CF123" s="222"/>
      <c r="CG123" s="222"/>
      <c r="CH123" s="222"/>
      <c r="CI123" s="222"/>
      <c r="CJ123" s="222"/>
      <c r="CK123" s="222"/>
      <c r="CL123" s="222"/>
      <c r="CM123" s="222"/>
      <c r="CN123" s="222"/>
      <c r="CO123" s="222"/>
      <c r="CP123" s="222"/>
      <c r="CQ123" s="222"/>
      <c r="CR123" s="222"/>
      <c r="CS123" s="222"/>
      <c r="CT123" s="222"/>
      <c r="CU123" s="222"/>
      <c r="CV123" s="222"/>
      <c r="CW123" s="222"/>
      <c r="CX123" s="222"/>
      <c r="CY123" s="222"/>
      <c r="CZ123" s="222"/>
      <c r="DA123" s="222"/>
      <c r="DB123" s="222"/>
      <c r="DC123" s="222"/>
      <c r="DD123" s="222"/>
      <c r="DE123" s="222"/>
      <c r="DF123" s="222"/>
      <c r="DG123" s="222"/>
      <c r="DH123" s="222"/>
      <c r="DI123" s="222"/>
      <c r="DJ123" s="222"/>
      <c r="DK123" s="222"/>
      <c r="DL123" s="222"/>
      <c r="DM123" s="222"/>
      <c r="DN123" s="222"/>
      <c r="DO123" s="222"/>
      <c r="DP123" s="222"/>
      <c r="DQ123" s="222"/>
      <c r="DR123" s="222"/>
      <c r="DS123" s="222"/>
      <c r="DT123" s="222"/>
      <c r="DU123" s="222"/>
      <c r="DV123" s="222"/>
      <c r="DW123" s="325"/>
      <c r="DX123" s="325"/>
      <c r="DY123" s="325"/>
      <c r="DZ123" s="325"/>
      <c r="EA123" s="325"/>
      <c r="EB123" s="325"/>
      <c r="EC123" s="325"/>
      <c r="ED123" s="325"/>
      <c r="EE123" s="325"/>
      <c r="EF123" s="325"/>
      <c r="EG123" s="325"/>
      <c r="EH123" s="325"/>
    </row>
    <row r="124" spans="1:138">
      <c r="A124" s="222"/>
      <c r="B124" s="318"/>
      <c r="C124" s="313" t="s">
        <v>147</v>
      </c>
      <c r="D124" s="322">
        <f>(D123-D121)/D122</f>
        <v>1.7523202101464253</v>
      </c>
      <c r="E124" s="222"/>
      <c r="F124" s="238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366" t="s">
        <v>333</v>
      </c>
      <c r="T124" s="366"/>
      <c r="U124" s="366"/>
      <c r="V124" s="366">
        <f>AC118-V123</f>
        <v>48432862.797226533</v>
      </c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2"/>
      <c r="BV124" s="222"/>
      <c r="BW124" s="222"/>
      <c r="BX124" s="222"/>
      <c r="BY124" s="222"/>
      <c r="BZ124" s="222"/>
      <c r="CA124" s="222"/>
      <c r="CB124" s="222"/>
      <c r="CC124" s="222"/>
      <c r="CD124" s="222"/>
      <c r="CE124" s="222"/>
      <c r="CF124" s="222"/>
      <c r="CG124" s="222"/>
      <c r="CH124" s="222"/>
      <c r="CI124" s="222"/>
      <c r="CJ124" s="222"/>
      <c r="CK124" s="222"/>
      <c r="CL124" s="222"/>
      <c r="CM124" s="222"/>
      <c r="CN124" s="222"/>
      <c r="CO124" s="222"/>
      <c r="CP124" s="222"/>
      <c r="CQ124" s="222"/>
      <c r="CR124" s="222"/>
      <c r="CS124" s="222"/>
      <c r="CT124" s="222"/>
      <c r="CU124" s="222"/>
      <c r="CV124" s="222"/>
      <c r="CW124" s="222"/>
      <c r="CX124" s="222"/>
      <c r="CY124" s="222"/>
      <c r="CZ124" s="222"/>
      <c r="DA124" s="222"/>
      <c r="DB124" s="222"/>
      <c r="DC124" s="222"/>
      <c r="DD124" s="222"/>
      <c r="DE124" s="222"/>
      <c r="DF124" s="222"/>
      <c r="DG124" s="222"/>
      <c r="DH124" s="222"/>
      <c r="DI124" s="222"/>
      <c r="DJ124" s="222"/>
      <c r="DK124" s="222"/>
      <c r="DL124" s="222"/>
      <c r="DM124" s="222"/>
      <c r="DN124" s="222"/>
      <c r="DO124" s="222"/>
      <c r="DP124" s="222"/>
      <c r="DQ124" s="222"/>
      <c r="DR124" s="222"/>
      <c r="DS124" s="222"/>
      <c r="DT124" s="222"/>
      <c r="DU124" s="222"/>
      <c r="DV124" s="222"/>
      <c r="DW124" s="325"/>
      <c r="DX124" s="325"/>
      <c r="DY124" s="325"/>
      <c r="DZ124" s="325"/>
      <c r="EA124" s="325"/>
      <c r="EB124" s="325"/>
      <c r="EC124" s="325"/>
      <c r="ED124" s="325"/>
      <c r="EE124" s="325"/>
      <c r="EF124" s="325"/>
      <c r="EG124" s="325"/>
      <c r="EH124" s="325"/>
    </row>
    <row r="125" spans="1:138">
      <c r="A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38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325"/>
      <c r="DX125" s="325"/>
      <c r="DY125" s="325"/>
      <c r="DZ125" s="325"/>
      <c r="EA125" s="325"/>
      <c r="EB125" s="325"/>
      <c r="EC125" s="325"/>
      <c r="ED125" s="325"/>
      <c r="EE125" s="325"/>
      <c r="EF125" s="325"/>
      <c r="EG125" s="325"/>
      <c r="EH125" s="325"/>
    </row>
    <row r="126" spans="1:138" hidden="1">
      <c r="A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  <c r="BB126" s="222"/>
      <c r="BC126" s="222"/>
      <c r="BD126" s="222"/>
      <c r="BE126" s="222"/>
      <c r="BF126" s="222"/>
      <c r="BG126" s="222"/>
      <c r="BH126" s="222"/>
      <c r="BI126" s="222"/>
      <c r="BJ126" s="222"/>
      <c r="BK126" s="222"/>
      <c r="BL126" s="222"/>
      <c r="BM126" s="222"/>
      <c r="BN126" s="222"/>
      <c r="BO126" s="222"/>
      <c r="BP126" s="222"/>
      <c r="BQ126" s="222"/>
      <c r="BR126" s="222"/>
      <c r="BS126" s="222"/>
      <c r="BT126" s="222"/>
      <c r="BU126" s="222"/>
      <c r="BV126" s="222"/>
      <c r="BW126" s="222"/>
      <c r="BX126" s="222"/>
      <c r="BY126" s="222"/>
      <c r="BZ126" s="222"/>
      <c r="CA126" s="222"/>
      <c r="CB126" s="222"/>
      <c r="CC126" s="222"/>
      <c r="CD126" s="222"/>
      <c r="CE126" s="222"/>
      <c r="CF126" s="222"/>
      <c r="CG126" s="222"/>
      <c r="CH126" s="222"/>
      <c r="CI126" s="222"/>
      <c r="CJ126" s="222"/>
      <c r="CK126" s="222"/>
      <c r="CL126" s="222"/>
      <c r="CM126" s="222"/>
      <c r="CN126" s="222"/>
      <c r="CO126" s="222"/>
      <c r="CP126" s="222"/>
      <c r="CQ126" s="222"/>
      <c r="CR126" s="222"/>
      <c r="CS126" s="222"/>
      <c r="CT126" s="222"/>
      <c r="CU126" s="222"/>
      <c r="CV126" s="222"/>
      <c r="CW126" s="222"/>
      <c r="CX126" s="222"/>
      <c r="CY126" s="222"/>
      <c r="CZ126" s="222"/>
      <c r="DA126" s="222"/>
      <c r="DB126" s="222"/>
      <c r="DC126" s="222"/>
      <c r="DD126" s="222"/>
      <c r="DE126" s="222"/>
      <c r="DF126" s="222"/>
      <c r="DG126" s="222"/>
      <c r="DH126" s="222"/>
      <c r="DI126" s="222"/>
      <c r="DJ126" s="222"/>
      <c r="DK126" s="222"/>
      <c r="DL126" s="222"/>
      <c r="DM126" s="222"/>
      <c r="DN126" s="222"/>
      <c r="DO126" s="222"/>
      <c r="DP126" s="222"/>
      <c r="DQ126" s="222"/>
      <c r="DR126" s="222"/>
      <c r="DS126" s="222"/>
      <c r="DT126" s="222"/>
      <c r="DU126" s="222"/>
      <c r="DV126" s="222"/>
      <c r="DW126" s="325"/>
      <c r="DX126" s="325"/>
      <c r="DY126" s="325"/>
      <c r="DZ126" s="325"/>
      <c r="EA126" s="325"/>
      <c r="EB126" s="325"/>
      <c r="EC126" s="325"/>
      <c r="ED126" s="325"/>
      <c r="EE126" s="325"/>
      <c r="EF126" s="325"/>
      <c r="EG126" s="325"/>
      <c r="EH126" s="325"/>
    </row>
    <row r="127" spans="1:138" hidden="1">
      <c r="A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  <c r="BB127" s="222"/>
      <c r="BC127" s="222"/>
      <c r="BD127" s="222"/>
      <c r="BE127" s="222"/>
      <c r="BF127" s="222"/>
      <c r="BG127" s="222"/>
      <c r="BH127" s="222"/>
      <c r="BI127" s="222"/>
      <c r="BJ127" s="222"/>
      <c r="BK127" s="222"/>
      <c r="BL127" s="222"/>
      <c r="BM127" s="222"/>
      <c r="BN127" s="222"/>
      <c r="BO127" s="222"/>
      <c r="BP127" s="222"/>
      <c r="BQ127" s="222"/>
      <c r="BR127" s="222"/>
      <c r="BS127" s="222"/>
      <c r="BT127" s="222"/>
      <c r="BU127" s="222"/>
      <c r="BV127" s="222"/>
      <c r="BW127" s="222"/>
      <c r="BX127" s="222"/>
      <c r="BY127" s="222"/>
      <c r="BZ127" s="222"/>
      <c r="CA127" s="222"/>
      <c r="CB127" s="222"/>
      <c r="CC127" s="222"/>
      <c r="CD127" s="222"/>
      <c r="CE127" s="222"/>
      <c r="CF127" s="222"/>
      <c r="CG127" s="222"/>
      <c r="CH127" s="222"/>
      <c r="CI127" s="222"/>
      <c r="CJ127" s="222"/>
      <c r="CK127" s="222"/>
      <c r="CL127" s="222"/>
      <c r="CM127" s="222"/>
      <c r="CN127" s="222"/>
      <c r="CO127" s="222"/>
      <c r="CP127" s="222"/>
      <c r="CQ127" s="222"/>
      <c r="CR127" s="222"/>
      <c r="CS127" s="222"/>
      <c r="CT127" s="222"/>
      <c r="CU127" s="222"/>
      <c r="CV127" s="222"/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2"/>
      <c r="DI127" s="222"/>
      <c r="DJ127" s="222"/>
      <c r="DK127" s="222"/>
      <c r="DL127" s="222"/>
      <c r="DM127" s="222"/>
      <c r="DN127" s="222"/>
      <c r="DO127" s="222"/>
      <c r="DP127" s="222"/>
      <c r="DQ127" s="222"/>
      <c r="DR127" s="222"/>
      <c r="DS127" s="222"/>
      <c r="DT127" s="222"/>
      <c r="DU127" s="222"/>
      <c r="DV127" s="222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</row>
    <row r="128" spans="1:138" hidden="1">
      <c r="A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222"/>
      <c r="AF128" s="222"/>
      <c r="AG128" s="222"/>
      <c r="AH128" s="222"/>
      <c r="AI128" s="222"/>
      <c r="AJ128" s="222"/>
      <c r="AK128" s="222"/>
      <c r="AL128" s="222"/>
      <c r="AM128" s="222"/>
      <c r="AN128" s="222"/>
      <c r="AO128" s="222"/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22"/>
      <c r="BC128" s="222"/>
      <c r="BD128" s="222"/>
      <c r="BE128" s="222"/>
      <c r="BF128" s="222"/>
      <c r="BG128" s="222"/>
      <c r="BH128" s="222"/>
      <c r="BI128" s="222"/>
      <c r="BJ128" s="222"/>
      <c r="BK128" s="222"/>
      <c r="BL128" s="222"/>
      <c r="BM128" s="222"/>
      <c r="BN128" s="222"/>
      <c r="BO128" s="222"/>
      <c r="BP128" s="222"/>
      <c r="BQ128" s="222"/>
      <c r="BR128" s="222"/>
      <c r="BS128" s="222"/>
      <c r="BT128" s="222"/>
      <c r="BU128" s="222"/>
      <c r="BV128" s="222"/>
      <c r="BW128" s="222"/>
      <c r="BX128" s="222"/>
      <c r="BY128" s="222"/>
      <c r="BZ128" s="222"/>
      <c r="CA128" s="222"/>
      <c r="CB128" s="222"/>
      <c r="CC128" s="222"/>
      <c r="CD128" s="222"/>
      <c r="CE128" s="222"/>
      <c r="CF128" s="222"/>
      <c r="CG128" s="222"/>
      <c r="CH128" s="222"/>
      <c r="CI128" s="222"/>
      <c r="CJ128" s="222"/>
      <c r="CK128" s="222"/>
      <c r="CL128" s="222"/>
      <c r="CM128" s="222"/>
      <c r="CN128" s="222"/>
      <c r="CO128" s="222"/>
      <c r="CP128" s="222"/>
      <c r="CQ128" s="222"/>
      <c r="CR128" s="222"/>
      <c r="CS128" s="222"/>
      <c r="CT128" s="222"/>
      <c r="CU128" s="222"/>
      <c r="CV128" s="222"/>
      <c r="CW128" s="222"/>
      <c r="CX128" s="222"/>
      <c r="CY128" s="222"/>
      <c r="CZ128" s="222"/>
      <c r="DA128" s="222"/>
      <c r="DB128" s="222"/>
      <c r="DC128" s="222"/>
      <c r="DD128" s="222"/>
      <c r="DE128" s="222"/>
      <c r="DF128" s="222"/>
      <c r="DG128" s="222"/>
      <c r="DH128" s="222"/>
      <c r="DI128" s="222"/>
      <c r="DJ128" s="222"/>
      <c r="DK128" s="222"/>
      <c r="DL128" s="222"/>
      <c r="DM128" s="222"/>
      <c r="DN128" s="222"/>
      <c r="DO128" s="222"/>
      <c r="DP128" s="222"/>
      <c r="DQ128" s="222"/>
      <c r="DR128" s="222"/>
      <c r="DS128" s="222"/>
      <c r="DT128" s="222"/>
      <c r="DU128" s="222"/>
      <c r="DV128" s="222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</row>
    <row r="129" spans="1:138" hidden="1">
      <c r="A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2"/>
      <c r="AQ129" s="222"/>
      <c r="AR129" s="222"/>
      <c r="AS129" s="222"/>
      <c r="AT129" s="222"/>
      <c r="AU129" s="222"/>
      <c r="AV129" s="222"/>
      <c r="AW129" s="222"/>
      <c r="AX129" s="222"/>
      <c r="AY129" s="222"/>
      <c r="AZ129" s="222"/>
      <c r="BA129" s="222"/>
      <c r="BB129" s="222"/>
      <c r="BC129" s="222"/>
      <c r="BD129" s="222"/>
      <c r="BE129" s="222"/>
      <c r="BF129" s="222"/>
      <c r="BG129" s="222"/>
      <c r="BH129" s="222"/>
      <c r="BI129" s="222"/>
      <c r="BJ129" s="222"/>
      <c r="BK129" s="222"/>
      <c r="BL129" s="222"/>
      <c r="BM129" s="222"/>
      <c r="BN129" s="222"/>
      <c r="BO129" s="222"/>
      <c r="BP129" s="222"/>
      <c r="BQ129" s="222"/>
      <c r="BR129" s="222"/>
      <c r="BS129" s="222"/>
      <c r="BT129" s="222"/>
      <c r="BU129" s="222"/>
      <c r="BV129" s="222"/>
      <c r="BW129" s="222"/>
      <c r="BX129" s="222"/>
      <c r="BY129" s="222"/>
      <c r="BZ129" s="222"/>
      <c r="CA129" s="222"/>
      <c r="CB129" s="222"/>
      <c r="CC129" s="222"/>
      <c r="CD129" s="222"/>
      <c r="CE129" s="222"/>
      <c r="CF129" s="222"/>
      <c r="CG129" s="222"/>
      <c r="CH129" s="222"/>
      <c r="CI129" s="222"/>
      <c r="CJ129" s="222"/>
      <c r="CK129" s="222"/>
      <c r="CL129" s="222"/>
      <c r="CM129" s="222"/>
      <c r="CN129" s="222"/>
      <c r="CO129" s="222"/>
      <c r="CP129" s="222"/>
      <c r="CQ129" s="222"/>
      <c r="CR129" s="222"/>
      <c r="CS129" s="222"/>
      <c r="CT129" s="222"/>
      <c r="CU129" s="222"/>
      <c r="CV129" s="222"/>
      <c r="CW129" s="222"/>
      <c r="CX129" s="222"/>
      <c r="CY129" s="222"/>
      <c r="CZ129" s="222"/>
      <c r="DA129" s="222"/>
      <c r="DB129" s="222"/>
      <c r="DC129" s="222"/>
      <c r="DD129" s="222"/>
      <c r="DE129" s="222"/>
      <c r="DF129" s="222"/>
      <c r="DG129" s="222"/>
      <c r="DH129" s="222"/>
      <c r="DI129" s="222"/>
      <c r="DJ129" s="222"/>
      <c r="DK129" s="222"/>
      <c r="DL129" s="222"/>
      <c r="DM129" s="222"/>
      <c r="DN129" s="222"/>
      <c r="DO129" s="222"/>
      <c r="DP129" s="222"/>
      <c r="DQ129" s="222"/>
      <c r="DR129" s="222"/>
      <c r="DS129" s="222"/>
      <c r="DT129" s="222"/>
      <c r="DU129" s="222"/>
      <c r="DV129" s="222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</row>
    <row r="130" spans="1:138" hidden="1">
      <c r="A130" s="222"/>
      <c r="B130" s="318"/>
      <c r="C130" s="310" t="s">
        <v>304</v>
      </c>
      <c r="D130" s="311"/>
      <c r="E130" s="311">
        <f t="shared" ref="E130:BX130" si="44">-(E6+E92)</f>
        <v>0</v>
      </c>
      <c r="F130" s="311">
        <f t="shared" si="44"/>
        <v>0</v>
      </c>
      <c r="G130" s="311">
        <f t="shared" si="44"/>
        <v>0</v>
      </c>
      <c r="H130" s="311">
        <f t="shared" si="44"/>
        <v>0</v>
      </c>
      <c r="I130" s="311">
        <f t="shared" si="44"/>
        <v>0</v>
      </c>
      <c r="J130" s="311">
        <f t="shared" si="44"/>
        <v>-8333333</v>
      </c>
      <c r="K130" s="311">
        <f t="shared" si="44"/>
        <v>-885000</v>
      </c>
      <c r="L130" s="311">
        <f t="shared" si="44"/>
        <v>885000</v>
      </c>
      <c r="M130" s="311">
        <f t="shared" si="44"/>
        <v>0</v>
      </c>
      <c r="N130" s="311">
        <f t="shared" si="44"/>
        <v>0</v>
      </c>
      <c r="O130" s="311">
        <f t="shared" si="44"/>
        <v>0</v>
      </c>
      <c r="P130" s="311">
        <f t="shared" si="44"/>
        <v>0</v>
      </c>
      <c r="Q130" s="311">
        <f t="shared" si="44"/>
        <v>0</v>
      </c>
      <c r="R130" s="311">
        <f t="shared" si="44"/>
        <v>0</v>
      </c>
      <c r="S130" s="311">
        <f t="shared" si="44"/>
        <v>0</v>
      </c>
      <c r="T130" s="311">
        <f t="shared" si="44"/>
        <v>0</v>
      </c>
      <c r="U130" s="311">
        <f t="shared" si="44"/>
        <v>0</v>
      </c>
      <c r="V130" s="311">
        <f t="shared" si="44"/>
        <v>0</v>
      </c>
      <c r="W130" s="311">
        <f t="shared" si="44"/>
        <v>0</v>
      </c>
      <c r="X130" s="311">
        <f t="shared" si="44"/>
        <v>0</v>
      </c>
      <c r="Y130" s="311">
        <f t="shared" si="44"/>
        <v>0</v>
      </c>
      <c r="Z130" s="311">
        <f t="shared" si="44"/>
        <v>0</v>
      </c>
      <c r="AA130" s="311">
        <f t="shared" si="44"/>
        <v>0</v>
      </c>
      <c r="AB130" s="311">
        <f t="shared" si="44"/>
        <v>0</v>
      </c>
      <c r="AC130" s="311">
        <f t="shared" si="44"/>
        <v>8333333</v>
      </c>
      <c r="AD130" s="311">
        <f t="shared" si="44"/>
        <v>0</v>
      </c>
      <c r="AE130" s="311">
        <f t="shared" si="44"/>
        <v>0</v>
      </c>
      <c r="AF130" s="311">
        <f t="shared" si="44"/>
        <v>0</v>
      </c>
      <c r="AG130" s="311">
        <f t="shared" si="44"/>
        <v>0</v>
      </c>
      <c r="AH130" s="311">
        <f t="shared" si="44"/>
        <v>0</v>
      </c>
      <c r="AI130" s="311">
        <f t="shared" si="44"/>
        <v>0</v>
      </c>
      <c r="AJ130" s="311">
        <f t="shared" si="44"/>
        <v>0</v>
      </c>
      <c r="AK130" s="311">
        <f t="shared" si="44"/>
        <v>0</v>
      </c>
      <c r="AL130" s="311">
        <f t="shared" si="44"/>
        <v>0</v>
      </c>
      <c r="AM130" s="311">
        <f t="shared" si="44"/>
        <v>0</v>
      </c>
      <c r="AN130" s="311">
        <f t="shared" si="44"/>
        <v>0</v>
      </c>
      <c r="AO130" s="311">
        <f t="shared" si="44"/>
        <v>0</v>
      </c>
      <c r="AP130" s="311">
        <f t="shared" si="44"/>
        <v>0</v>
      </c>
      <c r="AQ130" s="311">
        <f t="shared" si="44"/>
        <v>0</v>
      </c>
      <c r="AR130" s="311">
        <f t="shared" si="44"/>
        <v>0</v>
      </c>
      <c r="AS130" s="311">
        <f t="shared" si="44"/>
        <v>0</v>
      </c>
      <c r="AT130" s="311">
        <f t="shared" si="44"/>
        <v>0</v>
      </c>
      <c r="AU130" s="311">
        <f t="shared" si="44"/>
        <v>0</v>
      </c>
      <c r="AV130" s="311">
        <f t="shared" si="44"/>
        <v>0</v>
      </c>
      <c r="AW130" s="311">
        <f t="shared" si="44"/>
        <v>0</v>
      </c>
      <c r="AX130" s="311">
        <f t="shared" si="44"/>
        <v>0</v>
      </c>
      <c r="AY130" s="311">
        <f t="shared" si="44"/>
        <v>0</v>
      </c>
      <c r="AZ130" s="311">
        <f t="shared" si="44"/>
        <v>0</v>
      </c>
      <c r="BA130" s="311">
        <f t="shared" si="44"/>
        <v>0</v>
      </c>
      <c r="BB130" s="311">
        <f t="shared" si="44"/>
        <v>0</v>
      </c>
      <c r="BC130" s="311">
        <f t="shared" si="44"/>
        <v>0</v>
      </c>
      <c r="BD130" s="311">
        <f t="shared" si="44"/>
        <v>0</v>
      </c>
      <c r="BE130" s="311">
        <f t="shared" si="44"/>
        <v>0</v>
      </c>
      <c r="BF130" s="311">
        <f t="shared" si="44"/>
        <v>0</v>
      </c>
      <c r="BG130" s="311">
        <f t="shared" si="44"/>
        <v>0</v>
      </c>
      <c r="BH130" s="311">
        <f t="shared" si="44"/>
        <v>0</v>
      </c>
      <c r="BI130" s="311">
        <f t="shared" si="44"/>
        <v>0</v>
      </c>
      <c r="BJ130" s="311">
        <f t="shared" si="44"/>
        <v>0</v>
      </c>
      <c r="BK130" s="311">
        <f t="shared" si="44"/>
        <v>0</v>
      </c>
      <c r="BL130" s="311">
        <f t="shared" si="44"/>
        <v>0</v>
      </c>
      <c r="BM130" s="311">
        <f t="shared" si="44"/>
        <v>0</v>
      </c>
      <c r="BN130" s="311">
        <f t="shared" si="44"/>
        <v>0</v>
      </c>
      <c r="BO130" s="311">
        <f t="shared" si="44"/>
        <v>0</v>
      </c>
      <c r="BP130" s="311">
        <f t="shared" si="44"/>
        <v>0</v>
      </c>
      <c r="BQ130" s="311">
        <f t="shared" si="44"/>
        <v>0</v>
      </c>
      <c r="BR130" s="311">
        <f t="shared" si="44"/>
        <v>0</v>
      </c>
      <c r="BS130" s="311">
        <f t="shared" si="44"/>
        <v>0</v>
      </c>
      <c r="BT130" s="311">
        <f t="shared" si="44"/>
        <v>0</v>
      </c>
      <c r="BU130" s="311">
        <f t="shared" si="44"/>
        <v>0</v>
      </c>
      <c r="BV130" s="311">
        <f t="shared" si="44"/>
        <v>0</v>
      </c>
      <c r="BW130" s="311">
        <f t="shared" si="44"/>
        <v>0</v>
      </c>
      <c r="BX130" s="311">
        <f t="shared" si="44"/>
        <v>0</v>
      </c>
      <c r="BY130" s="222"/>
      <c r="BZ130" s="222"/>
      <c r="CA130" s="222"/>
      <c r="CB130" s="222"/>
      <c r="CC130" s="222"/>
      <c r="CD130" s="222"/>
      <c r="CE130" s="222"/>
      <c r="CF130" s="222"/>
      <c r="CG130" s="222"/>
      <c r="CH130" s="222"/>
      <c r="CI130" s="222"/>
      <c r="CJ130" s="222"/>
      <c r="CK130" s="222"/>
      <c r="CL130" s="222"/>
      <c r="CM130" s="222"/>
      <c r="CN130" s="222"/>
      <c r="CO130" s="222"/>
      <c r="CP130" s="222"/>
      <c r="CQ130" s="222"/>
      <c r="CR130" s="222"/>
      <c r="CS130" s="222"/>
      <c r="CT130" s="222"/>
      <c r="CU130" s="222"/>
      <c r="CV130" s="222"/>
      <c r="CW130" s="222"/>
      <c r="CX130" s="222"/>
      <c r="CY130" s="222"/>
      <c r="CZ130" s="222"/>
      <c r="DA130" s="222"/>
      <c r="DB130" s="222"/>
      <c r="DC130" s="222"/>
      <c r="DD130" s="222"/>
      <c r="DE130" s="222"/>
      <c r="DF130" s="222"/>
      <c r="DG130" s="222"/>
      <c r="DH130" s="222"/>
      <c r="DI130" s="222"/>
      <c r="DJ130" s="222"/>
      <c r="DK130" s="222"/>
      <c r="DL130" s="222"/>
      <c r="DM130" s="222"/>
      <c r="DN130" s="222"/>
      <c r="DO130" s="222"/>
      <c r="DP130" s="222"/>
      <c r="DQ130" s="222"/>
      <c r="DR130" s="222"/>
      <c r="DS130" s="222"/>
      <c r="DT130" s="222"/>
      <c r="DU130" s="222"/>
      <c r="DV130" s="222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</row>
    <row r="131" spans="1:138" hidden="1">
      <c r="A131" s="222"/>
      <c r="B131" s="318"/>
      <c r="C131" s="310" t="s">
        <v>305</v>
      </c>
      <c r="D131" s="319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  <c r="Y131" s="311"/>
      <c r="Z131" s="311"/>
      <c r="AA131" s="311"/>
      <c r="AB131" s="311"/>
      <c r="AC131" s="311"/>
      <c r="AD131" s="311"/>
      <c r="AE131" s="311"/>
      <c r="AF131" s="311"/>
      <c r="AG131" s="311"/>
      <c r="AH131" s="311"/>
      <c r="AI131" s="311"/>
      <c r="AJ131" s="311"/>
      <c r="AK131" s="311"/>
      <c r="AL131" s="311"/>
      <c r="AM131" s="311"/>
      <c r="AN131" s="311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1"/>
      <c r="AZ131" s="311"/>
      <c r="BA131" s="311"/>
      <c r="BB131" s="311"/>
      <c r="BC131" s="311"/>
      <c r="BD131" s="311"/>
      <c r="BE131" s="311"/>
      <c r="BF131" s="311"/>
      <c r="BG131" s="311"/>
      <c r="BH131" s="311"/>
      <c r="BI131" s="311"/>
      <c r="BJ131" s="311"/>
      <c r="BK131" s="311"/>
      <c r="BL131" s="311"/>
      <c r="BM131" s="311"/>
      <c r="BN131" s="311"/>
      <c r="BO131" s="311"/>
      <c r="BP131" s="311"/>
      <c r="BQ131" s="311"/>
      <c r="BR131" s="311"/>
      <c r="BS131" s="311"/>
      <c r="BT131" s="311"/>
      <c r="BU131" s="311"/>
      <c r="BV131" s="311"/>
      <c r="BW131" s="311"/>
      <c r="BX131" s="311"/>
      <c r="BY131" s="222"/>
      <c r="BZ131" s="222"/>
      <c r="CA131" s="222"/>
      <c r="CB131" s="222"/>
      <c r="CC131" s="222"/>
      <c r="CD131" s="222"/>
      <c r="CE131" s="222"/>
      <c r="CF131" s="222"/>
      <c r="CG131" s="222"/>
      <c r="CH131" s="222"/>
      <c r="CI131" s="222"/>
      <c r="CJ131" s="222"/>
      <c r="CK131" s="222"/>
      <c r="CL131" s="222"/>
      <c r="CM131" s="222"/>
      <c r="CN131" s="222"/>
      <c r="CO131" s="222"/>
      <c r="CP131" s="222"/>
      <c r="CQ131" s="222"/>
      <c r="CR131" s="222"/>
      <c r="CS131" s="222"/>
      <c r="CT131" s="222"/>
      <c r="CU131" s="222"/>
      <c r="CV131" s="222"/>
      <c r="CW131" s="222"/>
      <c r="CX131" s="222"/>
      <c r="CY131" s="222"/>
      <c r="CZ131" s="222"/>
      <c r="DA131" s="222"/>
      <c r="DB131" s="222"/>
      <c r="DC131" s="222"/>
      <c r="DD131" s="222"/>
      <c r="DE131" s="222"/>
      <c r="DF131" s="222"/>
      <c r="DG131" s="222"/>
      <c r="DH131" s="222"/>
      <c r="DI131" s="222"/>
      <c r="DJ131" s="222"/>
      <c r="DK131" s="222"/>
      <c r="DL131" s="222"/>
      <c r="DM131" s="222"/>
      <c r="DN131" s="222"/>
      <c r="DO131" s="222"/>
      <c r="DP131" s="222"/>
      <c r="DQ131" s="222"/>
      <c r="DR131" s="222"/>
      <c r="DS131" s="222"/>
      <c r="DT131" s="222"/>
      <c r="DU131" s="222"/>
      <c r="DV131" s="222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</row>
    <row r="132" spans="1:138" hidden="1">
      <c r="A132" s="222"/>
      <c r="B132" s="318"/>
      <c r="C132" s="310" t="s">
        <v>296</v>
      </c>
      <c r="D132" s="319"/>
      <c r="E132" s="311">
        <f t="shared" ref="E132:BX132" si="45">-E57</f>
        <v>0</v>
      </c>
      <c r="F132" s="311">
        <f t="shared" si="45"/>
        <v>0</v>
      </c>
      <c r="G132" s="311">
        <f t="shared" si="45"/>
        <v>0</v>
      </c>
      <c r="H132" s="311">
        <f t="shared" si="45"/>
        <v>0</v>
      </c>
      <c r="I132" s="311">
        <f t="shared" si="45"/>
        <v>0</v>
      </c>
      <c r="J132" s="311">
        <f t="shared" si="45"/>
        <v>0</v>
      </c>
      <c r="K132" s="311">
        <f t="shared" si="45"/>
        <v>0</v>
      </c>
      <c r="L132" s="311">
        <f t="shared" si="45"/>
        <v>8112.5</v>
      </c>
      <c r="M132" s="311">
        <f t="shared" si="45"/>
        <v>0</v>
      </c>
      <c r="N132" s="311">
        <f t="shared" si="45"/>
        <v>0</v>
      </c>
      <c r="O132" s="311">
        <f t="shared" si="45"/>
        <v>0</v>
      </c>
      <c r="P132" s="311">
        <f t="shared" si="45"/>
        <v>0</v>
      </c>
      <c r="Q132" s="311">
        <f t="shared" si="45"/>
        <v>0</v>
      </c>
      <c r="R132" s="311">
        <f t="shared" si="45"/>
        <v>0</v>
      </c>
      <c r="S132" s="311">
        <f t="shared" si="45"/>
        <v>0</v>
      </c>
      <c r="T132" s="311">
        <f t="shared" si="45"/>
        <v>0</v>
      </c>
      <c r="U132" s="311">
        <f t="shared" si="45"/>
        <v>0</v>
      </c>
      <c r="V132" s="311">
        <f t="shared" si="45"/>
        <v>0</v>
      </c>
      <c r="W132" s="311">
        <f t="shared" si="45"/>
        <v>0</v>
      </c>
      <c r="X132" s="311">
        <f t="shared" si="45"/>
        <v>0</v>
      </c>
      <c r="Y132" s="311">
        <f t="shared" si="45"/>
        <v>0</v>
      </c>
      <c r="Z132" s="311">
        <f t="shared" si="45"/>
        <v>0</v>
      </c>
      <c r="AA132" s="311">
        <f t="shared" si="45"/>
        <v>0</v>
      </c>
      <c r="AB132" s="311">
        <f t="shared" si="45"/>
        <v>0</v>
      </c>
      <c r="AC132" s="311">
        <f t="shared" si="45"/>
        <v>0</v>
      </c>
      <c r="AD132" s="311">
        <f t="shared" si="45"/>
        <v>0</v>
      </c>
      <c r="AE132" s="311">
        <f t="shared" si="45"/>
        <v>0</v>
      </c>
      <c r="AF132" s="311">
        <f t="shared" si="45"/>
        <v>0</v>
      </c>
      <c r="AG132" s="311">
        <f t="shared" si="45"/>
        <v>0</v>
      </c>
      <c r="AH132" s="311">
        <f t="shared" si="45"/>
        <v>0</v>
      </c>
      <c r="AI132" s="311">
        <f t="shared" si="45"/>
        <v>0</v>
      </c>
      <c r="AJ132" s="311">
        <f t="shared" si="45"/>
        <v>0</v>
      </c>
      <c r="AK132" s="311">
        <f t="shared" si="45"/>
        <v>0</v>
      </c>
      <c r="AL132" s="311">
        <f t="shared" si="45"/>
        <v>0</v>
      </c>
      <c r="AM132" s="311">
        <f t="shared" si="45"/>
        <v>0</v>
      </c>
      <c r="AN132" s="311">
        <f t="shared" si="45"/>
        <v>0</v>
      </c>
      <c r="AO132" s="311">
        <f t="shared" si="45"/>
        <v>0</v>
      </c>
      <c r="AP132" s="311">
        <f t="shared" si="45"/>
        <v>0</v>
      </c>
      <c r="AQ132" s="311">
        <f t="shared" si="45"/>
        <v>0</v>
      </c>
      <c r="AR132" s="311">
        <f t="shared" si="45"/>
        <v>0</v>
      </c>
      <c r="AS132" s="311">
        <f t="shared" si="45"/>
        <v>0</v>
      </c>
      <c r="AT132" s="311">
        <f t="shared" si="45"/>
        <v>0</v>
      </c>
      <c r="AU132" s="311">
        <f t="shared" si="45"/>
        <v>0</v>
      </c>
      <c r="AV132" s="311">
        <f t="shared" si="45"/>
        <v>0</v>
      </c>
      <c r="AW132" s="311">
        <f t="shared" si="45"/>
        <v>0</v>
      </c>
      <c r="AX132" s="311">
        <f t="shared" si="45"/>
        <v>0</v>
      </c>
      <c r="AY132" s="311">
        <f t="shared" si="45"/>
        <v>0</v>
      </c>
      <c r="AZ132" s="311">
        <f t="shared" si="45"/>
        <v>0</v>
      </c>
      <c r="BA132" s="311">
        <f t="shared" si="45"/>
        <v>0</v>
      </c>
      <c r="BB132" s="311">
        <f t="shared" si="45"/>
        <v>0</v>
      </c>
      <c r="BC132" s="311">
        <f t="shared" si="45"/>
        <v>0</v>
      </c>
      <c r="BD132" s="311">
        <f t="shared" si="45"/>
        <v>0</v>
      </c>
      <c r="BE132" s="311">
        <f t="shared" si="45"/>
        <v>0</v>
      </c>
      <c r="BF132" s="311">
        <f t="shared" si="45"/>
        <v>0</v>
      </c>
      <c r="BG132" s="311">
        <f t="shared" si="45"/>
        <v>0</v>
      </c>
      <c r="BH132" s="311">
        <f t="shared" si="45"/>
        <v>0</v>
      </c>
      <c r="BI132" s="311">
        <f t="shared" si="45"/>
        <v>0</v>
      </c>
      <c r="BJ132" s="311">
        <f t="shared" si="45"/>
        <v>0</v>
      </c>
      <c r="BK132" s="311">
        <f t="shared" si="45"/>
        <v>0</v>
      </c>
      <c r="BL132" s="311">
        <f t="shared" si="45"/>
        <v>0</v>
      </c>
      <c r="BM132" s="311">
        <f t="shared" si="45"/>
        <v>0</v>
      </c>
      <c r="BN132" s="311">
        <f t="shared" si="45"/>
        <v>0</v>
      </c>
      <c r="BO132" s="311">
        <f t="shared" si="45"/>
        <v>0</v>
      </c>
      <c r="BP132" s="311">
        <f t="shared" si="45"/>
        <v>0</v>
      </c>
      <c r="BQ132" s="311">
        <f t="shared" si="45"/>
        <v>0</v>
      </c>
      <c r="BR132" s="311">
        <f t="shared" si="45"/>
        <v>0</v>
      </c>
      <c r="BS132" s="311">
        <f t="shared" si="45"/>
        <v>0</v>
      </c>
      <c r="BT132" s="311">
        <f t="shared" si="45"/>
        <v>0</v>
      </c>
      <c r="BU132" s="311">
        <f t="shared" si="45"/>
        <v>0</v>
      </c>
      <c r="BV132" s="311">
        <f t="shared" si="45"/>
        <v>0</v>
      </c>
      <c r="BW132" s="311">
        <f t="shared" si="45"/>
        <v>0</v>
      </c>
      <c r="BX132" s="311">
        <f t="shared" si="45"/>
        <v>0</v>
      </c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2"/>
      <c r="DL132" s="222"/>
      <c r="DM132" s="222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</row>
    <row r="133" spans="1:138" hidden="1">
      <c r="A133" s="222"/>
      <c r="B133" s="318"/>
      <c r="C133" s="310" t="s">
        <v>297</v>
      </c>
      <c r="D133" s="319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  <c r="O133" s="311"/>
      <c r="P133" s="311"/>
      <c r="Q133" s="311"/>
      <c r="R133" s="311"/>
      <c r="S133" s="311"/>
      <c r="T133" s="311">
        <f>T100-T178-T194-T210</f>
        <v>-1447144.7489420176</v>
      </c>
      <c r="U133" s="311"/>
      <c r="V133" s="311"/>
      <c r="W133" s="311"/>
      <c r="X133" s="311"/>
      <c r="Y133" s="311"/>
      <c r="Z133" s="311"/>
      <c r="AA133" s="311"/>
      <c r="AB133" s="311"/>
      <c r="AC133" s="311"/>
      <c r="AD133" s="311"/>
      <c r="AE133" s="311"/>
      <c r="AF133" s="311"/>
      <c r="AG133" s="311"/>
      <c r="AH133" s="311"/>
      <c r="AI133" s="311"/>
      <c r="AJ133" s="311"/>
      <c r="AK133" s="311"/>
      <c r="AL133" s="311"/>
      <c r="AM133" s="311"/>
      <c r="AN133" s="311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1"/>
      <c r="AZ133" s="311"/>
      <c r="BA133" s="311"/>
      <c r="BB133" s="311"/>
      <c r="BC133" s="311"/>
      <c r="BD133" s="311"/>
      <c r="BE133" s="311"/>
      <c r="BF133" s="311"/>
      <c r="BG133" s="311"/>
      <c r="BH133" s="311"/>
      <c r="BI133" s="311"/>
      <c r="BJ133" s="311"/>
      <c r="BK133" s="311"/>
      <c r="BL133" s="311"/>
      <c r="BM133" s="311"/>
      <c r="BN133" s="311"/>
      <c r="BO133" s="311"/>
      <c r="BP133" s="311"/>
      <c r="BQ133" s="311"/>
      <c r="BR133" s="311"/>
      <c r="BS133" s="311"/>
      <c r="BT133" s="311"/>
      <c r="BU133" s="311"/>
      <c r="BV133" s="311"/>
      <c r="BW133" s="311"/>
      <c r="BX133" s="311">
        <f>IF(D105&gt;0.25,(BX100-BX108)*D134,BX100*D134)</f>
        <v>0</v>
      </c>
      <c r="BY133" s="222"/>
      <c r="BZ133" s="222"/>
      <c r="CA133" s="222"/>
      <c r="CB133" s="222"/>
      <c r="CC133" s="222"/>
      <c r="CD133" s="222"/>
      <c r="CE133" s="222"/>
      <c r="CF133" s="222"/>
      <c r="CG133" s="222"/>
      <c r="CH133" s="222"/>
      <c r="CI133" s="222"/>
      <c r="CJ133" s="222"/>
      <c r="CK133" s="222"/>
      <c r="CL133" s="222"/>
      <c r="CM133" s="222"/>
      <c r="CN133" s="222"/>
      <c r="CO133" s="222"/>
      <c r="CP133" s="222"/>
      <c r="CQ133" s="222"/>
      <c r="CR133" s="222"/>
      <c r="CS133" s="222"/>
      <c r="CT133" s="222"/>
      <c r="CU133" s="222"/>
      <c r="CV133" s="222"/>
      <c r="CW133" s="222"/>
      <c r="CX133" s="222"/>
      <c r="CY133" s="222"/>
      <c r="CZ133" s="222"/>
      <c r="DA133" s="222"/>
      <c r="DB133" s="222"/>
      <c r="DC133" s="222"/>
      <c r="DD133" s="222"/>
      <c r="DE133" s="222"/>
      <c r="DF133" s="222"/>
      <c r="DG133" s="222"/>
      <c r="DH133" s="222"/>
      <c r="DI133" s="222"/>
      <c r="DJ133" s="222"/>
      <c r="DK133" s="222"/>
      <c r="DL133" s="222"/>
      <c r="DM133" s="222"/>
      <c r="DN133" s="222"/>
      <c r="DO133" s="222"/>
      <c r="DP133" s="222"/>
      <c r="DQ133" s="222"/>
      <c r="DR133" s="222"/>
      <c r="DS133" s="222"/>
      <c r="DT133" s="222"/>
      <c r="DU133" s="222"/>
      <c r="DV133" s="222"/>
      <c r="DW133" s="325"/>
      <c r="DX133" s="325"/>
      <c r="DY133" s="325"/>
      <c r="DZ133" s="325"/>
      <c r="EA133" s="325"/>
      <c r="EB133" s="325"/>
      <c r="EC133" s="325"/>
      <c r="ED133" s="325"/>
      <c r="EE133" s="325"/>
      <c r="EF133" s="325"/>
      <c r="EG133" s="325"/>
      <c r="EH133" s="325"/>
    </row>
    <row r="134" spans="1:138" hidden="1">
      <c r="A134" s="222"/>
      <c r="B134" s="318"/>
      <c r="C134" s="313" t="s">
        <v>298</v>
      </c>
      <c r="D134" s="319">
        <v>0</v>
      </c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22"/>
      <c r="BZ134" s="222"/>
      <c r="CA134" s="222"/>
      <c r="CB134" s="222"/>
      <c r="CC134" s="222"/>
      <c r="CD134" s="222"/>
      <c r="CE134" s="222"/>
      <c r="CF134" s="222"/>
      <c r="CG134" s="222"/>
      <c r="CH134" s="222"/>
      <c r="CI134" s="222"/>
      <c r="CJ134" s="222"/>
      <c r="CK134" s="222"/>
      <c r="CL134" s="222"/>
      <c r="CM134" s="222"/>
      <c r="CN134" s="222"/>
      <c r="CO134" s="222"/>
      <c r="CP134" s="222"/>
      <c r="CQ134" s="222"/>
      <c r="CR134" s="222"/>
      <c r="CS134" s="222"/>
      <c r="CT134" s="222"/>
      <c r="CU134" s="222"/>
      <c r="CV134" s="222"/>
      <c r="CW134" s="222"/>
      <c r="CX134" s="222"/>
      <c r="CY134" s="222"/>
      <c r="CZ134" s="222"/>
      <c r="DA134" s="222"/>
      <c r="DB134" s="222"/>
      <c r="DC134" s="222"/>
      <c r="DD134" s="222"/>
      <c r="DE134" s="222"/>
      <c r="DF134" s="222"/>
      <c r="DG134" s="222"/>
      <c r="DH134" s="222"/>
      <c r="DI134" s="222"/>
      <c r="DJ134" s="222"/>
      <c r="DK134" s="222"/>
      <c r="DL134" s="222"/>
      <c r="DM134" s="222"/>
      <c r="DN134" s="222"/>
      <c r="DO134" s="222"/>
      <c r="DP134" s="222"/>
      <c r="DQ134" s="222"/>
      <c r="DR134" s="222"/>
      <c r="DS134" s="222"/>
      <c r="DT134" s="222"/>
      <c r="DU134" s="222"/>
      <c r="DV134" s="222"/>
      <c r="DW134" s="325"/>
      <c r="DX134" s="325"/>
      <c r="DY134" s="325"/>
      <c r="DZ134" s="325"/>
      <c r="EA134" s="325"/>
      <c r="EB134" s="325"/>
      <c r="EC134" s="325"/>
      <c r="ED134" s="325"/>
      <c r="EE134" s="325"/>
      <c r="EF134" s="325"/>
      <c r="EG134" s="325"/>
      <c r="EH134" s="325"/>
    </row>
    <row r="135" spans="1:138" hidden="1">
      <c r="A135" s="222"/>
      <c r="B135" s="318"/>
      <c r="C135" s="310" t="s">
        <v>299</v>
      </c>
      <c r="D135" s="311"/>
      <c r="E135" s="321">
        <f t="shared" ref="E135:BX135" si="46">E130+E131+E132+E133+E134</f>
        <v>0</v>
      </c>
      <c r="F135" s="321">
        <f t="shared" si="46"/>
        <v>0</v>
      </c>
      <c r="G135" s="321">
        <f t="shared" si="46"/>
        <v>0</v>
      </c>
      <c r="H135" s="321">
        <f t="shared" si="46"/>
        <v>0</v>
      </c>
      <c r="I135" s="321">
        <f t="shared" si="46"/>
        <v>0</v>
      </c>
      <c r="J135" s="321">
        <f t="shared" si="46"/>
        <v>-8333333</v>
      </c>
      <c r="K135" s="321">
        <f t="shared" si="46"/>
        <v>-885000</v>
      </c>
      <c r="L135" s="321">
        <f t="shared" si="46"/>
        <v>893112.5</v>
      </c>
      <c r="M135" s="321">
        <f t="shared" si="46"/>
        <v>0</v>
      </c>
      <c r="N135" s="321">
        <f t="shared" si="46"/>
        <v>0</v>
      </c>
      <c r="O135" s="321">
        <f t="shared" si="46"/>
        <v>0</v>
      </c>
      <c r="P135" s="321">
        <f t="shared" si="46"/>
        <v>0</v>
      </c>
      <c r="Q135" s="321">
        <f t="shared" si="46"/>
        <v>0</v>
      </c>
      <c r="R135" s="321">
        <f t="shared" si="46"/>
        <v>0</v>
      </c>
      <c r="S135" s="321">
        <f t="shared" si="46"/>
        <v>0</v>
      </c>
      <c r="T135" s="321">
        <f t="shared" si="46"/>
        <v>-1447144.7489420176</v>
      </c>
      <c r="U135" s="321">
        <f t="shared" si="46"/>
        <v>0</v>
      </c>
      <c r="V135" s="321">
        <f t="shared" si="46"/>
        <v>0</v>
      </c>
      <c r="W135" s="321">
        <f t="shared" si="46"/>
        <v>0</v>
      </c>
      <c r="X135" s="321">
        <f t="shared" si="46"/>
        <v>0</v>
      </c>
      <c r="Y135" s="321">
        <f t="shared" si="46"/>
        <v>0</v>
      </c>
      <c r="Z135" s="321">
        <f t="shared" si="46"/>
        <v>0</v>
      </c>
      <c r="AA135" s="321">
        <f t="shared" si="46"/>
        <v>0</v>
      </c>
      <c r="AB135" s="321">
        <f t="shared" si="46"/>
        <v>0</v>
      </c>
      <c r="AC135" s="321">
        <f t="shared" si="46"/>
        <v>8333333</v>
      </c>
      <c r="AD135" s="321">
        <f t="shared" si="46"/>
        <v>0</v>
      </c>
      <c r="AE135" s="321">
        <f t="shared" si="46"/>
        <v>0</v>
      </c>
      <c r="AF135" s="321">
        <f t="shared" si="46"/>
        <v>0</v>
      </c>
      <c r="AG135" s="321">
        <f t="shared" si="46"/>
        <v>0</v>
      </c>
      <c r="AH135" s="321">
        <f t="shared" si="46"/>
        <v>0</v>
      </c>
      <c r="AI135" s="321">
        <f t="shared" si="46"/>
        <v>0</v>
      </c>
      <c r="AJ135" s="321">
        <f t="shared" si="46"/>
        <v>0</v>
      </c>
      <c r="AK135" s="321">
        <f t="shared" si="46"/>
        <v>0</v>
      </c>
      <c r="AL135" s="321">
        <f t="shared" si="46"/>
        <v>0</v>
      </c>
      <c r="AM135" s="321">
        <f t="shared" si="46"/>
        <v>0</v>
      </c>
      <c r="AN135" s="321">
        <f t="shared" si="46"/>
        <v>0</v>
      </c>
      <c r="AO135" s="321">
        <f t="shared" si="46"/>
        <v>0</v>
      </c>
      <c r="AP135" s="321">
        <f t="shared" si="46"/>
        <v>0</v>
      </c>
      <c r="AQ135" s="321">
        <f t="shared" si="46"/>
        <v>0</v>
      </c>
      <c r="AR135" s="321">
        <f t="shared" si="46"/>
        <v>0</v>
      </c>
      <c r="AS135" s="321">
        <f t="shared" si="46"/>
        <v>0</v>
      </c>
      <c r="AT135" s="321">
        <f t="shared" si="46"/>
        <v>0</v>
      </c>
      <c r="AU135" s="321">
        <f t="shared" si="46"/>
        <v>0</v>
      </c>
      <c r="AV135" s="321">
        <f t="shared" si="46"/>
        <v>0</v>
      </c>
      <c r="AW135" s="321">
        <f t="shared" si="46"/>
        <v>0</v>
      </c>
      <c r="AX135" s="321">
        <f t="shared" si="46"/>
        <v>0</v>
      </c>
      <c r="AY135" s="321">
        <f t="shared" si="46"/>
        <v>0</v>
      </c>
      <c r="AZ135" s="321">
        <f t="shared" si="46"/>
        <v>0</v>
      </c>
      <c r="BA135" s="321">
        <f t="shared" si="46"/>
        <v>0</v>
      </c>
      <c r="BB135" s="321">
        <f t="shared" si="46"/>
        <v>0</v>
      </c>
      <c r="BC135" s="321">
        <f t="shared" si="46"/>
        <v>0</v>
      </c>
      <c r="BD135" s="321">
        <f t="shared" si="46"/>
        <v>0</v>
      </c>
      <c r="BE135" s="321">
        <f t="shared" si="46"/>
        <v>0</v>
      </c>
      <c r="BF135" s="321">
        <f t="shared" si="46"/>
        <v>0</v>
      </c>
      <c r="BG135" s="321">
        <f t="shared" si="46"/>
        <v>0</v>
      </c>
      <c r="BH135" s="321">
        <f t="shared" si="46"/>
        <v>0</v>
      </c>
      <c r="BI135" s="321">
        <f t="shared" si="46"/>
        <v>0</v>
      </c>
      <c r="BJ135" s="321">
        <f t="shared" si="46"/>
        <v>0</v>
      </c>
      <c r="BK135" s="321">
        <f t="shared" si="46"/>
        <v>0</v>
      </c>
      <c r="BL135" s="321">
        <f t="shared" si="46"/>
        <v>0</v>
      </c>
      <c r="BM135" s="321">
        <f t="shared" si="46"/>
        <v>0</v>
      </c>
      <c r="BN135" s="321">
        <f t="shared" si="46"/>
        <v>0</v>
      </c>
      <c r="BO135" s="321">
        <f t="shared" si="46"/>
        <v>0</v>
      </c>
      <c r="BP135" s="321">
        <f t="shared" si="46"/>
        <v>0</v>
      </c>
      <c r="BQ135" s="321">
        <f t="shared" si="46"/>
        <v>0</v>
      </c>
      <c r="BR135" s="321">
        <f t="shared" si="46"/>
        <v>0</v>
      </c>
      <c r="BS135" s="321">
        <f t="shared" si="46"/>
        <v>0</v>
      </c>
      <c r="BT135" s="321">
        <f t="shared" si="46"/>
        <v>0</v>
      </c>
      <c r="BU135" s="321">
        <f t="shared" si="46"/>
        <v>0</v>
      </c>
      <c r="BV135" s="321">
        <f t="shared" si="46"/>
        <v>0</v>
      </c>
      <c r="BW135" s="321">
        <f t="shared" si="46"/>
        <v>0</v>
      </c>
      <c r="BX135" s="321">
        <f t="shared" si="46"/>
        <v>0</v>
      </c>
      <c r="BY135" s="222"/>
      <c r="BZ135" s="222"/>
      <c r="CA135" s="222"/>
      <c r="CB135" s="222"/>
      <c r="CC135" s="222"/>
      <c r="CD135" s="222"/>
      <c r="CE135" s="222"/>
      <c r="CF135" s="222"/>
      <c r="CG135" s="222"/>
      <c r="CH135" s="222"/>
      <c r="CI135" s="222"/>
      <c r="CJ135" s="222"/>
      <c r="CK135" s="222"/>
      <c r="CL135" s="222"/>
      <c r="CM135" s="222"/>
      <c r="CN135" s="222"/>
      <c r="CO135" s="222"/>
      <c r="CP135" s="222"/>
      <c r="CQ135" s="222"/>
      <c r="CR135" s="222"/>
      <c r="CS135" s="222"/>
      <c r="CT135" s="222"/>
      <c r="CU135" s="222"/>
      <c r="CV135" s="222"/>
      <c r="CW135" s="222"/>
      <c r="CX135" s="222"/>
      <c r="CY135" s="222"/>
      <c r="CZ135" s="222"/>
      <c r="DA135" s="222"/>
      <c r="DB135" s="222"/>
      <c r="DC135" s="222"/>
      <c r="DD135" s="222"/>
      <c r="DE135" s="222"/>
      <c r="DF135" s="222"/>
      <c r="DG135" s="222"/>
      <c r="DH135" s="222"/>
      <c r="DI135" s="222"/>
      <c r="DJ135" s="222"/>
      <c r="DK135" s="222"/>
      <c r="DL135" s="222"/>
      <c r="DM135" s="222"/>
      <c r="DN135" s="222"/>
      <c r="DO135" s="222"/>
      <c r="DP135" s="222"/>
      <c r="DQ135" s="222"/>
      <c r="DR135" s="222"/>
      <c r="DS135" s="222"/>
      <c r="DT135" s="222"/>
      <c r="DU135" s="222"/>
      <c r="DV135" s="222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</row>
    <row r="136" spans="1:138" hidden="1">
      <c r="A136" s="222"/>
      <c r="B136" s="318"/>
      <c r="C136" s="314"/>
      <c r="D136" s="322" t="s">
        <v>306</v>
      </c>
      <c r="E136" s="327">
        <f>E135</f>
        <v>0</v>
      </c>
      <c r="F136" s="327">
        <f t="shared" ref="F136:BX136" si="47">E136+F135</f>
        <v>0</v>
      </c>
      <c r="G136" s="327">
        <f t="shared" si="47"/>
        <v>0</v>
      </c>
      <c r="H136" s="327">
        <f t="shared" si="47"/>
        <v>0</v>
      </c>
      <c r="I136" s="327">
        <f t="shared" si="47"/>
        <v>0</v>
      </c>
      <c r="J136" s="327">
        <f t="shared" si="47"/>
        <v>-8333333</v>
      </c>
      <c r="K136" s="327">
        <f t="shared" si="47"/>
        <v>-9218333</v>
      </c>
      <c r="L136" s="327">
        <f t="shared" si="47"/>
        <v>-8325220.5</v>
      </c>
      <c r="M136" s="327">
        <f t="shared" si="47"/>
        <v>-8325220.5</v>
      </c>
      <c r="N136" s="327">
        <f t="shared" si="47"/>
        <v>-8325220.5</v>
      </c>
      <c r="O136" s="327">
        <f t="shared" si="47"/>
        <v>-8325220.5</v>
      </c>
      <c r="P136" s="327">
        <f t="shared" si="47"/>
        <v>-8325220.5</v>
      </c>
      <c r="Q136" s="327">
        <f t="shared" si="47"/>
        <v>-8325220.5</v>
      </c>
      <c r="R136" s="327">
        <f t="shared" si="47"/>
        <v>-8325220.5</v>
      </c>
      <c r="S136" s="327">
        <f t="shared" si="47"/>
        <v>-8325220.5</v>
      </c>
      <c r="T136" s="327">
        <f t="shared" si="47"/>
        <v>-9772365.2489420176</v>
      </c>
      <c r="U136" s="327">
        <f t="shared" si="47"/>
        <v>-9772365.2489420176</v>
      </c>
      <c r="V136" s="327">
        <f t="shared" si="47"/>
        <v>-9772365.2489420176</v>
      </c>
      <c r="W136" s="327">
        <f t="shared" si="47"/>
        <v>-9772365.2489420176</v>
      </c>
      <c r="X136" s="327">
        <f t="shared" si="47"/>
        <v>-9772365.2489420176</v>
      </c>
      <c r="Y136" s="327">
        <f t="shared" si="47"/>
        <v>-9772365.2489420176</v>
      </c>
      <c r="Z136" s="327">
        <f t="shared" si="47"/>
        <v>-9772365.2489420176</v>
      </c>
      <c r="AA136" s="327">
        <f t="shared" si="47"/>
        <v>-9772365.2489420176</v>
      </c>
      <c r="AB136" s="327">
        <f t="shared" si="47"/>
        <v>-9772365.2489420176</v>
      </c>
      <c r="AC136" s="327">
        <f t="shared" si="47"/>
        <v>-1439032.2489420176</v>
      </c>
      <c r="AD136" s="327">
        <f t="shared" si="47"/>
        <v>-1439032.2489420176</v>
      </c>
      <c r="AE136" s="327">
        <f t="shared" si="47"/>
        <v>-1439032.2489420176</v>
      </c>
      <c r="AF136" s="327">
        <f t="shared" si="47"/>
        <v>-1439032.2489420176</v>
      </c>
      <c r="AG136" s="327">
        <f t="shared" si="47"/>
        <v>-1439032.2489420176</v>
      </c>
      <c r="AH136" s="327">
        <f t="shared" si="47"/>
        <v>-1439032.2489420176</v>
      </c>
      <c r="AI136" s="327">
        <f t="shared" si="47"/>
        <v>-1439032.2489420176</v>
      </c>
      <c r="AJ136" s="327">
        <f t="shared" si="47"/>
        <v>-1439032.2489420176</v>
      </c>
      <c r="AK136" s="327">
        <f t="shared" si="47"/>
        <v>-1439032.2489420176</v>
      </c>
      <c r="AL136" s="327">
        <f t="shared" si="47"/>
        <v>-1439032.2489420176</v>
      </c>
      <c r="AM136" s="327">
        <f t="shared" si="47"/>
        <v>-1439032.2489420176</v>
      </c>
      <c r="AN136" s="327">
        <f t="shared" si="47"/>
        <v>-1439032.2489420176</v>
      </c>
      <c r="AO136" s="327">
        <f t="shared" si="47"/>
        <v>-1439032.2489420176</v>
      </c>
      <c r="AP136" s="327">
        <f t="shared" si="47"/>
        <v>-1439032.2489420176</v>
      </c>
      <c r="AQ136" s="327">
        <f t="shared" si="47"/>
        <v>-1439032.2489420176</v>
      </c>
      <c r="AR136" s="327">
        <f t="shared" si="47"/>
        <v>-1439032.2489420176</v>
      </c>
      <c r="AS136" s="327">
        <f t="shared" si="47"/>
        <v>-1439032.2489420176</v>
      </c>
      <c r="AT136" s="327">
        <f t="shared" si="47"/>
        <v>-1439032.2489420176</v>
      </c>
      <c r="AU136" s="327">
        <f t="shared" si="47"/>
        <v>-1439032.2489420176</v>
      </c>
      <c r="AV136" s="327">
        <f t="shared" si="47"/>
        <v>-1439032.2489420176</v>
      </c>
      <c r="AW136" s="327">
        <f t="shared" si="47"/>
        <v>-1439032.2489420176</v>
      </c>
      <c r="AX136" s="327">
        <f t="shared" si="47"/>
        <v>-1439032.2489420176</v>
      </c>
      <c r="AY136" s="327">
        <f t="shared" si="47"/>
        <v>-1439032.2489420176</v>
      </c>
      <c r="AZ136" s="327">
        <f t="shared" si="47"/>
        <v>-1439032.2489420176</v>
      </c>
      <c r="BA136" s="327">
        <f t="shared" si="47"/>
        <v>-1439032.2489420176</v>
      </c>
      <c r="BB136" s="327">
        <f t="shared" si="47"/>
        <v>-1439032.2489420176</v>
      </c>
      <c r="BC136" s="327">
        <f t="shared" si="47"/>
        <v>-1439032.2489420176</v>
      </c>
      <c r="BD136" s="327">
        <f t="shared" si="47"/>
        <v>-1439032.2489420176</v>
      </c>
      <c r="BE136" s="327">
        <f t="shared" si="47"/>
        <v>-1439032.2489420176</v>
      </c>
      <c r="BF136" s="327">
        <f t="shared" si="47"/>
        <v>-1439032.2489420176</v>
      </c>
      <c r="BG136" s="327">
        <f t="shared" si="47"/>
        <v>-1439032.2489420176</v>
      </c>
      <c r="BH136" s="327">
        <f t="shared" si="47"/>
        <v>-1439032.2489420176</v>
      </c>
      <c r="BI136" s="327">
        <f t="shared" si="47"/>
        <v>-1439032.2489420176</v>
      </c>
      <c r="BJ136" s="327">
        <f t="shared" si="47"/>
        <v>-1439032.2489420176</v>
      </c>
      <c r="BK136" s="327">
        <f t="shared" si="47"/>
        <v>-1439032.2489420176</v>
      </c>
      <c r="BL136" s="327">
        <f t="shared" si="47"/>
        <v>-1439032.2489420176</v>
      </c>
      <c r="BM136" s="327">
        <f t="shared" si="47"/>
        <v>-1439032.2489420176</v>
      </c>
      <c r="BN136" s="327">
        <f t="shared" si="47"/>
        <v>-1439032.2489420176</v>
      </c>
      <c r="BO136" s="327">
        <f t="shared" si="47"/>
        <v>-1439032.2489420176</v>
      </c>
      <c r="BP136" s="327">
        <f t="shared" si="47"/>
        <v>-1439032.2489420176</v>
      </c>
      <c r="BQ136" s="327">
        <f t="shared" si="47"/>
        <v>-1439032.2489420176</v>
      </c>
      <c r="BR136" s="327">
        <f t="shared" si="47"/>
        <v>-1439032.2489420176</v>
      </c>
      <c r="BS136" s="327">
        <f t="shared" si="47"/>
        <v>-1439032.2489420176</v>
      </c>
      <c r="BT136" s="327">
        <f t="shared" si="47"/>
        <v>-1439032.2489420176</v>
      </c>
      <c r="BU136" s="327">
        <f t="shared" si="47"/>
        <v>-1439032.2489420176</v>
      </c>
      <c r="BV136" s="327">
        <f t="shared" si="47"/>
        <v>-1439032.2489420176</v>
      </c>
      <c r="BW136" s="327">
        <f t="shared" si="47"/>
        <v>-1439032.2489420176</v>
      </c>
      <c r="BX136" s="327">
        <f t="shared" si="47"/>
        <v>-1439032.2489420176</v>
      </c>
      <c r="BY136" s="222"/>
      <c r="BZ136" s="222"/>
      <c r="CA136" s="222"/>
      <c r="CB136" s="222"/>
      <c r="CC136" s="222"/>
      <c r="CD136" s="222"/>
      <c r="CE136" s="222"/>
      <c r="CF136" s="222"/>
      <c r="CG136" s="222"/>
      <c r="CH136" s="222"/>
      <c r="CI136" s="222"/>
      <c r="CJ136" s="222"/>
      <c r="CK136" s="222"/>
      <c r="CL136" s="222"/>
      <c r="CM136" s="222"/>
      <c r="CN136" s="222"/>
      <c r="CO136" s="222"/>
      <c r="CP136" s="222"/>
      <c r="CQ136" s="222"/>
      <c r="CR136" s="222"/>
      <c r="CS136" s="222"/>
      <c r="CT136" s="222"/>
      <c r="CU136" s="222"/>
      <c r="CV136" s="222"/>
      <c r="CW136" s="222"/>
      <c r="CX136" s="222"/>
      <c r="CY136" s="222"/>
      <c r="CZ136" s="222"/>
      <c r="DA136" s="222"/>
      <c r="DB136" s="222"/>
      <c r="DC136" s="222"/>
      <c r="DD136" s="222"/>
      <c r="DE136" s="222"/>
      <c r="DF136" s="222"/>
      <c r="DG136" s="222"/>
      <c r="DH136" s="222"/>
      <c r="DI136" s="222"/>
      <c r="DJ136" s="222"/>
      <c r="DK136" s="222"/>
      <c r="DL136" s="222"/>
      <c r="DM136" s="222"/>
      <c r="DN136" s="222"/>
      <c r="DO136" s="222"/>
      <c r="DP136" s="222"/>
      <c r="DQ136" s="222"/>
      <c r="DR136" s="222"/>
      <c r="DS136" s="222"/>
      <c r="DT136" s="222"/>
      <c r="DU136" s="222"/>
      <c r="DV136" s="222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</row>
    <row r="137" spans="1:138" hidden="1">
      <c r="A137" s="222"/>
      <c r="B137" s="318"/>
      <c r="C137" s="313" t="s">
        <v>292</v>
      </c>
      <c r="D137" s="322">
        <f>IRR(E135:BX135)*12</f>
        <v>-0.10840906633282854</v>
      </c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2"/>
      <c r="BN137" s="222"/>
      <c r="BO137" s="222"/>
      <c r="BP137" s="222"/>
      <c r="BQ137" s="222"/>
      <c r="BR137" s="222"/>
      <c r="BS137" s="222"/>
      <c r="BT137" s="222"/>
      <c r="BU137" s="222"/>
      <c r="BV137" s="222"/>
      <c r="BW137" s="222"/>
      <c r="BX137" s="222"/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2"/>
      <c r="CV137" s="222"/>
      <c r="CW137" s="222"/>
      <c r="CX137" s="222"/>
      <c r="CY137" s="222"/>
      <c r="CZ137" s="222"/>
      <c r="DA137" s="222"/>
      <c r="DB137" s="222"/>
      <c r="DC137" s="222"/>
      <c r="DD137" s="222"/>
      <c r="DE137" s="222"/>
      <c r="DF137" s="222"/>
      <c r="DG137" s="222"/>
      <c r="DH137" s="222"/>
      <c r="DI137" s="222"/>
      <c r="DJ137" s="222"/>
      <c r="DK137" s="222"/>
      <c r="DL137" s="222"/>
      <c r="DM137" s="222"/>
      <c r="DN137" s="222"/>
      <c r="DO137" s="222"/>
      <c r="DP137" s="222"/>
      <c r="DQ137" s="222"/>
      <c r="DR137" s="222"/>
      <c r="DS137" s="222"/>
      <c r="DT137" s="222"/>
      <c r="DU137" s="222"/>
      <c r="DV137" s="222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</row>
    <row r="138" spans="1:138" hidden="1">
      <c r="A138" s="222"/>
      <c r="B138" s="318"/>
      <c r="C138" s="323" t="s">
        <v>300</v>
      </c>
      <c r="D138" s="324">
        <f>-MIN(E130:BL130)</f>
        <v>8333333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  <c r="BQ138" s="22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22"/>
      <c r="CO138" s="222"/>
      <c r="CP138" s="222"/>
      <c r="CQ138" s="222"/>
      <c r="CR138" s="222"/>
      <c r="CS138" s="222"/>
      <c r="CT138" s="222"/>
      <c r="CU138" s="222"/>
      <c r="CV138" s="222"/>
      <c r="CW138" s="222"/>
      <c r="CX138" s="222"/>
      <c r="CY138" s="222"/>
      <c r="CZ138" s="222"/>
      <c r="DA138" s="222"/>
      <c r="DB138" s="222"/>
      <c r="DC138" s="222"/>
      <c r="DD138" s="222"/>
      <c r="DE138" s="222"/>
      <c r="DF138" s="222"/>
      <c r="DG138" s="222"/>
      <c r="DH138" s="222"/>
      <c r="DI138" s="222"/>
      <c r="DJ138" s="222"/>
      <c r="DK138" s="222"/>
      <c r="DL138" s="222"/>
      <c r="DM138" s="222"/>
      <c r="DN138" s="222"/>
      <c r="DO138" s="222"/>
      <c r="DP138" s="222"/>
      <c r="DQ138" s="222"/>
      <c r="DR138" s="222"/>
      <c r="DS138" s="222"/>
      <c r="DT138" s="222"/>
      <c r="DU138" s="222"/>
      <c r="DV138" s="222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</row>
    <row r="139" spans="1:138" hidden="1">
      <c r="A139" s="222"/>
      <c r="B139" s="318"/>
      <c r="C139" s="323" t="s">
        <v>301</v>
      </c>
      <c r="D139" s="324">
        <f>-SUM(M134:BB134)</f>
        <v>0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  <c r="BQ139" s="22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22"/>
      <c r="CO139" s="222"/>
      <c r="CP139" s="222"/>
      <c r="CQ139" s="222"/>
      <c r="CR139" s="222"/>
      <c r="CS139" s="222"/>
      <c r="CT139" s="222"/>
      <c r="CU139" s="222"/>
      <c r="CV139" s="222"/>
      <c r="CW139" s="222"/>
      <c r="CX139" s="222"/>
      <c r="CY139" s="222"/>
      <c r="CZ139" s="222"/>
      <c r="DA139" s="222"/>
      <c r="DB139" s="222"/>
      <c r="DC139" s="222"/>
      <c r="DD139" s="222"/>
      <c r="DE139" s="222"/>
      <c r="DF139" s="222"/>
      <c r="DG139" s="222"/>
      <c r="DH139" s="222"/>
      <c r="DI139" s="222"/>
      <c r="DJ139" s="222"/>
      <c r="DK139" s="222"/>
      <c r="DL139" s="222"/>
      <c r="DM139" s="222"/>
      <c r="DN139" s="222"/>
      <c r="DO139" s="222"/>
      <c r="DP139" s="222"/>
      <c r="DQ139" s="222"/>
      <c r="DR139" s="222"/>
      <c r="DS139" s="222"/>
      <c r="DT139" s="222"/>
      <c r="DU139" s="222"/>
      <c r="DV139" s="222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</row>
    <row r="140" spans="1:138" hidden="1">
      <c r="A140" s="222"/>
      <c r="B140" s="318"/>
      <c r="C140" s="313" t="s">
        <v>302</v>
      </c>
      <c r="D140" s="326">
        <f>D139+D138</f>
        <v>8333333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  <c r="BQ140" s="22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22"/>
      <c r="CO140" s="222"/>
      <c r="CP140" s="222"/>
      <c r="CQ140" s="222"/>
      <c r="CR140" s="222"/>
      <c r="CS140" s="222"/>
      <c r="CT140" s="222"/>
      <c r="CU140" s="222"/>
      <c r="CV140" s="222"/>
      <c r="CW140" s="222"/>
      <c r="CX140" s="222"/>
      <c r="CY140" s="222"/>
      <c r="CZ140" s="222"/>
      <c r="DA140" s="222"/>
      <c r="DB140" s="222"/>
      <c r="DC140" s="222"/>
      <c r="DD140" s="222"/>
      <c r="DE140" s="222"/>
      <c r="DF140" s="222"/>
      <c r="DG140" s="222"/>
      <c r="DH140" s="222"/>
      <c r="DI140" s="222"/>
      <c r="DJ140" s="222"/>
      <c r="DK140" s="222"/>
      <c r="DL140" s="222"/>
      <c r="DM140" s="222"/>
      <c r="DN140" s="222"/>
      <c r="DO140" s="222"/>
      <c r="DP140" s="222"/>
      <c r="DQ140" s="222"/>
      <c r="DR140" s="222"/>
      <c r="DS140" s="222"/>
      <c r="DT140" s="222"/>
      <c r="DU140" s="222"/>
      <c r="DV140" s="222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</row>
    <row r="141" spans="1:138" hidden="1">
      <c r="A141" s="222"/>
      <c r="B141" s="318"/>
      <c r="C141" s="313" t="s">
        <v>303</v>
      </c>
      <c r="D141" s="326">
        <f>BX132+BX133</f>
        <v>0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  <c r="BQ141" s="22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22"/>
      <c r="CO141" s="222"/>
      <c r="CP141" s="222"/>
      <c r="CQ141" s="222"/>
      <c r="CR141" s="222"/>
      <c r="CS141" s="222"/>
      <c r="CT141" s="222"/>
      <c r="CU141" s="222"/>
      <c r="CV141" s="222"/>
      <c r="CW141" s="222"/>
      <c r="CX141" s="222"/>
      <c r="CY141" s="222"/>
      <c r="CZ141" s="222"/>
      <c r="DA141" s="222"/>
      <c r="DB141" s="222"/>
      <c r="DC141" s="222"/>
      <c r="DD141" s="222"/>
      <c r="DE141" s="222"/>
      <c r="DF141" s="222"/>
      <c r="DG141" s="222"/>
      <c r="DH141" s="222"/>
      <c r="DI141" s="222"/>
      <c r="DJ141" s="222"/>
      <c r="DK141" s="222"/>
      <c r="DL141" s="222"/>
      <c r="DM141" s="222"/>
      <c r="DN141" s="222"/>
      <c r="DO141" s="222"/>
      <c r="DP141" s="222"/>
      <c r="DQ141" s="222"/>
      <c r="DR141" s="222"/>
      <c r="DS141" s="222"/>
      <c r="DT141" s="222"/>
      <c r="DU141" s="222"/>
      <c r="DV141" s="222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</row>
    <row r="142" spans="1:138" hidden="1">
      <c r="A142" s="222"/>
      <c r="B142" s="318"/>
      <c r="C142" s="313" t="s">
        <v>147</v>
      </c>
      <c r="D142" s="322">
        <f>(D141-D139)/D140</f>
        <v>0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222"/>
      <c r="AF142" s="222"/>
      <c r="AG142" s="222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222"/>
      <c r="BN142" s="222"/>
      <c r="BO142" s="222"/>
      <c r="BP142" s="222"/>
      <c r="BQ142" s="22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2"/>
      <c r="CV142" s="222"/>
      <c r="CW142" s="222"/>
      <c r="CX142" s="222"/>
      <c r="CY142" s="222"/>
      <c r="CZ142" s="222"/>
      <c r="DA142" s="222"/>
      <c r="DB142" s="222"/>
      <c r="DC142" s="222"/>
      <c r="DD142" s="222"/>
      <c r="DE142" s="222"/>
      <c r="DF142" s="222"/>
      <c r="DG142" s="222"/>
      <c r="DH142" s="222"/>
      <c r="DI142" s="222"/>
      <c r="DJ142" s="222"/>
      <c r="DK142" s="222"/>
      <c r="DL142" s="222"/>
      <c r="DM142" s="222"/>
      <c r="DN142" s="222"/>
      <c r="DO142" s="222"/>
      <c r="DP142" s="222"/>
      <c r="DQ142" s="222"/>
      <c r="DR142" s="222"/>
      <c r="DS142" s="222"/>
      <c r="DT142" s="222"/>
      <c r="DU142" s="222"/>
      <c r="DV142" s="222"/>
      <c r="DW142" s="325"/>
      <c r="DX142" s="325"/>
      <c r="DY142" s="325"/>
      <c r="DZ142" s="325"/>
      <c r="EA142" s="325"/>
      <c r="EB142" s="325"/>
      <c r="EC142" s="325"/>
      <c r="ED142" s="325"/>
      <c r="EE142" s="325"/>
      <c r="EF142" s="325"/>
      <c r="EG142" s="325"/>
      <c r="EH142" s="325"/>
    </row>
    <row r="143" spans="1:138" hidden="1">
      <c r="A143" s="222"/>
      <c r="B143" s="318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  <c r="BL143" s="222"/>
      <c r="BM143" s="222"/>
      <c r="BN143" s="222"/>
      <c r="BO143" s="222"/>
      <c r="BP143" s="222"/>
      <c r="BQ143" s="22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22"/>
      <c r="CL143" s="222"/>
      <c r="CM143" s="222"/>
      <c r="CN143" s="222"/>
      <c r="CO143" s="222"/>
      <c r="CP143" s="222"/>
      <c r="CQ143" s="222"/>
      <c r="CR143" s="222"/>
      <c r="CS143" s="222"/>
      <c r="CT143" s="222"/>
      <c r="CU143" s="222"/>
      <c r="CV143" s="222"/>
      <c r="CW143" s="222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2"/>
      <c r="DI143" s="222"/>
      <c r="DJ143" s="222"/>
      <c r="DK143" s="222"/>
      <c r="DL143" s="222"/>
      <c r="DM143" s="222"/>
      <c r="DN143" s="222"/>
      <c r="DO143" s="222"/>
      <c r="DP143" s="222"/>
      <c r="DQ143" s="222"/>
      <c r="DR143" s="222"/>
      <c r="DS143" s="222"/>
      <c r="DT143" s="222"/>
      <c r="DU143" s="222"/>
      <c r="DV143" s="222"/>
      <c r="DW143" s="325"/>
      <c r="DX143" s="325"/>
      <c r="DY143" s="325"/>
      <c r="DZ143" s="325"/>
      <c r="EA143" s="325"/>
      <c r="EB143" s="325"/>
      <c r="EC143" s="325"/>
      <c r="ED143" s="325"/>
      <c r="EE143" s="325"/>
      <c r="EF143" s="325"/>
      <c r="EG143" s="325"/>
      <c r="EH143" s="325"/>
    </row>
    <row r="144" spans="1:138">
      <c r="A144" s="222"/>
      <c r="B144" s="318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AT144" s="222"/>
      <c r="AU144" s="222"/>
      <c r="AV144" s="222"/>
      <c r="AW144" s="222"/>
      <c r="AX144" s="222"/>
      <c r="AY144" s="222"/>
      <c r="AZ144" s="222"/>
      <c r="BA144" s="222"/>
      <c r="BB144" s="222"/>
      <c r="BC144" s="222"/>
      <c r="BD144" s="222"/>
      <c r="BE144" s="222"/>
      <c r="BF144" s="222"/>
      <c r="BG144" s="222"/>
      <c r="BH144" s="222"/>
      <c r="BI144" s="222"/>
      <c r="BJ144" s="222"/>
      <c r="BK144" s="222"/>
      <c r="BL144" s="222"/>
      <c r="BM144" s="222"/>
      <c r="BN144" s="222"/>
      <c r="BO144" s="222"/>
      <c r="BP144" s="222"/>
      <c r="BQ144" s="22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22"/>
      <c r="CL144" s="222"/>
      <c r="CM144" s="222"/>
      <c r="CN144" s="222"/>
      <c r="CO144" s="222"/>
      <c r="CP144" s="222"/>
      <c r="CQ144" s="222"/>
      <c r="CR144" s="222"/>
      <c r="CS144" s="222"/>
      <c r="CT144" s="222"/>
      <c r="CU144" s="222"/>
      <c r="CV144" s="222"/>
      <c r="CW144" s="222"/>
      <c r="CX144" s="222"/>
      <c r="CY144" s="222"/>
      <c r="CZ144" s="222"/>
      <c r="DA144" s="222"/>
      <c r="DB144" s="222"/>
      <c r="DC144" s="222"/>
      <c r="DD144" s="222"/>
      <c r="DE144" s="222"/>
      <c r="DF144" s="222"/>
      <c r="DG144" s="222"/>
      <c r="DH144" s="222"/>
      <c r="DI144" s="222"/>
      <c r="DJ144" s="222"/>
      <c r="DK144" s="222"/>
      <c r="DL144" s="222"/>
      <c r="DM144" s="222"/>
      <c r="DN144" s="222"/>
      <c r="DO144" s="222"/>
      <c r="DP144" s="222"/>
      <c r="DQ144" s="222"/>
      <c r="DR144" s="222"/>
      <c r="DS144" s="222"/>
      <c r="DT144" s="222"/>
      <c r="DU144" s="222"/>
      <c r="DV144" s="222"/>
      <c r="DW144" s="325"/>
      <c r="DX144" s="325"/>
      <c r="DY144" s="325"/>
      <c r="DZ144" s="325"/>
      <c r="EA144" s="325"/>
      <c r="EB144" s="325"/>
      <c r="EC144" s="325"/>
      <c r="ED144" s="325"/>
      <c r="EE144" s="325"/>
      <c r="EF144" s="325"/>
      <c r="EG144" s="325"/>
      <c r="EH144" s="325"/>
    </row>
    <row r="145" spans="1:138">
      <c r="A145" s="222"/>
      <c r="B145" s="318"/>
      <c r="C145" s="310" t="s">
        <v>335</v>
      </c>
      <c r="D145" s="311"/>
      <c r="E145" s="311">
        <f t="shared" ref="E145:AC145" si="48">-(E7+E93)</f>
        <v>0</v>
      </c>
      <c r="F145" s="311">
        <f t="shared" si="48"/>
        <v>0</v>
      </c>
      <c r="G145" s="311">
        <f t="shared" si="48"/>
        <v>0</v>
      </c>
      <c r="H145" s="311">
        <f t="shared" si="48"/>
        <v>0</v>
      </c>
      <c r="I145" s="311">
        <f t="shared" si="48"/>
        <v>0</v>
      </c>
      <c r="J145" s="311">
        <f t="shared" si="48"/>
        <v>0</v>
      </c>
      <c r="K145" s="311">
        <f t="shared" si="48"/>
        <v>0</v>
      </c>
      <c r="L145" s="311">
        <f t="shared" si="48"/>
        <v>-9000000</v>
      </c>
      <c r="M145" s="311">
        <f t="shared" si="48"/>
        <v>0</v>
      </c>
      <c r="N145" s="311">
        <f t="shared" si="48"/>
        <v>0</v>
      </c>
      <c r="O145" s="311">
        <f t="shared" si="48"/>
        <v>0</v>
      </c>
      <c r="P145" s="311">
        <f t="shared" si="48"/>
        <v>0</v>
      </c>
      <c r="Q145" s="311">
        <f t="shared" si="48"/>
        <v>0</v>
      </c>
      <c r="R145" s="311">
        <f t="shared" si="48"/>
        <v>0</v>
      </c>
      <c r="S145" s="311">
        <f t="shared" si="48"/>
        <v>0</v>
      </c>
      <c r="T145" s="311">
        <f t="shared" si="48"/>
        <v>0</v>
      </c>
      <c r="U145" s="311">
        <f t="shared" si="48"/>
        <v>0</v>
      </c>
      <c r="V145" s="311">
        <f t="shared" si="48"/>
        <v>0</v>
      </c>
      <c r="W145" s="311">
        <f t="shared" si="48"/>
        <v>0</v>
      </c>
      <c r="X145" s="311">
        <f t="shared" si="48"/>
        <v>0</v>
      </c>
      <c r="Y145" s="311">
        <f t="shared" si="48"/>
        <v>0</v>
      </c>
      <c r="Z145" s="311">
        <f t="shared" si="48"/>
        <v>0</v>
      </c>
      <c r="AA145" s="311">
        <f t="shared" si="48"/>
        <v>0</v>
      </c>
      <c r="AB145" s="311">
        <f t="shared" si="48"/>
        <v>0</v>
      </c>
      <c r="AC145" s="311">
        <f t="shared" si="48"/>
        <v>9000000</v>
      </c>
      <c r="AD145" s="311">
        <f t="shared" ref="AD145:BX145" si="49">-(AD21+AD107)</f>
        <v>0</v>
      </c>
      <c r="AE145" s="311">
        <f t="shared" si="49"/>
        <v>0</v>
      </c>
      <c r="AF145" s="311">
        <f t="shared" si="49"/>
        <v>0</v>
      </c>
      <c r="AG145" s="311">
        <f t="shared" si="49"/>
        <v>0</v>
      </c>
      <c r="AH145" s="311">
        <f t="shared" si="49"/>
        <v>0</v>
      </c>
      <c r="AI145" s="311">
        <f t="shared" si="49"/>
        <v>0</v>
      </c>
      <c r="AJ145" s="311">
        <f t="shared" si="49"/>
        <v>0</v>
      </c>
      <c r="AK145" s="311">
        <f t="shared" si="49"/>
        <v>0</v>
      </c>
      <c r="AL145" s="311">
        <f t="shared" si="49"/>
        <v>0</v>
      </c>
      <c r="AM145" s="311">
        <f t="shared" si="49"/>
        <v>0</v>
      </c>
      <c r="AN145" s="311">
        <f t="shared" si="49"/>
        <v>0</v>
      </c>
      <c r="AO145" s="311">
        <f t="shared" si="49"/>
        <v>0</v>
      </c>
      <c r="AP145" s="311">
        <f t="shared" si="49"/>
        <v>0</v>
      </c>
      <c r="AQ145" s="311">
        <f t="shared" si="49"/>
        <v>0</v>
      </c>
      <c r="AR145" s="311">
        <f t="shared" si="49"/>
        <v>0</v>
      </c>
      <c r="AS145" s="311">
        <f t="shared" si="49"/>
        <v>0</v>
      </c>
      <c r="AT145" s="311">
        <f t="shared" si="49"/>
        <v>0</v>
      </c>
      <c r="AU145" s="311">
        <f t="shared" si="49"/>
        <v>0</v>
      </c>
      <c r="AV145" s="311">
        <f t="shared" si="49"/>
        <v>0</v>
      </c>
      <c r="AW145" s="311">
        <f t="shared" si="49"/>
        <v>0</v>
      </c>
      <c r="AX145" s="311">
        <f t="shared" si="49"/>
        <v>0</v>
      </c>
      <c r="AY145" s="311">
        <f t="shared" si="49"/>
        <v>0</v>
      </c>
      <c r="AZ145" s="311">
        <f t="shared" si="49"/>
        <v>0</v>
      </c>
      <c r="BA145" s="311">
        <f t="shared" si="49"/>
        <v>0</v>
      </c>
      <c r="BB145" s="311">
        <f t="shared" si="49"/>
        <v>0</v>
      </c>
      <c r="BC145" s="311">
        <f t="shared" si="49"/>
        <v>0</v>
      </c>
      <c r="BD145" s="311">
        <f t="shared" si="49"/>
        <v>0</v>
      </c>
      <c r="BE145" s="311">
        <f t="shared" si="49"/>
        <v>0</v>
      </c>
      <c r="BF145" s="311">
        <f t="shared" si="49"/>
        <v>0</v>
      </c>
      <c r="BG145" s="311">
        <f t="shared" si="49"/>
        <v>0</v>
      </c>
      <c r="BH145" s="311">
        <f t="shared" si="49"/>
        <v>0</v>
      </c>
      <c r="BI145" s="311">
        <f t="shared" si="49"/>
        <v>0</v>
      </c>
      <c r="BJ145" s="311">
        <f t="shared" si="49"/>
        <v>0</v>
      </c>
      <c r="BK145" s="311">
        <f t="shared" si="49"/>
        <v>0</v>
      </c>
      <c r="BL145" s="311">
        <f t="shared" si="49"/>
        <v>0</v>
      </c>
      <c r="BM145" s="311">
        <f t="shared" si="49"/>
        <v>0</v>
      </c>
      <c r="BN145" s="311">
        <f t="shared" si="49"/>
        <v>0</v>
      </c>
      <c r="BO145" s="311">
        <f t="shared" si="49"/>
        <v>0</v>
      </c>
      <c r="BP145" s="311">
        <f t="shared" si="49"/>
        <v>0</v>
      </c>
      <c r="BQ145" s="311">
        <f t="shared" si="49"/>
        <v>0</v>
      </c>
      <c r="BR145" s="311">
        <f t="shared" si="49"/>
        <v>0</v>
      </c>
      <c r="BS145" s="311">
        <f t="shared" si="49"/>
        <v>0</v>
      </c>
      <c r="BT145" s="311">
        <f t="shared" si="49"/>
        <v>0</v>
      </c>
      <c r="BU145" s="311">
        <f t="shared" si="49"/>
        <v>0</v>
      </c>
      <c r="BV145" s="311">
        <f t="shared" si="49"/>
        <v>0</v>
      </c>
      <c r="BW145" s="311">
        <f t="shared" si="49"/>
        <v>0</v>
      </c>
      <c r="BX145" s="311">
        <f t="shared" si="49"/>
        <v>0</v>
      </c>
      <c r="BY145" s="222"/>
      <c r="BZ145" s="222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22"/>
      <c r="CL145" s="222"/>
      <c r="CM145" s="222"/>
      <c r="CN145" s="222"/>
      <c r="CO145" s="222"/>
      <c r="CP145" s="222"/>
      <c r="CQ145" s="222"/>
      <c r="CR145" s="222"/>
      <c r="CS145" s="222"/>
      <c r="CT145" s="222"/>
      <c r="CU145" s="222"/>
      <c r="CV145" s="222"/>
      <c r="CW145" s="222"/>
      <c r="CX145" s="222"/>
      <c r="CY145" s="222"/>
      <c r="CZ145" s="222"/>
      <c r="DA145" s="222"/>
      <c r="DB145" s="222"/>
      <c r="DC145" s="222"/>
      <c r="DD145" s="222"/>
      <c r="DE145" s="222"/>
      <c r="DF145" s="222"/>
      <c r="DG145" s="222"/>
      <c r="DH145" s="222"/>
      <c r="DI145" s="222"/>
      <c r="DJ145" s="222"/>
      <c r="DK145" s="222"/>
      <c r="DL145" s="222"/>
      <c r="DM145" s="222"/>
      <c r="DN145" s="222"/>
      <c r="DO145" s="222"/>
      <c r="DP145" s="222"/>
      <c r="DQ145" s="222"/>
      <c r="DR145" s="222"/>
      <c r="DS145" s="222"/>
      <c r="DT145" s="222"/>
      <c r="DU145" s="222"/>
      <c r="DV145" s="222"/>
      <c r="DW145" s="325"/>
      <c r="DX145" s="325"/>
      <c r="DY145" s="325"/>
      <c r="DZ145" s="325"/>
      <c r="EA145" s="325"/>
      <c r="EB145" s="325"/>
      <c r="EC145" s="325"/>
      <c r="ED145" s="325"/>
      <c r="EE145" s="325"/>
      <c r="EF145" s="325"/>
      <c r="EG145" s="325"/>
      <c r="EH145" s="325"/>
    </row>
    <row r="146" spans="1:138">
      <c r="A146" s="222"/>
      <c r="B146" s="318"/>
      <c r="C146" s="310" t="s">
        <v>305</v>
      </c>
      <c r="D146" s="319"/>
      <c r="E146" s="311"/>
      <c r="F146" s="311"/>
      <c r="G146" s="311"/>
      <c r="H146" s="311"/>
      <c r="I146" s="311"/>
      <c r="J146" s="311"/>
      <c r="K146" s="311"/>
      <c r="L146" s="311"/>
      <c r="M146" s="311"/>
      <c r="N146" s="311"/>
      <c r="O146" s="311"/>
      <c r="P146" s="311"/>
      <c r="Q146" s="311"/>
      <c r="R146" s="311"/>
      <c r="S146" s="311"/>
      <c r="T146" s="311"/>
      <c r="U146" s="311"/>
      <c r="V146" s="311"/>
      <c r="W146" s="311"/>
      <c r="X146" s="311"/>
      <c r="Y146" s="311"/>
      <c r="Z146" s="311"/>
      <c r="AA146" s="311"/>
      <c r="AB146" s="311"/>
      <c r="AC146" s="311"/>
      <c r="AD146" s="311"/>
      <c r="AE146" s="311"/>
      <c r="AF146" s="311"/>
      <c r="AG146" s="311"/>
      <c r="AH146" s="311"/>
      <c r="AI146" s="311"/>
      <c r="AJ146" s="311"/>
      <c r="AK146" s="311"/>
      <c r="AL146" s="311"/>
      <c r="AM146" s="311"/>
      <c r="AN146" s="311"/>
      <c r="AO146" s="311"/>
      <c r="AP146" s="311"/>
      <c r="AQ146" s="311"/>
      <c r="AR146" s="311"/>
      <c r="AS146" s="311"/>
      <c r="AT146" s="311"/>
      <c r="AU146" s="311"/>
      <c r="AV146" s="311"/>
      <c r="AW146" s="311"/>
      <c r="AX146" s="311"/>
      <c r="AY146" s="311"/>
      <c r="AZ146" s="311"/>
      <c r="BA146" s="311"/>
      <c r="BB146" s="311"/>
      <c r="BC146" s="311"/>
      <c r="BD146" s="311"/>
      <c r="BE146" s="311"/>
      <c r="BF146" s="311"/>
      <c r="BG146" s="311"/>
      <c r="BH146" s="311"/>
      <c r="BI146" s="311"/>
      <c r="BJ146" s="311"/>
      <c r="BK146" s="311"/>
      <c r="BL146" s="311"/>
      <c r="BM146" s="311"/>
      <c r="BN146" s="311"/>
      <c r="BO146" s="311"/>
      <c r="BP146" s="311"/>
      <c r="BQ146" s="311"/>
      <c r="BR146" s="311"/>
      <c r="BS146" s="311"/>
      <c r="BT146" s="311"/>
      <c r="BU146" s="311"/>
      <c r="BV146" s="311"/>
      <c r="BW146" s="311"/>
      <c r="BX146" s="311"/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22"/>
      <c r="CO146" s="222"/>
      <c r="CP146" s="222"/>
      <c r="CQ146" s="222"/>
      <c r="CR146" s="222"/>
      <c r="CS146" s="222"/>
      <c r="CT146" s="222"/>
      <c r="CU146" s="222"/>
      <c r="CV146" s="222"/>
      <c r="CW146" s="222"/>
      <c r="CX146" s="222"/>
      <c r="CY146" s="222"/>
      <c r="CZ146" s="222"/>
      <c r="DA146" s="222"/>
      <c r="DB146" s="222"/>
      <c r="DC146" s="222"/>
      <c r="DD146" s="222"/>
      <c r="DE146" s="222"/>
      <c r="DF146" s="222"/>
      <c r="DG146" s="222"/>
      <c r="DH146" s="222"/>
      <c r="DI146" s="222"/>
      <c r="DJ146" s="222"/>
      <c r="DK146" s="222"/>
      <c r="DL146" s="222"/>
      <c r="DM146" s="222"/>
      <c r="DN146" s="222"/>
      <c r="DO146" s="222"/>
      <c r="DP146" s="222"/>
      <c r="DQ146" s="222"/>
      <c r="DR146" s="222"/>
      <c r="DS146" s="222"/>
      <c r="DT146" s="222"/>
      <c r="DU146" s="222"/>
      <c r="DV146" s="222"/>
      <c r="DW146" s="325"/>
      <c r="DX146" s="325"/>
      <c r="DY146" s="325"/>
      <c r="DZ146" s="325"/>
      <c r="EA146" s="325"/>
      <c r="EB146" s="325"/>
      <c r="EC146" s="325"/>
      <c r="ED146" s="325"/>
      <c r="EE146" s="325"/>
      <c r="EF146" s="325"/>
      <c r="EG146" s="325"/>
      <c r="EH146" s="325"/>
    </row>
    <row r="147" spans="1:138">
      <c r="A147" s="222"/>
      <c r="B147" s="318"/>
      <c r="C147" s="310" t="s">
        <v>296</v>
      </c>
      <c r="D147" s="319"/>
      <c r="E147" s="311">
        <f t="shared" ref="E147:AC147" si="50">-E58</f>
        <v>0</v>
      </c>
      <c r="F147" s="311">
        <f t="shared" si="50"/>
        <v>0</v>
      </c>
      <c r="G147" s="311">
        <f t="shared" si="50"/>
        <v>0</v>
      </c>
      <c r="H147" s="311">
        <f t="shared" si="50"/>
        <v>0</v>
      </c>
      <c r="I147" s="311">
        <f t="shared" si="50"/>
        <v>0</v>
      </c>
      <c r="J147" s="311">
        <f t="shared" si="50"/>
        <v>0</v>
      </c>
      <c r="K147" s="311">
        <f t="shared" si="50"/>
        <v>0</v>
      </c>
      <c r="L147" s="311">
        <f t="shared" si="50"/>
        <v>0</v>
      </c>
      <c r="M147" s="311">
        <f t="shared" si="50"/>
        <v>0</v>
      </c>
      <c r="N147" s="311">
        <f t="shared" si="50"/>
        <v>0</v>
      </c>
      <c r="O147" s="311">
        <f t="shared" si="50"/>
        <v>0</v>
      </c>
      <c r="P147" s="311">
        <f t="shared" si="50"/>
        <v>0</v>
      </c>
      <c r="Q147" s="311">
        <f t="shared" si="50"/>
        <v>0</v>
      </c>
      <c r="R147" s="311">
        <f t="shared" si="50"/>
        <v>0</v>
      </c>
      <c r="S147" s="311">
        <f t="shared" si="50"/>
        <v>0</v>
      </c>
      <c r="T147" s="311">
        <f t="shared" si="50"/>
        <v>0</v>
      </c>
      <c r="U147" s="311">
        <f t="shared" si="50"/>
        <v>0</v>
      </c>
      <c r="V147" s="311">
        <f t="shared" si="50"/>
        <v>0</v>
      </c>
      <c r="W147" s="311">
        <f t="shared" si="50"/>
        <v>0</v>
      </c>
      <c r="X147" s="311">
        <f t="shared" si="50"/>
        <v>0</v>
      </c>
      <c r="Y147" s="311">
        <f t="shared" si="50"/>
        <v>0</v>
      </c>
      <c r="Z147" s="311">
        <f t="shared" si="50"/>
        <v>0</v>
      </c>
      <c r="AA147" s="311">
        <f t="shared" si="50"/>
        <v>0</v>
      </c>
      <c r="AB147" s="311">
        <f t="shared" si="50"/>
        <v>0</v>
      </c>
      <c r="AC147" s="311">
        <f t="shared" si="50"/>
        <v>1485000</v>
      </c>
      <c r="AD147" s="311">
        <f t="shared" ref="AD147:BX147" si="51">-AD72</f>
        <v>0</v>
      </c>
      <c r="AE147" s="311">
        <f t="shared" si="51"/>
        <v>0</v>
      </c>
      <c r="AF147" s="311">
        <f t="shared" si="51"/>
        <v>0</v>
      </c>
      <c r="AG147" s="311">
        <f t="shared" si="51"/>
        <v>0</v>
      </c>
      <c r="AH147" s="311">
        <f t="shared" si="51"/>
        <v>0</v>
      </c>
      <c r="AI147" s="311">
        <f t="shared" si="51"/>
        <v>0</v>
      </c>
      <c r="AJ147" s="311">
        <f t="shared" si="51"/>
        <v>0</v>
      </c>
      <c r="AK147" s="311">
        <f t="shared" si="51"/>
        <v>0</v>
      </c>
      <c r="AL147" s="311">
        <f t="shared" si="51"/>
        <v>0</v>
      </c>
      <c r="AM147" s="311">
        <f t="shared" si="51"/>
        <v>0</v>
      </c>
      <c r="AN147" s="311">
        <f t="shared" si="51"/>
        <v>0</v>
      </c>
      <c r="AO147" s="311">
        <f t="shared" si="51"/>
        <v>0</v>
      </c>
      <c r="AP147" s="311">
        <f t="shared" si="51"/>
        <v>0</v>
      </c>
      <c r="AQ147" s="311">
        <f t="shared" si="51"/>
        <v>0</v>
      </c>
      <c r="AR147" s="311">
        <f t="shared" si="51"/>
        <v>0</v>
      </c>
      <c r="AS147" s="311">
        <f t="shared" si="51"/>
        <v>0</v>
      </c>
      <c r="AT147" s="311">
        <f t="shared" si="51"/>
        <v>0</v>
      </c>
      <c r="AU147" s="311">
        <f t="shared" si="51"/>
        <v>0</v>
      </c>
      <c r="AV147" s="311">
        <f t="shared" si="51"/>
        <v>0</v>
      </c>
      <c r="AW147" s="311">
        <f t="shared" si="51"/>
        <v>0</v>
      </c>
      <c r="AX147" s="311">
        <f t="shared" si="51"/>
        <v>0</v>
      </c>
      <c r="AY147" s="311">
        <f t="shared" si="51"/>
        <v>0</v>
      </c>
      <c r="AZ147" s="311">
        <f t="shared" si="51"/>
        <v>0</v>
      </c>
      <c r="BA147" s="311">
        <f t="shared" si="51"/>
        <v>0</v>
      </c>
      <c r="BB147" s="311">
        <f t="shared" si="51"/>
        <v>0</v>
      </c>
      <c r="BC147" s="311">
        <f t="shared" si="51"/>
        <v>0</v>
      </c>
      <c r="BD147" s="311">
        <f t="shared" si="51"/>
        <v>0</v>
      </c>
      <c r="BE147" s="311">
        <f t="shared" si="51"/>
        <v>0</v>
      </c>
      <c r="BF147" s="311">
        <f t="shared" si="51"/>
        <v>0</v>
      </c>
      <c r="BG147" s="311">
        <f t="shared" si="51"/>
        <v>0</v>
      </c>
      <c r="BH147" s="311">
        <f t="shared" si="51"/>
        <v>0</v>
      </c>
      <c r="BI147" s="311">
        <f t="shared" si="51"/>
        <v>0</v>
      </c>
      <c r="BJ147" s="311">
        <f t="shared" si="51"/>
        <v>0</v>
      </c>
      <c r="BK147" s="311">
        <f t="shared" si="51"/>
        <v>0</v>
      </c>
      <c r="BL147" s="311">
        <f t="shared" si="51"/>
        <v>0</v>
      </c>
      <c r="BM147" s="311">
        <f t="shared" si="51"/>
        <v>0</v>
      </c>
      <c r="BN147" s="311">
        <f t="shared" si="51"/>
        <v>0</v>
      </c>
      <c r="BO147" s="311">
        <f t="shared" si="51"/>
        <v>0</v>
      </c>
      <c r="BP147" s="311">
        <f t="shared" si="51"/>
        <v>0</v>
      </c>
      <c r="BQ147" s="311">
        <f t="shared" si="51"/>
        <v>0</v>
      </c>
      <c r="BR147" s="311">
        <f t="shared" si="51"/>
        <v>0</v>
      </c>
      <c r="BS147" s="311">
        <f t="shared" si="51"/>
        <v>0</v>
      </c>
      <c r="BT147" s="311">
        <f t="shared" si="51"/>
        <v>0</v>
      </c>
      <c r="BU147" s="311">
        <f t="shared" si="51"/>
        <v>0</v>
      </c>
      <c r="BV147" s="311">
        <f t="shared" si="51"/>
        <v>0</v>
      </c>
      <c r="BW147" s="311">
        <f t="shared" si="51"/>
        <v>0</v>
      </c>
      <c r="BX147" s="311">
        <f t="shared" si="51"/>
        <v>0</v>
      </c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22"/>
      <c r="CO147" s="222"/>
      <c r="CP147" s="222"/>
      <c r="CQ147" s="222"/>
      <c r="CR147" s="222"/>
      <c r="CS147" s="222"/>
      <c r="CT147" s="222"/>
      <c r="CU147" s="222"/>
      <c r="CV147" s="222"/>
      <c r="CW147" s="222"/>
      <c r="CX147" s="222"/>
      <c r="CY147" s="222"/>
      <c r="CZ147" s="222"/>
      <c r="DA147" s="222"/>
      <c r="DB147" s="222"/>
      <c r="DC147" s="222"/>
      <c r="DD147" s="222"/>
      <c r="DE147" s="222"/>
      <c r="DF147" s="222"/>
      <c r="DG147" s="222"/>
      <c r="DH147" s="222"/>
      <c r="DI147" s="222"/>
      <c r="DJ147" s="222"/>
      <c r="DK147" s="222"/>
      <c r="DL147" s="222"/>
      <c r="DM147" s="222"/>
      <c r="DN147" s="222"/>
      <c r="DO147" s="222"/>
      <c r="DP147" s="222"/>
      <c r="DQ147" s="222"/>
      <c r="DR147" s="222"/>
      <c r="DS147" s="222"/>
      <c r="DT147" s="222"/>
      <c r="DU147" s="222"/>
      <c r="DV147" s="222"/>
      <c r="DW147" s="325"/>
      <c r="DX147" s="325"/>
      <c r="DY147" s="325"/>
      <c r="DZ147" s="325"/>
      <c r="EA147" s="325"/>
      <c r="EB147" s="325"/>
      <c r="EC147" s="325"/>
      <c r="ED147" s="325"/>
      <c r="EE147" s="325"/>
      <c r="EF147" s="325"/>
      <c r="EG147" s="325"/>
      <c r="EH147" s="325"/>
    </row>
    <row r="148" spans="1:138">
      <c r="A148" s="222"/>
      <c r="B148" s="318"/>
      <c r="C148" s="310" t="s">
        <v>297</v>
      </c>
      <c r="D148" s="319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/>
      <c r="R148" s="311"/>
      <c r="S148" s="311"/>
      <c r="T148" s="311">
        <f>T115-T193-T209-T225</f>
        <v>0</v>
      </c>
      <c r="U148" s="311"/>
      <c r="V148" s="311"/>
      <c r="W148" s="311"/>
      <c r="X148" s="311"/>
      <c r="Y148" s="311"/>
      <c r="Z148" s="311"/>
      <c r="AA148" s="311"/>
      <c r="AB148" s="311"/>
      <c r="AC148" s="311"/>
      <c r="AD148" s="311"/>
      <c r="AE148" s="311"/>
      <c r="AF148" s="311"/>
      <c r="AG148" s="311"/>
      <c r="AH148" s="311"/>
      <c r="AI148" s="311"/>
      <c r="AJ148" s="311"/>
      <c r="AK148" s="311"/>
      <c r="AL148" s="311"/>
      <c r="AM148" s="311"/>
      <c r="AN148" s="311"/>
      <c r="AO148" s="311"/>
      <c r="AP148" s="311"/>
      <c r="AQ148" s="311"/>
      <c r="AR148" s="311"/>
      <c r="AS148" s="311"/>
      <c r="AT148" s="311"/>
      <c r="AU148" s="311"/>
      <c r="AV148" s="311"/>
      <c r="AW148" s="311"/>
      <c r="AX148" s="311"/>
      <c r="AY148" s="311"/>
      <c r="AZ148" s="311"/>
      <c r="BA148" s="311"/>
      <c r="BB148" s="311"/>
      <c r="BC148" s="311"/>
      <c r="BD148" s="311"/>
      <c r="BE148" s="311"/>
      <c r="BF148" s="311"/>
      <c r="BG148" s="311"/>
      <c r="BH148" s="311"/>
      <c r="BI148" s="311"/>
      <c r="BJ148" s="311"/>
      <c r="BK148" s="311"/>
      <c r="BL148" s="311"/>
      <c r="BM148" s="311"/>
      <c r="BN148" s="311"/>
      <c r="BO148" s="311"/>
      <c r="BP148" s="311"/>
      <c r="BQ148" s="311"/>
      <c r="BR148" s="311"/>
      <c r="BS148" s="311"/>
      <c r="BT148" s="311"/>
      <c r="BU148" s="311"/>
      <c r="BV148" s="311"/>
      <c r="BW148" s="311"/>
      <c r="BX148" s="311">
        <f>IF(D120&gt;0.25,(BX115-BX123)*D149,BX115*D149)</f>
        <v>0</v>
      </c>
      <c r="BY148" s="222"/>
      <c r="BZ148" s="222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2"/>
      <c r="CU148" s="222"/>
      <c r="CV148" s="222"/>
      <c r="CW148" s="222"/>
      <c r="CX148" s="222"/>
      <c r="CY148" s="222"/>
      <c r="CZ148" s="222"/>
      <c r="DA148" s="222"/>
      <c r="DB148" s="222"/>
      <c r="DC148" s="222"/>
      <c r="DD148" s="222"/>
      <c r="DE148" s="222"/>
      <c r="DF148" s="222"/>
      <c r="DG148" s="222"/>
      <c r="DH148" s="222"/>
      <c r="DI148" s="222"/>
      <c r="DJ148" s="222"/>
      <c r="DK148" s="222"/>
      <c r="DL148" s="222"/>
      <c r="DM148" s="222"/>
      <c r="DN148" s="222"/>
      <c r="DO148" s="222"/>
      <c r="DP148" s="222"/>
      <c r="DQ148" s="222"/>
      <c r="DR148" s="222"/>
      <c r="DS148" s="222"/>
      <c r="DT148" s="222"/>
      <c r="DU148" s="222"/>
      <c r="DV148" s="222"/>
      <c r="DW148" s="325"/>
      <c r="DX148" s="325"/>
      <c r="DY148" s="325"/>
      <c r="DZ148" s="325"/>
      <c r="EA148" s="325"/>
      <c r="EB148" s="325"/>
      <c r="EC148" s="325"/>
      <c r="ED148" s="325"/>
      <c r="EE148" s="325"/>
      <c r="EF148" s="325"/>
      <c r="EG148" s="325"/>
      <c r="EH148" s="325"/>
    </row>
    <row r="149" spans="1:138">
      <c r="A149" s="222"/>
      <c r="B149" s="318"/>
      <c r="C149" s="313" t="s">
        <v>298</v>
      </c>
      <c r="D149" s="319">
        <v>0</v>
      </c>
      <c r="E149" s="242"/>
      <c r="F149" s="242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2"/>
      <c r="V149" s="242"/>
      <c r="W149" s="242"/>
      <c r="X149" s="242"/>
      <c r="Y149" s="242"/>
      <c r="Z149" s="242"/>
      <c r="AA149" s="242"/>
      <c r="AB149" s="242"/>
      <c r="AC149" s="242">
        <v>1567500</v>
      </c>
      <c r="AD149" s="242"/>
      <c r="AE149" s="242"/>
      <c r="AF149" s="242"/>
      <c r="AG149" s="242"/>
      <c r="AH149" s="242"/>
      <c r="AI149" s="242"/>
      <c r="AJ149" s="242"/>
      <c r="AK149" s="242"/>
      <c r="AL149" s="242"/>
      <c r="AM149" s="242"/>
      <c r="AN149" s="242"/>
      <c r="AO149" s="242"/>
      <c r="AP149" s="242"/>
      <c r="AQ149" s="242"/>
      <c r="AR149" s="242"/>
      <c r="AS149" s="242"/>
      <c r="AT149" s="242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22"/>
      <c r="BZ149" s="222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22"/>
      <c r="CO149" s="222"/>
      <c r="CP149" s="222"/>
      <c r="CQ149" s="222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222"/>
      <c r="DC149" s="222"/>
      <c r="DD149" s="222"/>
      <c r="DE149" s="222"/>
      <c r="DF149" s="222"/>
      <c r="DG149" s="222"/>
      <c r="DH149" s="222"/>
      <c r="DI149" s="222"/>
      <c r="DJ149" s="222"/>
      <c r="DK149" s="222"/>
      <c r="DL149" s="222"/>
      <c r="DM149" s="222"/>
      <c r="DN149" s="222"/>
      <c r="DO149" s="222"/>
      <c r="DP149" s="222"/>
      <c r="DQ149" s="222"/>
      <c r="DR149" s="222"/>
      <c r="DS149" s="222"/>
      <c r="DT149" s="222"/>
      <c r="DU149" s="222"/>
      <c r="DV149" s="222"/>
      <c r="DW149" s="325"/>
      <c r="DX149" s="325"/>
      <c r="DY149" s="325"/>
      <c r="DZ149" s="325"/>
      <c r="EA149" s="325"/>
      <c r="EB149" s="325"/>
      <c r="EC149" s="325"/>
      <c r="ED149" s="325"/>
      <c r="EE149" s="325"/>
      <c r="EF149" s="325"/>
      <c r="EG149" s="325"/>
      <c r="EH149" s="325"/>
    </row>
    <row r="150" spans="1:138">
      <c r="A150" s="222"/>
      <c r="B150" s="318"/>
      <c r="C150" s="310" t="s">
        <v>299</v>
      </c>
      <c r="D150" s="311"/>
      <c r="E150" s="321">
        <f t="shared" ref="E150:BX150" si="52">E145+E146+E147+E148+E149</f>
        <v>0</v>
      </c>
      <c r="F150" s="321">
        <f t="shared" si="52"/>
        <v>0</v>
      </c>
      <c r="G150" s="321">
        <f t="shared" si="52"/>
        <v>0</v>
      </c>
      <c r="H150" s="321">
        <f t="shared" si="52"/>
        <v>0</v>
      </c>
      <c r="I150" s="321">
        <f t="shared" si="52"/>
        <v>0</v>
      </c>
      <c r="J150" s="321">
        <f t="shared" si="52"/>
        <v>0</v>
      </c>
      <c r="K150" s="321">
        <f t="shared" si="52"/>
        <v>0</v>
      </c>
      <c r="L150" s="321">
        <f t="shared" si="52"/>
        <v>-9000000</v>
      </c>
      <c r="M150" s="321">
        <f t="shared" si="52"/>
        <v>0</v>
      </c>
      <c r="N150" s="321">
        <f t="shared" si="52"/>
        <v>0</v>
      </c>
      <c r="O150" s="321">
        <f t="shared" si="52"/>
        <v>0</v>
      </c>
      <c r="P150" s="321">
        <f t="shared" si="52"/>
        <v>0</v>
      </c>
      <c r="Q150" s="321">
        <f t="shared" si="52"/>
        <v>0</v>
      </c>
      <c r="R150" s="321">
        <f t="shared" si="52"/>
        <v>0</v>
      </c>
      <c r="S150" s="321">
        <f t="shared" si="52"/>
        <v>0</v>
      </c>
      <c r="T150" s="321">
        <f t="shared" si="52"/>
        <v>0</v>
      </c>
      <c r="U150" s="321">
        <f t="shared" si="52"/>
        <v>0</v>
      </c>
      <c r="V150" s="321">
        <f t="shared" si="52"/>
        <v>0</v>
      </c>
      <c r="W150" s="321">
        <f t="shared" si="52"/>
        <v>0</v>
      </c>
      <c r="X150" s="321">
        <f t="shared" si="52"/>
        <v>0</v>
      </c>
      <c r="Y150" s="321">
        <f t="shared" si="52"/>
        <v>0</v>
      </c>
      <c r="Z150" s="321">
        <f t="shared" si="52"/>
        <v>0</v>
      </c>
      <c r="AA150" s="321">
        <f t="shared" si="52"/>
        <v>0</v>
      </c>
      <c r="AB150" s="321">
        <f t="shared" si="52"/>
        <v>0</v>
      </c>
      <c r="AC150" s="321">
        <f t="shared" si="52"/>
        <v>12052500</v>
      </c>
      <c r="AD150" s="321">
        <f t="shared" si="52"/>
        <v>0</v>
      </c>
      <c r="AE150" s="321">
        <f t="shared" si="52"/>
        <v>0</v>
      </c>
      <c r="AF150" s="321">
        <f t="shared" si="52"/>
        <v>0</v>
      </c>
      <c r="AG150" s="321">
        <f t="shared" si="52"/>
        <v>0</v>
      </c>
      <c r="AH150" s="321">
        <f t="shared" si="52"/>
        <v>0</v>
      </c>
      <c r="AI150" s="321">
        <f t="shared" si="52"/>
        <v>0</v>
      </c>
      <c r="AJ150" s="321">
        <f t="shared" si="52"/>
        <v>0</v>
      </c>
      <c r="AK150" s="321">
        <f t="shared" si="52"/>
        <v>0</v>
      </c>
      <c r="AL150" s="321">
        <f t="shared" si="52"/>
        <v>0</v>
      </c>
      <c r="AM150" s="321">
        <f t="shared" si="52"/>
        <v>0</v>
      </c>
      <c r="AN150" s="321">
        <f t="shared" si="52"/>
        <v>0</v>
      </c>
      <c r="AO150" s="321">
        <f t="shared" si="52"/>
        <v>0</v>
      </c>
      <c r="AP150" s="321">
        <f t="shared" si="52"/>
        <v>0</v>
      </c>
      <c r="AQ150" s="321">
        <f t="shared" si="52"/>
        <v>0</v>
      </c>
      <c r="AR150" s="321">
        <f t="shared" si="52"/>
        <v>0</v>
      </c>
      <c r="AS150" s="321">
        <f t="shared" si="52"/>
        <v>0</v>
      </c>
      <c r="AT150" s="321">
        <f t="shared" si="52"/>
        <v>0</v>
      </c>
      <c r="AU150" s="321">
        <f t="shared" si="52"/>
        <v>0</v>
      </c>
      <c r="AV150" s="321">
        <f t="shared" si="52"/>
        <v>0</v>
      </c>
      <c r="AW150" s="321">
        <f t="shared" si="52"/>
        <v>0</v>
      </c>
      <c r="AX150" s="321">
        <f t="shared" si="52"/>
        <v>0</v>
      </c>
      <c r="AY150" s="321">
        <f t="shared" si="52"/>
        <v>0</v>
      </c>
      <c r="AZ150" s="321">
        <f t="shared" si="52"/>
        <v>0</v>
      </c>
      <c r="BA150" s="321">
        <f t="shared" si="52"/>
        <v>0</v>
      </c>
      <c r="BB150" s="321">
        <f t="shared" si="52"/>
        <v>0</v>
      </c>
      <c r="BC150" s="321">
        <f t="shared" si="52"/>
        <v>0</v>
      </c>
      <c r="BD150" s="321">
        <f t="shared" si="52"/>
        <v>0</v>
      </c>
      <c r="BE150" s="321">
        <f t="shared" si="52"/>
        <v>0</v>
      </c>
      <c r="BF150" s="321">
        <f t="shared" si="52"/>
        <v>0</v>
      </c>
      <c r="BG150" s="321">
        <f t="shared" si="52"/>
        <v>0</v>
      </c>
      <c r="BH150" s="321">
        <f t="shared" si="52"/>
        <v>0</v>
      </c>
      <c r="BI150" s="321">
        <f t="shared" si="52"/>
        <v>0</v>
      </c>
      <c r="BJ150" s="321">
        <f t="shared" si="52"/>
        <v>0</v>
      </c>
      <c r="BK150" s="321">
        <f t="shared" si="52"/>
        <v>0</v>
      </c>
      <c r="BL150" s="321">
        <f t="shared" si="52"/>
        <v>0</v>
      </c>
      <c r="BM150" s="321">
        <f t="shared" si="52"/>
        <v>0</v>
      </c>
      <c r="BN150" s="321">
        <f t="shared" si="52"/>
        <v>0</v>
      </c>
      <c r="BO150" s="321">
        <f t="shared" si="52"/>
        <v>0</v>
      </c>
      <c r="BP150" s="321">
        <f t="shared" si="52"/>
        <v>0</v>
      </c>
      <c r="BQ150" s="321">
        <f t="shared" si="52"/>
        <v>0</v>
      </c>
      <c r="BR150" s="321">
        <f t="shared" si="52"/>
        <v>0</v>
      </c>
      <c r="BS150" s="321">
        <f t="shared" si="52"/>
        <v>0</v>
      </c>
      <c r="BT150" s="321">
        <f t="shared" si="52"/>
        <v>0</v>
      </c>
      <c r="BU150" s="321">
        <f t="shared" si="52"/>
        <v>0</v>
      </c>
      <c r="BV150" s="321">
        <f t="shared" si="52"/>
        <v>0</v>
      </c>
      <c r="BW150" s="321">
        <f t="shared" si="52"/>
        <v>0</v>
      </c>
      <c r="BX150" s="321">
        <f t="shared" si="52"/>
        <v>0</v>
      </c>
      <c r="BY150" s="222"/>
      <c r="BZ150" s="222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22"/>
      <c r="CO150" s="222"/>
      <c r="CP150" s="222"/>
      <c r="CQ150" s="222"/>
      <c r="CR150" s="222"/>
      <c r="CS150" s="222"/>
      <c r="CT150" s="222"/>
      <c r="CU150" s="222"/>
      <c r="CV150" s="222"/>
      <c r="CW150" s="222"/>
      <c r="CX150" s="222"/>
      <c r="CY150" s="222"/>
      <c r="CZ150" s="222"/>
      <c r="DA150" s="222"/>
      <c r="DB150" s="222"/>
      <c r="DC150" s="222"/>
      <c r="DD150" s="222"/>
      <c r="DE150" s="222"/>
      <c r="DF150" s="222"/>
      <c r="DG150" s="222"/>
      <c r="DH150" s="222"/>
      <c r="DI150" s="222"/>
      <c r="DJ150" s="222"/>
      <c r="DK150" s="222"/>
      <c r="DL150" s="222"/>
      <c r="DM150" s="222"/>
      <c r="DN150" s="222"/>
      <c r="DO150" s="222"/>
      <c r="DP150" s="222"/>
      <c r="DQ150" s="222"/>
      <c r="DR150" s="222"/>
      <c r="DS150" s="222"/>
      <c r="DT150" s="222"/>
      <c r="DU150" s="222"/>
      <c r="DV150" s="222"/>
      <c r="DW150" s="325"/>
      <c r="DX150" s="325"/>
      <c r="DY150" s="325"/>
      <c r="DZ150" s="325"/>
      <c r="EA150" s="325"/>
      <c r="EB150" s="325"/>
      <c r="EC150" s="325"/>
      <c r="ED150" s="325"/>
      <c r="EE150" s="325"/>
      <c r="EF150" s="325"/>
      <c r="EG150" s="325"/>
      <c r="EH150" s="325"/>
    </row>
    <row r="151" spans="1:138">
      <c r="A151" s="222"/>
      <c r="B151" s="318"/>
      <c r="C151" s="314"/>
      <c r="D151" s="322" t="s">
        <v>306</v>
      </c>
      <c r="E151" s="327">
        <f>E150</f>
        <v>0</v>
      </c>
      <c r="F151" s="327">
        <f t="shared" ref="F151:BX151" si="53">E151+F150</f>
        <v>0</v>
      </c>
      <c r="G151" s="327">
        <f t="shared" si="53"/>
        <v>0</v>
      </c>
      <c r="H151" s="327">
        <f t="shared" si="53"/>
        <v>0</v>
      </c>
      <c r="I151" s="327">
        <f t="shared" si="53"/>
        <v>0</v>
      </c>
      <c r="J151" s="327">
        <f t="shared" si="53"/>
        <v>0</v>
      </c>
      <c r="K151" s="327">
        <f t="shared" si="53"/>
        <v>0</v>
      </c>
      <c r="L151" s="327">
        <f t="shared" si="53"/>
        <v>-9000000</v>
      </c>
      <c r="M151" s="327">
        <f t="shared" si="53"/>
        <v>-9000000</v>
      </c>
      <c r="N151" s="327">
        <f t="shared" si="53"/>
        <v>-9000000</v>
      </c>
      <c r="O151" s="327">
        <f t="shared" si="53"/>
        <v>-9000000</v>
      </c>
      <c r="P151" s="327">
        <f t="shared" si="53"/>
        <v>-9000000</v>
      </c>
      <c r="Q151" s="327">
        <f t="shared" si="53"/>
        <v>-9000000</v>
      </c>
      <c r="R151" s="327">
        <f t="shared" si="53"/>
        <v>-9000000</v>
      </c>
      <c r="S151" s="327">
        <f t="shared" si="53"/>
        <v>-9000000</v>
      </c>
      <c r="T151" s="327">
        <f t="shared" si="53"/>
        <v>-9000000</v>
      </c>
      <c r="U151" s="327">
        <f t="shared" si="53"/>
        <v>-9000000</v>
      </c>
      <c r="V151" s="327">
        <f t="shared" si="53"/>
        <v>-9000000</v>
      </c>
      <c r="W151" s="327">
        <f t="shared" si="53"/>
        <v>-9000000</v>
      </c>
      <c r="X151" s="327">
        <f t="shared" si="53"/>
        <v>-9000000</v>
      </c>
      <c r="Y151" s="327">
        <f t="shared" si="53"/>
        <v>-9000000</v>
      </c>
      <c r="Z151" s="327">
        <f t="shared" si="53"/>
        <v>-9000000</v>
      </c>
      <c r="AA151" s="327">
        <f t="shared" si="53"/>
        <v>-9000000</v>
      </c>
      <c r="AB151" s="327">
        <f t="shared" si="53"/>
        <v>-9000000</v>
      </c>
      <c r="AC151" s="327">
        <f t="shared" si="53"/>
        <v>3052500</v>
      </c>
      <c r="AD151" s="327">
        <f t="shared" si="53"/>
        <v>3052500</v>
      </c>
      <c r="AE151" s="327">
        <f t="shared" si="53"/>
        <v>3052500</v>
      </c>
      <c r="AF151" s="327">
        <f t="shared" si="53"/>
        <v>3052500</v>
      </c>
      <c r="AG151" s="327">
        <f t="shared" si="53"/>
        <v>3052500</v>
      </c>
      <c r="AH151" s="327">
        <f t="shared" si="53"/>
        <v>3052500</v>
      </c>
      <c r="AI151" s="327">
        <f t="shared" si="53"/>
        <v>3052500</v>
      </c>
      <c r="AJ151" s="327">
        <f t="shared" si="53"/>
        <v>3052500</v>
      </c>
      <c r="AK151" s="327">
        <f t="shared" si="53"/>
        <v>3052500</v>
      </c>
      <c r="AL151" s="327">
        <f t="shared" si="53"/>
        <v>3052500</v>
      </c>
      <c r="AM151" s="327">
        <f t="shared" si="53"/>
        <v>3052500</v>
      </c>
      <c r="AN151" s="327">
        <f t="shared" si="53"/>
        <v>3052500</v>
      </c>
      <c r="AO151" s="327">
        <f t="shared" si="53"/>
        <v>3052500</v>
      </c>
      <c r="AP151" s="327">
        <f t="shared" si="53"/>
        <v>3052500</v>
      </c>
      <c r="AQ151" s="327">
        <f t="shared" si="53"/>
        <v>3052500</v>
      </c>
      <c r="AR151" s="327">
        <f t="shared" si="53"/>
        <v>3052500</v>
      </c>
      <c r="AS151" s="327">
        <f t="shared" si="53"/>
        <v>3052500</v>
      </c>
      <c r="AT151" s="327">
        <f t="shared" si="53"/>
        <v>3052500</v>
      </c>
      <c r="AU151" s="327">
        <f t="shared" si="53"/>
        <v>3052500</v>
      </c>
      <c r="AV151" s="327">
        <f t="shared" si="53"/>
        <v>3052500</v>
      </c>
      <c r="AW151" s="327">
        <f t="shared" si="53"/>
        <v>3052500</v>
      </c>
      <c r="AX151" s="327">
        <f t="shared" si="53"/>
        <v>3052500</v>
      </c>
      <c r="AY151" s="327">
        <f t="shared" si="53"/>
        <v>3052500</v>
      </c>
      <c r="AZ151" s="327">
        <f t="shared" si="53"/>
        <v>3052500</v>
      </c>
      <c r="BA151" s="327">
        <f t="shared" si="53"/>
        <v>3052500</v>
      </c>
      <c r="BB151" s="327">
        <f t="shared" si="53"/>
        <v>3052500</v>
      </c>
      <c r="BC151" s="327">
        <f t="shared" si="53"/>
        <v>3052500</v>
      </c>
      <c r="BD151" s="327">
        <f t="shared" si="53"/>
        <v>3052500</v>
      </c>
      <c r="BE151" s="327">
        <f t="shared" si="53"/>
        <v>3052500</v>
      </c>
      <c r="BF151" s="327">
        <f t="shared" si="53"/>
        <v>3052500</v>
      </c>
      <c r="BG151" s="327">
        <f t="shared" si="53"/>
        <v>3052500</v>
      </c>
      <c r="BH151" s="327">
        <f t="shared" si="53"/>
        <v>3052500</v>
      </c>
      <c r="BI151" s="327">
        <f t="shared" si="53"/>
        <v>3052500</v>
      </c>
      <c r="BJ151" s="327">
        <f t="shared" si="53"/>
        <v>3052500</v>
      </c>
      <c r="BK151" s="327">
        <f t="shared" si="53"/>
        <v>3052500</v>
      </c>
      <c r="BL151" s="327">
        <f t="shared" si="53"/>
        <v>3052500</v>
      </c>
      <c r="BM151" s="327">
        <f t="shared" si="53"/>
        <v>3052500</v>
      </c>
      <c r="BN151" s="327">
        <f t="shared" si="53"/>
        <v>3052500</v>
      </c>
      <c r="BO151" s="327">
        <f t="shared" si="53"/>
        <v>3052500</v>
      </c>
      <c r="BP151" s="327">
        <f t="shared" si="53"/>
        <v>3052500</v>
      </c>
      <c r="BQ151" s="327">
        <f t="shared" si="53"/>
        <v>3052500</v>
      </c>
      <c r="BR151" s="327">
        <f t="shared" si="53"/>
        <v>3052500</v>
      </c>
      <c r="BS151" s="327">
        <f t="shared" si="53"/>
        <v>3052500</v>
      </c>
      <c r="BT151" s="327">
        <f t="shared" si="53"/>
        <v>3052500</v>
      </c>
      <c r="BU151" s="327">
        <f t="shared" si="53"/>
        <v>3052500</v>
      </c>
      <c r="BV151" s="327">
        <f t="shared" si="53"/>
        <v>3052500</v>
      </c>
      <c r="BW151" s="327">
        <f t="shared" si="53"/>
        <v>3052500</v>
      </c>
      <c r="BX151" s="327">
        <f t="shared" si="53"/>
        <v>3052500</v>
      </c>
      <c r="BY151" s="222"/>
      <c r="BZ151" s="222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325"/>
      <c r="DX151" s="325"/>
      <c r="DY151" s="325"/>
      <c r="DZ151" s="325"/>
      <c r="EA151" s="325"/>
      <c r="EB151" s="325"/>
      <c r="EC151" s="325"/>
      <c r="ED151" s="325"/>
      <c r="EE151" s="325"/>
      <c r="EF151" s="325"/>
      <c r="EG151" s="325"/>
      <c r="EH151" s="325"/>
    </row>
    <row r="152" spans="1:138">
      <c r="A152" s="222"/>
      <c r="B152" s="318"/>
      <c r="C152" s="313" t="s">
        <v>292</v>
      </c>
      <c r="D152" s="322">
        <f>IRR(K150:AC150)*12</f>
        <v>0.20793214463575094</v>
      </c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222"/>
      <c r="AF152" s="222"/>
      <c r="AG152" s="222"/>
      <c r="AH152" s="222"/>
      <c r="AI152" s="222"/>
      <c r="AJ152" s="222"/>
      <c r="AK152" s="222"/>
      <c r="AL152" s="222"/>
      <c r="AM152" s="222"/>
      <c r="AN152" s="222"/>
      <c r="AO152" s="222"/>
      <c r="AP152" s="222"/>
      <c r="AQ152" s="222"/>
      <c r="AR152" s="222"/>
      <c r="AS152" s="222"/>
      <c r="AT152" s="222"/>
      <c r="AU152" s="222"/>
      <c r="AV152" s="222"/>
      <c r="AW152" s="222"/>
      <c r="AX152" s="222"/>
      <c r="AY152" s="222"/>
      <c r="AZ152" s="222"/>
      <c r="BA152" s="222"/>
      <c r="BB152" s="222"/>
      <c r="BC152" s="222"/>
      <c r="BD152" s="222"/>
      <c r="BE152" s="222"/>
      <c r="BF152" s="222"/>
      <c r="BG152" s="222"/>
      <c r="BH152" s="222"/>
      <c r="BI152" s="222"/>
      <c r="BJ152" s="222"/>
      <c r="BK152" s="222"/>
      <c r="BL152" s="222"/>
      <c r="BM152" s="222"/>
      <c r="BN152" s="222"/>
      <c r="BO152" s="222"/>
      <c r="BP152" s="222"/>
      <c r="BQ152" s="222"/>
      <c r="BR152" s="222"/>
      <c r="BS152" s="222"/>
      <c r="BT152" s="222"/>
      <c r="BU152" s="222"/>
      <c r="BV152" s="222"/>
      <c r="BW152" s="222"/>
      <c r="BX152" s="222"/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22"/>
      <c r="CO152" s="222"/>
      <c r="CP152" s="222"/>
      <c r="CQ152" s="222"/>
      <c r="CR152" s="222"/>
      <c r="CS152" s="222"/>
      <c r="CT152" s="222"/>
      <c r="CU152" s="222"/>
      <c r="CV152" s="222"/>
      <c r="CW152" s="222"/>
      <c r="CX152" s="222"/>
      <c r="CY152" s="222"/>
      <c r="CZ152" s="222"/>
      <c r="DA152" s="222"/>
      <c r="DB152" s="222"/>
      <c r="DC152" s="222"/>
      <c r="DD152" s="222"/>
      <c r="DE152" s="222"/>
      <c r="DF152" s="222"/>
      <c r="DG152" s="222"/>
      <c r="DH152" s="222"/>
      <c r="DI152" s="222"/>
      <c r="DJ152" s="222"/>
      <c r="DK152" s="222"/>
      <c r="DL152" s="222"/>
      <c r="DM152" s="222"/>
      <c r="DN152" s="222"/>
      <c r="DO152" s="222"/>
      <c r="DP152" s="222"/>
      <c r="DQ152" s="222"/>
      <c r="DR152" s="222"/>
      <c r="DS152" s="222"/>
      <c r="DT152" s="222"/>
      <c r="DU152" s="222"/>
      <c r="DV152" s="222"/>
      <c r="DW152" s="325"/>
      <c r="DX152" s="325"/>
      <c r="DY152" s="325"/>
      <c r="DZ152" s="325"/>
      <c r="EA152" s="325"/>
      <c r="EB152" s="325"/>
      <c r="EC152" s="325"/>
      <c r="ED152" s="325"/>
      <c r="EE152" s="325"/>
      <c r="EF152" s="325"/>
      <c r="EG152" s="325"/>
      <c r="EH152" s="325"/>
    </row>
    <row r="153" spans="1:138">
      <c r="A153" s="222"/>
      <c r="B153" s="318"/>
      <c r="C153" s="323" t="s">
        <v>300</v>
      </c>
      <c r="D153" s="324">
        <f>-MIN(E145:BL145)</f>
        <v>9000000</v>
      </c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22"/>
      <c r="AD153" s="222"/>
      <c r="AE153" s="222"/>
      <c r="AF153" s="222"/>
      <c r="AG153" s="222"/>
      <c r="AH153" s="222"/>
      <c r="AI153" s="222"/>
      <c r="AJ153" s="222"/>
      <c r="AK153" s="222"/>
      <c r="AL153" s="222"/>
      <c r="AM153" s="222"/>
      <c r="AN153" s="222"/>
      <c r="AO153" s="222"/>
      <c r="AP153" s="222"/>
      <c r="AQ153" s="222"/>
      <c r="AR153" s="222"/>
      <c r="AS153" s="222"/>
      <c r="AT153" s="222"/>
      <c r="AU153" s="222"/>
      <c r="AV153" s="222"/>
      <c r="AW153" s="222"/>
      <c r="AX153" s="222"/>
      <c r="AY153" s="222"/>
      <c r="AZ153" s="222"/>
      <c r="BA153" s="222"/>
      <c r="BB153" s="222"/>
      <c r="BC153" s="222"/>
      <c r="BD153" s="222"/>
      <c r="BE153" s="222"/>
      <c r="BF153" s="222"/>
      <c r="BG153" s="222"/>
      <c r="BH153" s="222"/>
      <c r="BI153" s="222"/>
      <c r="BJ153" s="222"/>
      <c r="BK153" s="222"/>
      <c r="BL153" s="222"/>
      <c r="BM153" s="222"/>
      <c r="BN153" s="222"/>
      <c r="BO153" s="222"/>
      <c r="BP153" s="222"/>
      <c r="BQ153" s="222"/>
      <c r="BR153" s="222"/>
      <c r="BS153" s="222"/>
      <c r="BT153" s="222"/>
      <c r="BU153" s="222"/>
      <c r="BV153" s="222"/>
      <c r="BW153" s="222"/>
      <c r="BX153" s="222"/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22"/>
      <c r="CO153" s="222"/>
      <c r="CP153" s="222"/>
      <c r="CQ153" s="222"/>
      <c r="CR153" s="222"/>
      <c r="CS153" s="222"/>
      <c r="CT153" s="222"/>
      <c r="CU153" s="222"/>
      <c r="CV153" s="222"/>
      <c r="CW153" s="222"/>
      <c r="CX153" s="222"/>
      <c r="CY153" s="222"/>
      <c r="CZ153" s="222"/>
      <c r="DA153" s="222"/>
      <c r="DB153" s="222"/>
      <c r="DC153" s="222"/>
      <c r="DD153" s="222"/>
      <c r="DE153" s="222"/>
      <c r="DF153" s="222"/>
      <c r="DG153" s="222"/>
      <c r="DH153" s="222"/>
      <c r="DI153" s="222"/>
      <c r="DJ153" s="222"/>
      <c r="DK153" s="222"/>
      <c r="DL153" s="222"/>
      <c r="DM153" s="222"/>
      <c r="DN153" s="222"/>
      <c r="DO153" s="222"/>
      <c r="DP153" s="222"/>
      <c r="DQ153" s="222"/>
      <c r="DR153" s="222"/>
      <c r="DS153" s="222"/>
      <c r="DT153" s="222"/>
      <c r="DU153" s="222"/>
      <c r="DV153" s="222"/>
      <c r="DW153" s="325"/>
      <c r="DX153" s="325"/>
      <c r="DY153" s="325"/>
      <c r="DZ153" s="325"/>
      <c r="EA153" s="325"/>
      <c r="EB153" s="325"/>
      <c r="EC153" s="325"/>
      <c r="ED153" s="325"/>
      <c r="EE153" s="325"/>
      <c r="EF153" s="325"/>
      <c r="EG153" s="325"/>
      <c r="EH153" s="325"/>
    </row>
    <row r="154" spans="1:138">
      <c r="A154" s="222"/>
      <c r="B154" s="318"/>
      <c r="C154" s="323" t="s">
        <v>301</v>
      </c>
      <c r="D154" s="324">
        <v>0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2"/>
      <c r="BN154" s="222"/>
      <c r="BO154" s="222"/>
      <c r="BP154" s="222"/>
      <c r="BQ154" s="22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22"/>
      <c r="CO154" s="222"/>
      <c r="CP154" s="222"/>
      <c r="CQ154" s="222"/>
      <c r="CR154" s="222"/>
      <c r="CS154" s="222"/>
      <c r="CT154" s="222"/>
      <c r="CU154" s="222"/>
      <c r="CV154" s="222"/>
      <c r="CW154" s="222"/>
      <c r="CX154" s="222"/>
      <c r="CY154" s="222"/>
      <c r="CZ154" s="222"/>
      <c r="DA154" s="222"/>
      <c r="DB154" s="222"/>
      <c r="DC154" s="222"/>
      <c r="DD154" s="222"/>
      <c r="DE154" s="222"/>
      <c r="DF154" s="222"/>
      <c r="DG154" s="222"/>
      <c r="DH154" s="222"/>
      <c r="DI154" s="222"/>
      <c r="DJ154" s="222"/>
      <c r="DK154" s="222"/>
      <c r="DL154" s="222"/>
      <c r="DM154" s="222"/>
      <c r="DN154" s="222"/>
      <c r="DO154" s="222"/>
      <c r="DP154" s="222"/>
      <c r="DQ154" s="222"/>
      <c r="DR154" s="222"/>
      <c r="DS154" s="222"/>
      <c r="DT154" s="222"/>
      <c r="DU154" s="222"/>
      <c r="DV154" s="222"/>
      <c r="DW154" s="325"/>
      <c r="DX154" s="325"/>
      <c r="DY154" s="325"/>
      <c r="DZ154" s="325"/>
      <c r="EA154" s="325"/>
      <c r="EB154" s="325"/>
      <c r="EC154" s="325"/>
      <c r="ED154" s="325"/>
      <c r="EE154" s="325"/>
      <c r="EF154" s="325"/>
      <c r="EG154" s="325"/>
      <c r="EH154" s="325"/>
    </row>
    <row r="155" spans="1:138">
      <c r="A155" s="222"/>
      <c r="B155" s="318"/>
      <c r="C155" s="313" t="s">
        <v>302</v>
      </c>
      <c r="D155" s="326">
        <f>D154+D153</f>
        <v>9000000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  <c r="BQ155" s="22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22"/>
      <c r="CO155" s="222"/>
      <c r="CP155" s="222"/>
      <c r="CQ155" s="222"/>
      <c r="CR155" s="222"/>
      <c r="CS155" s="222"/>
      <c r="CT155" s="222"/>
      <c r="CU155" s="222"/>
      <c r="CV155" s="222"/>
      <c r="CW155" s="222"/>
      <c r="CX155" s="222"/>
      <c r="CY155" s="222"/>
      <c r="CZ155" s="222"/>
      <c r="DA155" s="222"/>
      <c r="DB155" s="222"/>
      <c r="DC155" s="222"/>
      <c r="DD155" s="222"/>
      <c r="DE155" s="222"/>
      <c r="DF155" s="222"/>
      <c r="DG155" s="222"/>
      <c r="DH155" s="222"/>
      <c r="DI155" s="222"/>
      <c r="DJ155" s="222"/>
      <c r="DK155" s="222"/>
      <c r="DL155" s="222"/>
      <c r="DM155" s="222"/>
      <c r="DN155" s="222"/>
      <c r="DO155" s="222"/>
      <c r="DP155" s="222"/>
      <c r="DQ155" s="222"/>
      <c r="DR155" s="222"/>
      <c r="DS155" s="222"/>
      <c r="DT155" s="222"/>
      <c r="DU155" s="222"/>
      <c r="DV155" s="222"/>
      <c r="DW155" s="325"/>
      <c r="DX155" s="325"/>
      <c r="DY155" s="325"/>
      <c r="DZ155" s="325"/>
      <c r="EA155" s="325"/>
      <c r="EB155" s="325"/>
      <c r="EC155" s="325"/>
      <c r="ED155" s="325"/>
      <c r="EE155" s="325"/>
      <c r="EF155" s="325"/>
      <c r="EG155" s="325"/>
      <c r="EH155" s="325"/>
    </row>
    <row r="156" spans="1:138">
      <c r="A156" s="222"/>
      <c r="B156" s="318"/>
      <c r="C156" s="313" t="s">
        <v>303</v>
      </c>
      <c r="D156" s="326">
        <f>AC147+AC149</f>
        <v>3052500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2"/>
      <c r="BN156" s="222"/>
      <c r="BO156" s="222"/>
      <c r="BP156" s="222"/>
      <c r="BQ156" s="222"/>
      <c r="BR156" s="222"/>
      <c r="BS156" s="222"/>
      <c r="BT156" s="222"/>
      <c r="BU156" s="222"/>
      <c r="BV156" s="222"/>
      <c r="BW156" s="222"/>
      <c r="BX156" s="222"/>
      <c r="BY156" s="222"/>
      <c r="BZ156" s="222"/>
      <c r="CA156" s="222"/>
      <c r="CB156" s="222"/>
      <c r="CC156" s="222"/>
      <c r="CD156" s="222"/>
      <c r="CE156" s="222"/>
      <c r="CF156" s="222"/>
      <c r="CG156" s="222"/>
      <c r="CH156" s="222"/>
      <c r="CI156" s="222"/>
      <c r="CJ156" s="222"/>
      <c r="CK156" s="222"/>
      <c r="CL156" s="222"/>
      <c r="CM156" s="222"/>
      <c r="CN156" s="222"/>
      <c r="CO156" s="222"/>
      <c r="CP156" s="222"/>
      <c r="CQ156" s="222"/>
      <c r="CR156" s="222"/>
      <c r="CS156" s="222"/>
      <c r="CT156" s="222"/>
      <c r="CU156" s="222"/>
      <c r="CV156" s="222"/>
      <c r="CW156" s="222"/>
      <c r="CX156" s="222"/>
      <c r="CY156" s="222"/>
      <c r="CZ156" s="222"/>
      <c r="DA156" s="222"/>
      <c r="DB156" s="222"/>
      <c r="DC156" s="222"/>
      <c r="DD156" s="222"/>
      <c r="DE156" s="222"/>
      <c r="DF156" s="222"/>
      <c r="DG156" s="222"/>
      <c r="DH156" s="222"/>
      <c r="DI156" s="222"/>
      <c r="DJ156" s="222"/>
      <c r="DK156" s="222"/>
      <c r="DL156" s="222"/>
      <c r="DM156" s="222"/>
      <c r="DN156" s="222"/>
      <c r="DO156" s="222"/>
      <c r="DP156" s="222"/>
      <c r="DQ156" s="222"/>
      <c r="DR156" s="222"/>
      <c r="DS156" s="222"/>
      <c r="DT156" s="222"/>
      <c r="DU156" s="222"/>
      <c r="DV156" s="222"/>
      <c r="DW156" s="325"/>
      <c r="DX156" s="325"/>
      <c r="DY156" s="325"/>
      <c r="DZ156" s="325"/>
      <c r="EA156" s="325"/>
      <c r="EB156" s="325"/>
      <c r="EC156" s="325"/>
      <c r="ED156" s="325"/>
      <c r="EE156" s="325"/>
      <c r="EF156" s="325"/>
      <c r="EG156" s="325"/>
      <c r="EH156" s="325"/>
    </row>
    <row r="157" spans="1:138">
      <c r="A157" s="222"/>
      <c r="B157" s="318"/>
      <c r="C157" s="313" t="s">
        <v>147</v>
      </c>
      <c r="D157" s="322">
        <f>(D156-D154)/D155</f>
        <v>0.33916666666666667</v>
      </c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  <c r="BQ157" s="222"/>
      <c r="BR157" s="222"/>
      <c r="BS157" s="222"/>
      <c r="BT157" s="222"/>
      <c r="BU157" s="222"/>
      <c r="BV157" s="222"/>
      <c r="BW157" s="222"/>
      <c r="BX157" s="222"/>
      <c r="BY157" s="222"/>
      <c r="BZ157" s="222"/>
      <c r="CA157" s="222"/>
      <c r="CB157" s="222"/>
      <c r="CC157" s="222"/>
      <c r="CD157" s="222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2"/>
      <c r="CV157" s="222"/>
      <c r="CW157" s="222"/>
      <c r="CX157" s="222"/>
      <c r="CY157" s="222"/>
      <c r="CZ157" s="222"/>
      <c r="DA157" s="222"/>
      <c r="DB157" s="222"/>
      <c r="DC157" s="222"/>
      <c r="DD157" s="222"/>
      <c r="DE157" s="222"/>
      <c r="DF157" s="222"/>
      <c r="DG157" s="222"/>
      <c r="DH157" s="222"/>
      <c r="DI157" s="222"/>
      <c r="DJ157" s="222"/>
      <c r="DK157" s="222"/>
      <c r="DL157" s="222"/>
      <c r="DM157" s="222"/>
      <c r="DN157" s="222"/>
      <c r="DO157" s="222"/>
      <c r="DP157" s="222"/>
      <c r="DQ157" s="222"/>
      <c r="DR157" s="222"/>
      <c r="DS157" s="222"/>
      <c r="DT157" s="222"/>
      <c r="DU157" s="222"/>
      <c r="DV157" s="222"/>
      <c r="DW157" s="325"/>
      <c r="DX157" s="325"/>
      <c r="DY157" s="325"/>
      <c r="DZ157" s="325"/>
      <c r="EA157" s="325"/>
      <c r="EB157" s="325"/>
      <c r="EC157" s="325"/>
      <c r="ED157" s="325"/>
      <c r="EE157" s="325"/>
      <c r="EF157" s="325"/>
      <c r="EG157" s="325"/>
      <c r="EH157" s="325"/>
    </row>
    <row r="158" spans="1:138">
      <c r="A158" s="222"/>
      <c r="B158" s="318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  <c r="BL158" s="222"/>
      <c r="BM158" s="222"/>
      <c r="BN158" s="222"/>
      <c r="BO158" s="222"/>
      <c r="BP158" s="222"/>
      <c r="BQ158" s="222"/>
      <c r="BR158" s="222"/>
      <c r="BS158" s="222"/>
      <c r="BT158" s="222"/>
      <c r="BU158" s="222"/>
      <c r="BV158" s="222"/>
      <c r="BW158" s="222"/>
      <c r="BX158" s="222"/>
      <c r="BY158" s="222"/>
      <c r="BZ158" s="222"/>
      <c r="CA158" s="222"/>
      <c r="CB158" s="222"/>
      <c r="CC158" s="222"/>
      <c r="CD158" s="222"/>
      <c r="CE158" s="222"/>
      <c r="CF158" s="222"/>
      <c r="CG158" s="222"/>
      <c r="CH158" s="222"/>
      <c r="CI158" s="222"/>
      <c r="CJ158" s="222"/>
      <c r="CK158" s="222"/>
      <c r="CL158" s="222"/>
      <c r="CM158" s="222"/>
      <c r="CN158" s="222"/>
      <c r="CO158" s="222"/>
      <c r="CP158" s="222"/>
      <c r="CQ158" s="222"/>
      <c r="CR158" s="222"/>
      <c r="CS158" s="222"/>
      <c r="CT158" s="222"/>
      <c r="CU158" s="222"/>
      <c r="CV158" s="222"/>
      <c r="CW158" s="222"/>
      <c r="CX158" s="222"/>
      <c r="CY158" s="222"/>
      <c r="CZ158" s="222"/>
      <c r="DA158" s="222"/>
      <c r="DB158" s="222"/>
      <c r="DC158" s="222"/>
      <c r="DD158" s="222"/>
      <c r="DE158" s="222"/>
      <c r="DF158" s="222"/>
      <c r="DG158" s="222"/>
      <c r="DH158" s="222"/>
      <c r="DI158" s="222"/>
      <c r="DJ158" s="222"/>
      <c r="DK158" s="222"/>
      <c r="DL158" s="222"/>
      <c r="DM158" s="222"/>
      <c r="DN158" s="222"/>
      <c r="DO158" s="222"/>
      <c r="DP158" s="222"/>
      <c r="DQ158" s="222"/>
      <c r="DR158" s="222"/>
      <c r="DS158" s="222"/>
      <c r="DT158" s="222"/>
      <c r="DU158" s="222"/>
      <c r="DV158" s="222"/>
      <c r="DW158" s="325"/>
      <c r="DX158" s="325"/>
      <c r="DY158" s="325"/>
      <c r="DZ158" s="325"/>
      <c r="EA158" s="325"/>
      <c r="EB158" s="325"/>
      <c r="EC158" s="325"/>
      <c r="ED158" s="325"/>
      <c r="EE158" s="325"/>
      <c r="EF158" s="325"/>
      <c r="EG158" s="325"/>
      <c r="EH158" s="325"/>
    </row>
    <row r="159" spans="1:138" hidden="1">
      <c r="A159" s="222"/>
      <c r="B159" s="318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2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2"/>
      <c r="BK159" s="222"/>
      <c r="BL159" s="222"/>
      <c r="BM159" s="222"/>
      <c r="BN159" s="222"/>
      <c r="BO159" s="222"/>
      <c r="BP159" s="222"/>
      <c r="BQ159" s="222"/>
      <c r="BR159" s="222"/>
      <c r="BS159" s="222"/>
      <c r="BT159" s="222"/>
      <c r="BU159" s="222"/>
      <c r="BV159" s="222"/>
      <c r="BW159" s="222"/>
      <c r="BX159" s="222"/>
      <c r="BY159" s="222"/>
      <c r="BZ159" s="222"/>
      <c r="CA159" s="222"/>
      <c r="CB159" s="222"/>
      <c r="CC159" s="222"/>
      <c r="CD159" s="222"/>
      <c r="CE159" s="222"/>
      <c r="CF159" s="222"/>
      <c r="CG159" s="222"/>
      <c r="CH159" s="222"/>
      <c r="CI159" s="222"/>
      <c r="CJ159" s="222"/>
      <c r="CK159" s="222"/>
      <c r="CL159" s="222"/>
      <c r="CM159" s="222"/>
      <c r="CN159" s="222"/>
      <c r="CO159" s="222"/>
      <c r="CP159" s="222"/>
      <c r="CQ159" s="222"/>
      <c r="CR159" s="222"/>
      <c r="CS159" s="222"/>
      <c r="CT159" s="222"/>
      <c r="CU159" s="222"/>
      <c r="CV159" s="222"/>
      <c r="CW159" s="222"/>
      <c r="CX159" s="222"/>
      <c r="CY159" s="222"/>
      <c r="CZ159" s="222"/>
      <c r="DA159" s="222"/>
      <c r="DB159" s="222"/>
      <c r="DC159" s="222"/>
      <c r="DD159" s="222"/>
      <c r="DE159" s="222"/>
      <c r="DF159" s="222"/>
      <c r="DG159" s="222"/>
      <c r="DH159" s="222"/>
      <c r="DI159" s="222"/>
      <c r="DJ159" s="222"/>
      <c r="DK159" s="222"/>
      <c r="DL159" s="222"/>
      <c r="DM159" s="222"/>
      <c r="DN159" s="222"/>
      <c r="DO159" s="222"/>
      <c r="DP159" s="222"/>
      <c r="DQ159" s="222"/>
      <c r="DR159" s="222"/>
      <c r="DS159" s="222"/>
      <c r="DT159" s="222"/>
      <c r="DU159" s="222"/>
      <c r="DV159" s="222"/>
      <c r="DW159" s="325"/>
      <c r="DX159" s="325"/>
      <c r="DY159" s="325"/>
      <c r="DZ159" s="325"/>
      <c r="EA159" s="325"/>
      <c r="EB159" s="325"/>
      <c r="EC159" s="325"/>
      <c r="ED159" s="325"/>
      <c r="EE159" s="325"/>
      <c r="EF159" s="325"/>
      <c r="EG159" s="325"/>
      <c r="EH159" s="325"/>
    </row>
    <row r="160" spans="1:138" hidden="1">
      <c r="A160" s="222"/>
      <c r="B160" s="318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22"/>
      <c r="AK160" s="222"/>
      <c r="AL160" s="222"/>
      <c r="AM160" s="222"/>
      <c r="AN160" s="222"/>
      <c r="AO160" s="222"/>
      <c r="AP160" s="222"/>
      <c r="AQ160" s="222"/>
      <c r="AR160" s="222"/>
      <c r="AS160" s="222"/>
      <c r="AT160" s="222"/>
      <c r="AU160" s="222"/>
      <c r="AV160" s="222"/>
      <c r="AW160" s="222"/>
      <c r="AX160" s="222"/>
      <c r="AY160" s="222"/>
      <c r="AZ160" s="222"/>
      <c r="BA160" s="222"/>
      <c r="BB160" s="222"/>
      <c r="BC160" s="222"/>
      <c r="BD160" s="222"/>
      <c r="BE160" s="222"/>
      <c r="BF160" s="222"/>
      <c r="BG160" s="222"/>
      <c r="BH160" s="222"/>
      <c r="BI160" s="222"/>
      <c r="BJ160" s="222"/>
      <c r="BK160" s="222"/>
      <c r="BL160" s="222"/>
      <c r="BM160" s="222"/>
      <c r="BN160" s="222"/>
      <c r="BO160" s="222"/>
      <c r="BP160" s="222"/>
      <c r="BQ160" s="222"/>
      <c r="BR160" s="222"/>
      <c r="BS160" s="222"/>
      <c r="BT160" s="222"/>
      <c r="BU160" s="222"/>
      <c r="BV160" s="222"/>
      <c r="BW160" s="222"/>
      <c r="BX160" s="222"/>
      <c r="BY160" s="222"/>
      <c r="BZ160" s="222"/>
      <c r="CA160" s="222"/>
      <c r="CB160" s="222"/>
      <c r="CC160" s="222"/>
      <c r="CD160" s="222"/>
      <c r="CE160" s="222"/>
      <c r="CF160" s="222"/>
      <c r="CG160" s="222"/>
      <c r="CH160" s="222"/>
      <c r="CI160" s="222"/>
      <c r="CJ160" s="222"/>
      <c r="CK160" s="222"/>
      <c r="CL160" s="222"/>
      <c r="CM160" s="222"/>
      <c r="CN160" s="222"/>
      <c r="CO160" s="222"/>
      <c r="CP160" s="222"/>
      <c r="CQ160" s="222"/>
      <c r="CR160" s="222"/>
      <c r="CS160" s="222"/>
      <c r="CT160" s="222"/>
      <c r="CU160" s="222"/>
      <c r="CV160" s="222"/>
      <c r="CW160" s="222"/>
      <c r="CX160" s="222"/>
      <c r="CY160" s="222"/>
      <c r="CZ160" s="222"/>
      <c r="DA160" s="222"/>
      <c r="DB160" s="222"/>
      <c r="DC160" s="222"/>
      <c r="DD160" s="222"/>
      <c r="DE160" s="222"/>
      <c r="DF160" s="222"/>
      <c r="DG160" s="222"/>
      <c r="DH160" s="222"/>
      <c r="DI160" s="222"/>
      <c r="DJ160" s="222"/>
      <c r="DK160" s="222"/>
      <c r="DL160" s="222"/>
      <c r="DM160" s="222"/>
      <c r="DN160" s="222"/>
      <c r="DO160" s="222"/>
      <c r="DP160" s="222"/>
      <c r="DQ160" s="222"/>
      <c r="DR160" s="222"/>
      <c r="DS160" s="222"/>
      <c r="DT160" s="222"/>
      <c r="DU160" s="222"/>
      <c r="DV160" s="222"/>
      <c r="DW160" s="325"/>
      <c r="DX160" s="325"/>
      <c r="DY160" s="325"/>
      <c r="DZ160" s="325"/>
      <c r="EA160" s="325"/>
      <c r="EB160" s="325"/>
      <c r="EC160" s="325"/>
      <c r="ED160" s="325"/>
      <c r="EE160" s="325"/>
      <c r="EF160" s="325"/>
      <c r="EG160" s="325"/>
      <c r="EH160" s="325"/>
    </row>
    <row r="161" spans="1:138" hidden="1">
      <c r="A161" s="222"/>
      <c r="B161" s="318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222"/>
      <c r="AF161" s="222"/>
      <c r="AG161" s="222"/>
      <c r="AH161" s="222"/>
      <c r="AI161" s="222"/>
      <c r="AJ161" s="222"/>
      <c r="AK161" s="222"/>
      <c r="AL161" s="222"/>
      <c r="AM161" s="222"/>
      <c r="AN161" s="222"/>
      <c r="AO161" s="222"/>
      <c r="AP161" s="222"/>
      <c r="AQ161" s="222"/>
      <c r="AR161" s="222"/>
      <c r="AS161" s="222"/>
      <c r="AT161" s="222"/>
      <c r="AU161" s="222"/>
      <c r="AV161" s="222"/>
      <c r="AW161" s="222"/>
      <c r="AX161" s="222"/>
      <c r="AY161" s="222"/>
      <c r="AZ161" s="222"/>
      <c r="BA161" s="222"/>
      <c r="BB161" s="222"/>
      <c r="BC161" s="222"/>
      <c r="BD161" s="222"/>
      <c r="BE161" s="222"/>
      <c r="BF161" s="222"/>
      <c r="BG161" s="222"/>
      <c r="BH161" s="222"/>
      <c r="BI161" s="222"/>
      <c r="BJ161" s="222"/>
      <c r="BK161" s="222"/>
      <c r="BL161" s="222"/>
      <c r="BM161" s="222"/>
      <c r="BN161" s="222"/>
      <c r="BO161" s="222"/>
      <c r="BP161" s="222"/>
      <c r="BQ161" s="222"/>
      <c r="BR161" s="222"/>
      <c r="BS161" s="222"/>
      <c r="BT161" s="222"/>
      <c r="BU161" s="222"/>
      <c r="BV161" s="222"/>
      <c r="BW161" s="222"/>
      <c r="BX161" s="222"/>
      <c r="BY161" s="222"/>
      <c r="BZ161" s="222"/>
      <c r="CA161" s="222"/>
      <c r="CB161" s="222"/>
      <c r="CC161" s="222"/>
      <c r="CD161" s="222"/>
      <c r="CE161" s="222"/>
      <c r="CF161" s="222"/>
      <c r="CG161" s="222"/>
      <c r="CH161" s="222"/>
      <c r="CI161" s="222"/>
      <c r="CJ161" s="222"/>
      <c r="CK161" s="222"/>
      <c r="CL161" s="222"/>
      <c r="CM161" s="222"/>
      <c r="CN161" s="222"/>
      <c r="CO161" s="222"/>
      <c r="CP161" s="222"/>
      <c r="CQ161" s="222"/>
      <c r="CR161" s="222"/>
      <c r="CS161" s="222"/>
      <c r="CT161" s="222"/>
      <c r="CU161" s="222"/>
      <c r="CV161" s="222"/>
      <c r="CW161" s="222"/>
      <c r="CX161" s="222"/>
      <c r="CY161" s="222"/>
      <c r="CZ161" s="222"/>
      <c r="DA161" s="222"/>
      <c r="DB161" s="222"/>
      <c r="DC161" s="222"/>
      <c r="DD161" s="222"/>
      <c r="DE161" s="222"/>
      <c r="DF161" s="222"/>
      <c r="DG161" s="222"/>
      <c r="DH161" s="222"/>
      <c r="DI161" s="222"/>
      <c r="DJ161" s="222"/>
      <c r="DK161" s="222"/>
      <c r="DL161" s="222"/>
      <c r="DM161" s="222"/>
      <c r="DN161" s="222"/>
      <c r="DO161" s="222"/>
      <c r="DP161" s="222"/>
      <c r="DQ161" s="222"/>
      <c r="DR161" s="222"/>
      <c r="DS161" s="222"/>
      <c r="DT161" s="222"/>
      <c r="DU161" s="222"/>
      <c r="DV161" s="222"/>
      <c r="DW161" s="325"/>
      <c r="DX161" s="325"/>
      <c r="DY161" s="325"/>
      <c r="DZ161" s="325"/>
      <c r="EA161" s="325"/>
      <c r="EB161" s="325"/>
      <c r="EC161" s="325"/>
      <c r="ED161" s="325"/>
      <c r="EE161" s="325"/>
      <c r="EF161" s="325"/>
      <c r="EG161" s="325"/>
      <c r="EH161" s="325"/>
    </row>
    <row r="162" spans="1:138" hidden="1">
      <c r="A162" s="222"/>
      <c r="B162" s="318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222"/>
      <c r="AF162" s="222"/>
      <c r="AG162" s="222"/>
      <c r="AH162" s="222"/>
      <c r="AI162" s="222"/>
      <c r="AJ162" s="222"/>
      <c r="AK162" s="222"/>
      <c r="AL162" s="222"/>
      <c r="AM162" s="222"/>
      <c r="AN162" s="222"/>
      <c r="AO162" s="222"/>
      <c r="AP162" s="222"/>
      <c r="AQ162" s="222"/>
      <c r="AR162" s="222"/>
      <c r="AS162" s="222"/>
      <c r="AT162" s="222"/>
      <c r="AU162" s="222"/>
      <c r="AV162" s="222"/>
      <c r="AW162" s="222"/>
      <c r="AX162" s="222"/>
      <c r="AY162" s="222"/>
      <c r="AZ162" s="222"/>
      <c r="BA162" s="222"/>
      <c r="BB162" s="222"/>
      <c r="BC162" s="222"/>
      <c r="BD162" s="222"/>
      <c r="BE162" s="222"/>
      <c r="BF162" s="222"/>
      <c r="BG162" s="222"/>
      <c r="BH162" s="222"/>
      <c r="BI162" s="222"/>
      <c r="BJ162" s="222"/>
      <c r="BK162" s="222"/>
      <c r="BL162" s="222"/>
      <c r="BM162" s="222"/>
      <c r="BN162" s="222"/>
      <c r="BO162" s="222"/>
      <c r="BP162" s="222"/>
      <c r="BQ162" s="222"/>
      <c r="BR162" s="222"/>
      <c r="BS162" s="222"/>
      <c r="BT162" s="222"/>
      <c r="BU162" s="222"/>
      <c r="BV162" s="222"/>
      <c r="BW162" s="222"/>
      <c r="BX162" s="222"/>
      <c r="BY162" s="222"/>
      <c r="BZ162" s="222"/>
      <c r="CA162" s="222"/>
      <c r="CB162" s="222"/>
      <c r="CC162" s="222"/>
      <c r="CD162" s="222"/>
      <c r="CE162" s="222"/>
      <c r="CF162" s="222"/>
      <c r="CG162" s="222"/>
      <c r="CH162" s="222"/>
      <c r="CI162" s="222"/>
      <c r="CJ162" s="222"/>
      <c r="CK162" s="222"/>
      <c r="CL162" s="222"/>
      <c r="CM162" s="222"/>
      <c r="CN162" s="222"/>
      <c r="CO162" s="222"/>
      <c r="CP162" s="222"/>
      <c r="CQ162" s="222"/>
      <c r="CR162" s="222"/>
      <c r="CS162" s="222"/>
      <c r="CT162" s="222"/>
      <c r="CU162" s="222"/>
      <c r="CV162" s="222"/>
      <c r="CW162" s="222"/>
      <c r="CX162" s="222"/>
      <c r="CY162" s="222"/>
      <c r="CZ162" s="222"/>
      <c r="DA162" s="222"/>
      <c r="DB162" s="222"/>
      <c r="DC162" s="222"/>
      <c r="DD162" s="222"/>
      <c r="DE162" s="222"/>
      <c r="DF162" s="222"/>
      <c r="DG162" s="222"/>
      <c r="DH162" s="222"/>
      <c r="DI162" s="222"/>
      <c r="DJ162" s="222"/>
      <c r="DK162" s="222"/>
      <c r="DL162" s="222"/>
      <c r="DM162" s="222"/>
      <c r="DN162" s="222"/>
      <c r="DO162" s="222"/>
      <c r="DP162" s="222"/>
      <c r="DQ162" s="222"/>
      <c r="DR162" s="222"/>
      <c r="DS162" s="222"/>
      <c r="DT162" s="222"/>
      <c r="DU162" s="222"/>
      <c r="DV162" s="222"/>
      <c r="DW162" s="325"/>
      <c r="DX162" s="325"/>
      <c r="DY162" s="325"/>
      <c r="DZ162" s="325"/>
      <c r="EA162" s="325"/>
      <c r="EB162" s="325"/>
      <c r="EC162" s="325"/>
      <c r="ED162" s="325"/>
      <c r="EE162" s="325"/>
      <c r="EF162" s="325"/>
      <c r="EG162" s="325"/>
      <c r="EH162" s="325"/>
    </row>
    <row r="163" spans="1:138" hidden="1">
      <c r="A163" s="222"/>
      <c r="B163" s="318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22"/>
      <c r="AD163" s="222"/>
      <c r="AE163" s="222"/>
      <c r="AF163" s="222"/>
      <c r="AG163" s="222"/>
      <c r="AH163" s="222"/>
      <c r="AI163" s="222"/>
      <c r="AJ163" s="222"/>
      <c r="AK163" s="222"/>
      <c r="AL163" s="222"/>
      <c r="AM163" s="222"/>
      <c r="AN163" s="222"/>
      <c r="AO163" s="222"/>
      <c r="AP163" s="222"/>
      <c r="AQ163" s="222"/>
      <c r="AR163" s="222"/>
      <c r="AS163" s="222"/>
      <c r="AT163" s="222"/>
      <c r="AU163" s="222"/>
      <c r="AV163" s="222"/>
      <c r="AW163" s="222"/>
      <c r="AX163" s="222"/>
      <c r="AY163" s="222"/>
      <c r="AZ163" s="222"/>
      <c r="BA163" s="222"/>
      <c r="BB163" s="222"/>
      <c r="BC163" s="222"/>
      <c r="BD163" s="222"/>
      <c r="BE163" s="222"/>
      <c r="BF163" s="222"/>
      <c r="BG163" s="222"/>
      <c r="BH163" s="222"/>
      <c r="BI163" s="222"/>
      <c r="BJ163" s="222"/>
      <c r="BK163" s="222"/>
      <c r="BL163" s="222"/>
      <c r="BM163" s="222"/>
      <c r="BN163" s="222"/>
      <c r="BO163" s="222"/>
      <c r="BP163" s="222"/>
      <c r="BQ163" s="222"/>
      <c r="BR163" s="222"/>
      <c r="BS163" s="222"/>
      <c r="BT163" s="222"/>
      <c r="BU163" s="222"/>
      <c r="BV163" s="222"/>
      <c r="BW163" s="222"/>
      <c r="BX163" s="222"/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  <c r="CJ163" s="222"/>
      <c r="CK163" s="222"/>
      <c r="CL163" s="222"/>
      <c r="CM163" s="222"/>
      <c r="CN163" s="222"/>
      <c r="CO163" s="222"/>
      <c r="CP163" s="222"/>
      <c r="CQ163" s="222"/>
      <c r="CR163" s="222"/>
      <c r="CS163" s="222"/>
      <c r="CT163" s="222"/>
      <c r="CU163" s="222"/>
      <c r="CV163" s="222"/>
      <c r="CW163" s="222"/>
      <c r="CX163" s="222"/>
      <c r="CY163" s="222"/>
      <c r="CZ163" s="222"/>
      <c r="DA163" s="222"/>
      <c r="DB163" s="222"/>
      <c r="DC163" s="222"/>
      <c r="DD163" s="222"/>
      <c r="DE163" s="222"/>
      <c r="DF163" s="222"/>
      <c r="DG163" s="222"/>
      <c r="DH163" s="222"/>
      <c r="DI163" s="222"/>
      <c r="DJ163" s="222"/>
      <c r="DK163" s="222"/>
      <c r="DL163" s="222"/>
      <c r="DM163" s="222"/>
      <c r="DN163" s="222"/>
      <c r="DO163" s="222"/>
      <c r="DP163" s="222"/>
      <c r="DQ163" s="222"/>
      <c r="DR163" s="222"/>
      <c r="DS163" s="222"/>
      <c r="DT163" s="222"/>
      <c r="DU163" s="222"/>
      <c r="DV163" s="222"/>
      <c r="DW163" s="325"/>
      <c r="DX163" s="325"/>
      <c r="DY163" s="325"/>
      <c r="DZ163" s="325"/>
      <c r="EA163" s="325"/>
      <c r="EB163" s="325"/>
      <c r="EC163" s="325"/>
      <c r="ED163" s="325"/>
      <c r="EE163" s="325"/>
      <c r="EF163" s="325"/>
      <c r="EG163" s="325"/>
      <c r="EH163" s="325"/>
    </row>
    <row r="164" spans="1:138" hidden="1">
      <c r="A164" s="222"/>
      <c r="B164" s="318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22"/>
      <c r="AD164" s="222"/>
      <c r="AE164" s="222"/>
      <c r="AF164" s="222"/>
      <c r="AG164" s="222"/>
      <c r="AH164" s="222"/>
      <c r="AI164" s="222"/>
      <c r="AJ164" s="222"/>
      <c r="AK164" s="222"/>
      <c r="AL164" s="222"/>
      <c r="AM164" s="222"/>
      <c r="AN164" s="222"/>
      <c r="AO164" s="222"/>
      <c r="AP164" s="222"/>
      <c r="AQ164" s="222"/>
      <c r="AR164" s="222"/>
      <c r="AS164" s="222"/>
      <c r="AT164" s="222"/>
      <c r="AU164" s="222"/>
      <c r="AV164" s="222"/>
      <c r="AW164" s="222"/>
      <c r="AX164" s="222"/>
      <c r="AY164" s="222"/>
      <c r="AZ164" s="222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2"/>
      <c r="BK164" s="222"/>
      <c r="BL164" s="222"/>
      <c r="BM164" s="222"/>
      <c r="BN164" s="222"/>
      <c r="BO164" s="222"/>
      <c r="BP164" s="222"/>
      <c r="BQ164" s="222"/>
      <c r="BR164" s="222"/>
      <c r="BS164" s="222"/>
      <c r="BT164" s="222"/>
      <c r="BU164" s="222"/>
      <c r="BV164" s="222"/>
      <c r="BW164" s="222"/>
      <c r="BX164" s="222"/>
      <c r="BY164" s="222"/>
      <c r="BZ164" s="222"/>
      <c r="CA164" s="222"/>
      <c r="CB164" s="222"/>
      <c r="CC164" s="222"/>
      <c r="CD164" s="222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2"/>
      <c r="CV164" s="222"/>
      <c r="CW164" s="222"/>
      <c r="CX164" s="222"/>
      <c r="CY164" s="222"/>
      <c r="CZ164" s="222"/>
      <c r="DA164" s="222"/>
      <c r="DB164" s="222"/>
      <c r="DC164" s="222"/>
      <c r="DD164" s="222"/>
      <c r="DE164" s="222"/>
      <c r="DF164" s="222"/>
      <c r="DG164" s="222"/>
      <c r="DH164" s="222"/>
      <c r="DI164" s="222"/>
      <c r="DJ164" s="222"/>
      <c r="DK164" s="222"/>
      <c r="DL164" s="222"/>
      <c r="DM164" s="222"/>
      <c r="DN164" s="222"/>
      <c r="DO164" s="222"/>
      <c r="DP164" s="222"/>
      <c r="DQ164" s="222"/>
      <c r="DR164" s="222"/>
      <c r="DS164" s="222"/>
      <c r="DT164" s="222"/>
      <c r="DU164" s="222"/>
      <c r="DV164" s="222"/>
      <c r="DW164" s="325"/>
      <c r="DX164" s="325"/>
      <c r="DY164" s="325"/>
      <c r="DZ164" s="325"/>
      <c r="EA164" s="325"/>
      <c r="EB164" s="325"/>
      <c r="EC164" s="325"/>
      <c r="ED164" s="325"/>
      <c r="EE164" s="325"/>
      <c r="EF164" s="325"/>
      <c r="EG164" s="325"/>
      <c r="EH164" s="325"/>
    </row>
    <row r="165" spans="1:138" hidden="1">
      <c r="A165" s="222"/>
      <c r="B165" s="318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22"/>
      <c r="AK165" s="222"/>
      <c r="AL165" s="222"/>
      <c r="AM165" s="222"/>
      <c r="AN165" s="222"/>
      <c r="AO165" s="222"/>
      <c r="AP165" s="222"/>
      <c r="AQ165" s="222"/>
      <c r="AR165" s="222"/>
      <c r="AS165" s="222"/>
      <c r="AT165" s="222"/>
      <c r="AU165" s="222"/>
      <c r="AV165" s="222"/>
      <c r="AW165" s="222"/>
      <c r="AX165" s="222"/>
      <c r="AY165" s="222"/>
      <c r="AZ165" s="222"/>
      <c r="BA165" s="222"/>
      <c r="BB165" s="222"/>
      <c r="BC165" s="222"/>
      <c r="BD165" s="222"/>
      <c r="BE165" s="222"/>
      <c r="BF165" s="222"/>
      <c r="BG165" s="222"/>
      <c r="BH165" s="222"/>
      <c r="BI165" s="222"/>
      <c r="BJ165" s="222"/>
      <c r="BK165" s="222"/>
      <c r="BL165" s="222"/>
      <c r="BM165" s="222"/>
      <c r="BN165" s="222"/>
      <c r="BO165" s="222"/>
      <c r="BP165" s="222"/>
      <c r="BQ165" s="222"/>
      <c r="BR165" s="222"/>
      <c r="BS165" s="222"/>
      <c r="BT165" s="222"/>
      <c r="BU165" s="222"/>
      <c r="BV165" s="222"/>
      <c r="BW165" s="222"/>
      <c r="BX165" s="222"/>
      <c r="BY165" s="222"/>
      <c r="BZ165" s="222"/>
      <c r="CA165" s="222"/>
      <c r="CB165" s="222"/>
      <c r="CC165" s="222"/>
      <c r="CD165" s="222"/>
      <c r="CE165" s="222"/>
      <c r="CF165" s="222"/>
      <c r="CG165" s="222"/>
      <c r="CH165" s="222"/>
      <c r="CI165" s="222"/>
      <c r="CJ165" s="222"/>
      <c r="CK165" s="222"/>
      <c r="CL165" s="222"/>
      <c r="CM165" s="222"/>
      <c r="CN165" s="222"/>
      <c r="CO165" s="222"/>
      <c r="CP165" s="222"/>
      <c r="CQ165" s="222"/>
      <c r="CR165" s="222"/>
      <c r="CS165" s="222"/>
      <c r="CT165" s="222"/>
      <c r="CU165" s="222"/>
      <c r="CV165" s="222"/>
      <c r="CW165" s="222"/>
      <c r="CX165" s="222"/>
      <c r="CY165" s="222"/>
      <c r="CZ165" s="222"/>
      <c r="DA165" s="222"/>
      <c r="DB165" s="222"/>
      <c r="DC165" s="222"/>
      <c r="DD165" s="222"/>
      <c r="DE165" s="222"/>
      <c r="DF165" s="222"/>
      <c r="DG165" s="222"/>
      <c r="DH165" s="222"/>
      <c r="DI165" s="222"/>
      <c r="DJ165" s="222"/>
      <c r="DK165" s="222"/>
      <c r="DL165" s="222"/>
      <c r="DM165" s="222"/>
      <c r="DN165" s="222"/>
      <c r="DO165" s="222"/>
      <c r="DP165" s="222"/>
      <c r="DQ165" s="222"/>
      <c r="DR165" s="222"/>
      <c r="DS165" s="222"/>
      <c r="DT165" s="222"/>
      <c r="DU165" s="222"/>
      <c r="DV165" s="222"/>
      <c r="DW165" s="325"/>
      <c r="DX165" s="325"/>
      <c r="DY165" s="325"/>
      <c r="DZ165" s="325"/>
      <c r="EA165" s="325"/>
      <c r="EB165" s="325"/>
      <c r="EC165" s="325"/>
      <c r="ED165" s="325"/>
      <c r="EE165" s="325"/>
      <c r="EF165" s="325"/>
      <c r="EG165" s="325"/>
      <c r="EH165" s="325"/>
    </row>
    <row r="166" spans="1:138" hidden="1">
      <c r="A166" s="222"/>
      <c r="B166" s="318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22"/>
      <c r="AD166" s="222"/>
      <c r="AE166" s="222"/>
      <c r="AF166" s="222"/>
      <c r="AG166" s="222"/>
      <c r="AH166" s="222"/>
      <c r="AI166" s="222"/>
      <c r="AJ166" s="222"/>
      <c r="AK166" s="222"/>
      <c r="AL166" s="222"/>
      <c r="AM166" s="222"/>
      <c r="AN166" s="222"/>
      <c r="AO166" s="222"/>
      <c r="AP166" s="222"/>
      <c r="AQ166" s="222"/>
      <c r="AR166" s="222"/>
      <c r="AS166" s="222"/>
      <c r="AT166" s="222"/>
      <c r="AU166" s="222"/>
      <c r="AV166" s="222"/>
      <c r="AW166" s="222"/>
      <c r="AX166" s="222"/>
      <c r="AY166" s="222"/>
      <c r="AZ166" s="222"/>
      <c r="BA166" s="222"/>
      <c r="BB166" s="222"/>
      <c r="BC166" s="222"/>
      <c r="BD166" s="222"/>
      <c r="BE166" s="222"/>
      <c r="BF166" s="222"/>
      <c r="BG166" s="222"/>
      <c r="BH166" s="222"/>
      <c r="BI166" s="222"/>
      <c r="BJ166" s="222"/>
      <c r="BK166" s="222"/>
      <c r="BL166" s="222"/>
      <c r="BM166" s="222"/>
      <c r="BN166" s="222"/>
      <c r="BO166" s="222"/>
      <c r="BP166" s="222"/>
      <c r="BQ166" s="222"/>
      <c r="BR166" s="222"/>
      <c r="BS166" s="222"/>
      <c r="BT166" s="222"/>
      <c r="BU166" s="222"/>
      <c r="BV166" s="222"/>
      <c r="BW166" s="222"/>
      <c r="BX166" s="222"/>
      <c r="BY166" s="222"/>
      <c r="BZ166" s="222"/>
      <c r="CA166" s="222"/>
      <c r="CB166" s="222"/>
      <c r="CC166" s="222"/>
      <c r="CD166" s="222"/>
      <c r="CE166" s="222"/>
      <c r="CF166" s="222"/>
      <c r="CG166" s="222"/>
      <c r="CH166" s="222"/>
      <c r="CI166" s="222"/>
      <c r="CJ166" s="222"/>
      <c r="CK166" s="222"/>
      <c r="CL166" s="222"/>
      <c r="CM166" s="222"/>
      <c r="CN166" s="222"/>
      <c r="CO166" s="222"/>
      <c r="CP166" s="222"/>
      <c r="CQ166" s="222"/>
      <c r="CR166" s="222"/>
      <c r="CS166" s="222"/>
      <c r="CT166" s="222"/>
      <c r="CU166" s="222"/>
      <c r="CV166" s="222"/>
      <c r="CW166" s="222"/>
      <c r="CX166" s="222"/>
      <c r="CY166" s="222"/>
      <c r="CZ166" s="222"/>
      <c r="DA166" s="222"/>
      <c r="DB166" s="222"/>
      <c r="DC166" s="222"/>
      <c r="DD166" s="222"/>
      <c r="DE166" s="222"/>
      <c r="DF166" s="222"/>
      <c r="DG166" s="222"/>
      <c r="DH166" s="222"/>
      <c r="DI166" s="222"/>
      <c r="DJ166" s="222"/>
      <c r="DK166" s="222"/>
      <c r="DL166" s="222"/>
      <c r="DM166" s="222"/>
      <c r="DN166" s="222"/>
      <c r="DO166" s="222"/>
      <c r="DP166" s="222"/>
      <c r="DQ166" s="222"/>
      <c r="DR166" s="222"/>
      <c r="DS166" s="222"/>
      <c r="DT166" s="222"/>
      <c r="DU166" s="222"/>
      <c r="DV166" s="222"/>
      <c r="DW166" s="325"/>
      <c r="DX166" s="325"/>
      <c r="DY166" s="325"/>
      <c r="DZ166" s="325"/>
      <c r="EA166" s="325"/>
      <c r="EB166" s="325"/>
      <c r="EC166" s="325"/>
      <c r="ED166" s="325"/>
      <c r="EE166" s="325"/>
      <c r="EF166" s="325"/>
      <c r="EG166" s="325"/>
      <c r="EH166" s="325"/>
    </row>
    <row r="167" spans="1:138" hidden="1">
      <c r="A167" s="222"/>
      <c r="B167" s="318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222"/>
      <c r="AF167" s="222"/>
      <c r="AG167" s="222"/>
      <c r="AH167" s="222"/>
      <c r="AI167" s="222"/>
      <c r="AJ167" s="222"/>
      <c r="AK167" s="222"/>
      <c r="AL167" s="222"/>
      <c r="AM167" s="222"/>
      <c r="AN167" s="222"/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2"/>
      <c r="BN167" s="222"/>
      <c r="BO167" s="222"/>
      <c r="BP167" s="222"/>
      <c r="BQ167" s="222"/>
      <c r="BR167" s="222"/>
      <c r="BS167" s="222"/>
      <c r="BT167" s="222"/>
      <c r="BU167" s="222"/>
      <c r="BV167" s="222"/>
      <c r="BW167" s="222"/>
      <c r="BX167" s="222"/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  <c r="CJ167" s="222"/>
      <c r="CK167" s="222"/>
      <c r="CL167" s="222"/>
      <c r="CM167" s="222"/>
      <c r="CN167" s="222"/>
      <c r="CO167" s="222"/>
      <c r="CP167" s="222"/>
      <c r="CQ167" s="222"/>
      <c r="CR167" s="222"/>
      <c r="CS167" s="222"/>
      <c r="CT167" s="222"/>
      <c r="CU167" s="222"/>
      <c r="CV167" s="222"/>
      <c r="CW167" s="222"/>
      <c r="CX167" s="222"/>
      <c r="CY167" s="222"/>
      <c r="CZ167" s="222"/>
      <c r="DA167" s="222"/>
      <c r="DB167" s="222"/>
      <c r="DC167" s="222"/>
      <c r="DD167" s="222"/>
      <c r="DE167" s="222"/>
      <c r="DF167" s="222"/>
      <c r="DG167" s="222"/>
      <c r="DH167" s="222"/>
      <c r="DI167" s="222"/>
      <c r="DJ167" s="222"/>
      <c r="DK167" s="222"/>
      <c r="DL167" s="222"/>
      <c r="DM167" s="222"/>
      <c r="DN167" s="222"/>
      <c r="DO167" s="222"/>
      <c r="DP167" s="222"/>
      <c r="DQ167" s="222"/>
      <c r="DR167" s="222"/>
      <c r="DS167" s="222"/>
      <c r="DT167" s="222"/>
      <c r="DU167" s="222"/>
      <c r="DV167" s="222"/>
      <c r="DW167" s="325"/>
      <c r="DX167" s="325"/>
      <c r="DY167" s="325"/>
      <c r="DZ167" s="325"/>
      <c r="EA167" s="325"/>
      <c r="EB167" s="325"/>
      <c r="EC167" s="325"/>
      <c r="ED167" s="325"/>
      <c r="EE167" s="325"/>
      <c r="EF167" s="325"/>
      <c r="EG167" s="325"/>
      <c r="EH167" s="325"/>
    </row>
    <row r="168" spans="1:138" hidden="1">
      <c r="A168" s="222"/>
      <c r="B168" s="318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222"/>
      <c r="AF168" s="222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222"/>
      <c r="AR168" s="222"/>
      <c r="AS168" s="222"/>
      <c r="AT168" s="222"/>
      <c r="AU168" s="222"/>
      <c r="AV168" s="222"/>
      <c r="AW168" s="222"/>
      <c r="AX168" s="222"/>
      <c r="AY168" s="222"/>
      <c r="AZ168" s="222"/>
      <c r="BA168" s="222"/>
      <c r="BB168" s="222"/>
      <c r="BC168" s="222"/>
      <c r="BD168" s="222"/>
      <c r="BE168" s="222"/>
      <c r="BF168" s="222"/>
      <c r="BG168" s="222"/>
      <c r="BH168" s="222"/>
      <c r="BI168" s="222"/>
      <c r="BJ168" s="222"/>
      <c r="BK168" s="222"/>
      <c r="BL168" s="222"/>
      <c r="BM168" s="222"/>
      <c r="BN168" s="222"/>
      <c r="BO168" s="222"/>
      <c r="BP168" s="222"/>
      <c r="BQ168" s="222"/>
      <c r="BR168" s="222"/>
      <c r="BS168" s="222"/>
      <c r="BT168" s="222"/>
      <c r="BU168" s="222"/>
      <c r="BV168" s="222"/>
      <c r="BW168" s="222"/>
      <c r="BX168" s="222"/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  <c r="CJ168" s="222"/>
      <c r="CK168" s="222"/>
      <c r="CL168" s="222"/>
      <c r="CM168" s="222"/>
      <c r="CN168" s="222"/>
      <c r="CO168" s="222"/>
      <c r="CP168" s="222"/>
      <c r="CQ168" s="222"/>
      <c r="CR168" s="222"/>
      <c r="CS168" s="222"/>
      <c r="CT168" s="222"/>
      <c r="CU168" s="222"/>
      <c r="CV168" s="222"/>
      <c r="CW168" s="222"/>
      <c r="CX168" s="222"/>
      <c r="CY168" s="222"/>
      <c r="CZ168" s="222"/>
      <c r="DA168" s="222"/>
      <c r="DB168" s="222"/>
      <c r="DC168" s="222"/>
      <c r="DD168" s="222"/>
      <c r="DE168" s="222"/>
      <c r="DF168" s="222"/>
      <c r="DG168" s="222"/>
      <c r="DH168" s="222"/>
      <c r="DI168" s="222"/>
      <c r="DJ168" s="222"/>
      <c r="DK168" s="222"/>
      <c r="DL168" s="222"/>
      <c r="DM168" s="222"/>
      <c r="DN168" s="222"/>
      <c r="DO168" s="222"/>
      <c r="DP168" s="222"/>
      <c r="DQ168" s="222"/>
      <c r="DR168" s="222"/>
      <c r="DS168" s="222"/>
      <c r="DT168" s="222"/>
      <c r="DU168" s="222"/>
      <c r="DV168" s="222"/>
      <c r="DW168" s="325"/>
      <c r="DX168" s="325"/>
      <c r="DY168" s="325"/>
      <c r="DZ168" s="325"/>
      <c r="EA168" s="325"/>
      <c r="EB168" s="325"/>
      <c r="EC168" s="325"/>
      <c r="ED168" s="325"/>
      <c r="EE168" s="325"/>
      <c r="EF168" s="325"/>
      <c r="EG168" s="325"/>
      <c r="EH168" s="325"/>
    </row>
    <row r="169" spans="1:138" hidden="1">
      <c r="A169" s="222"/>
      <c r="B169" s="318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222"/>
      <c r="AF169" s="222"/>
      <c r="AG169" s="222"/>
      <c r="AH169" s="222"/>
      <c r="AI169" s="222"/>
      <c r="AJ169" s="222"/>
      <c r="AK169" s="222"/>
      <c r="AL169" s="222"/>
      <c r="AM169" s="222"/>
      <c r="AN169" s="222"/>
      <c r="AO169" s="222"/>
      <c r="AP169" s="222"/>
      <c r="AQ169" s="222"/>
      <c r="AR169" s="222"/>
      <c r="AS169" s="222"/>
      <c r="AT169" s="222"/>
      <c r="AU169" s="222"/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222"/>
      <c r="BN169" s="222"/>
      <c r="BO169" s="222"/>
      <c r="BP169" s="222"/>
      <c r="BQ169" s="222"/>
      <c r="BR169" s="222"/>
      <c r="BS169" s="222"/>
      <c r="BT169" s="222"/>
      <c r="BU169" s="222"/>
      <c r="BV169" s="222"/>
      <c r="BW169" s="222"/>
      <c r="BX169" s="222"/>
      <c r="BY169" s="222"/>
      <c r="BZ169" s="222"/>
      <c r="CA169" s="222"/>
      <c r="CB169" s="222"/>
      <c r="CC169" s="222"/>
      <c r="CD169" s="222"/>
      <c r="CE169" s="222"/>
      <c r="CF169" s="222"/>
      <c r="CG169" s="222"/>
      <c r="CH169" s="222"/>
      <c r="CI169" s="222"/>
      <c r="CJ169" s="222"/>
      <c r="CK169" s="222"/>
      <c r="CL169" s="222"/>
      <c r="CM169" s="222"/>
      <c r="CN169" s="222"/>
      <c r="CO169" s="222"/>
      <c r="CP169" s="222"/>
      <c r="CQ169" s="222"/>
      <c r="CR169" s="222"/>
      <c r="CS169" s="222"/>
      <c r="CT169" s="222"/>
      <c r="CU169" s="222"/>
      <c r="CV169" s="222"/>
      <c r="CW169" s="222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2"/>
      <c r="DI169" s="222"/>
      <c r="DJ169" s="222"/>
      <c r="DK169" s="222"/>
      <c r="DL169" s="222"/>
      <c r="DM169" s="222"/>
      <c r="DN169" s="222"/>
      <c r="DO169" s="222"/>
      <c r="DP169" s="222"/>
      <c r="DQ169" s="222"/>
      <c r="DR169" s="222"/>
      <c r="DS169" s="222"/>
      <c r="DT169" s="222"/>
      <c r="DU169" s="222"/>
      <c r="DV169" s="222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</row>
    <row r="170" spans="1:138" hidden="1">
      <c r="A170" s="222"/>
      <c r="B170" s="318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  <c r="BQ170" s="222"/>
      <c r="BR170" s="222"/>
      <c r="BS170" s="222"/>
      <c r="BT170" s="222"/>
      <c r="BU170" s="222"/>
      <c r="BV170" s="222"/>
      <c r="BW170" s="222"/>
      <c r="BX170" s="222"/>
      <c r="BY170" s="222"/>
      <c r="BZ170" s="222"/>
      <c r="CA170" s="222"/>
      <c r="CB170" s="222"/>
      <c r="CC170" s="222"/>
      <c r="CD170" s="222"/>
      <c r="CE170" s="222"/>
      <c r="CF170" s="222"/>
      <c r="CG170" s="222"/>
      <c r="CH170" s="222"/>
      <c r="CI170" s="222"/>
      <c r="CJ170" s="222"/>
      <c r="CK170" s="222"/>
      <c r="CL170" s="222"/>
      <c r="CM170" s="222"/>
      <c r="CN170" s="222"/>
      <c r="CO170" s="222"/>
      <c r="CP170" s="222"/>
      <c r="CQ170" s="222"/>
      <c r="CR170" s="222"/>
      <c r="CS170" s="222"/>
      <c r="CT170" s="222"/>
      <c r="CU170" s="222"/>
      <c r="CV170" s="222"/>
      <c r="CW170" s="222"/>
      <c r="CX170" s="222"/>
      <c r="CY170" s="222"/>
      <c r="CZ170" s="222"/>
      <c r="DA170" s="222"/>
      <c r="DB170" s="222"/>
      <c r="DC170" s="222"/>
      <c r="DD170" s="222"/>
      <c r="DE170" s="222"/>
      <c r="DF170" s="222"/>
      <c r="DG170" s="222"/>
      <c r="DH170" s="222"/>
      <c r="DI170" s="222"/>
      <c r="DJ170" s="222"/>
      <c r="DK170" s="222"/>
      <c r="DL170" s="222"/>
      <c r="DM170" s="222"/>
      <c r="DN170" s="222"/>
      <c r="DO170" s="222"/>
      <c r="DP170" s="222"/>
      <c r="DQ170" s="222"/>
      <c r="DR170" s="222"/>
      <c r="DS170" s="222"/>
      <c r="DT170" s="222"/>
      <c r="DU170" s="222"/>
      <c r="DV170" s="222"/>
      <c r="DW170" s="325"/>
      <c r="DX170" s="325"/>
      <c r="DY170" s="325"/>
      <c r="DZ170" s="325"/>
      <c r="EA170" s="325"/>
      <c r="EB170" s="325"/>
      <c r="EC170" s="325"/>
      <c r="ED170" s="325"/>
      <c r="EE170" s="325"/>
      <c r="EF170" s="325"/>
      <c r="EG170" s="325"/>
      <c r="EH170" s="325"/>
    </row>
    <row r="171" spans="1:138" hidden="1">
      <c r="A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  <c r="BQ171" s="222"/>
      <c r="BR171" s="222"/>
      <c r="BS171" s="222"/>
      <c r="BT171" s="222"/>
      <c r="BU171" s="222"/>
      <c r="BV171" s="222"/>
      <c r="BW171" s="222"/>
      <c r="BX171" s="222"/>
      <c r="BY171" s="222"/>
      <c r="BZ171" s="222"/>
      <c r="CA171" s="222"/>
      <c r="CB171" s="222"/>
      <c r="CC171" s="222"/>
      <c r="CD171" s="222"/>
      <c r="CE171" s="222"/>
      <c r="CF171" s="222"/>
      <c r="CG171" s="222"/>
      <c r="CH171" s="222"/>
      <c r="CI171" s="222"/>
      <c r="CJ171" s="222"/>
      <c r="CK171" s="222"/>
      <c r="CL171" s="222"/>
      <c r="CM171" s="222"/>
      <c r="CN171" s="222"/>
      <c r="CO171" s="222"/>
      <c r="CP171" s="222"/>
      <c r="CQ171" s="222"/>
      <c r="CR171" s="222"/>
      <c r="CS171" s="222"/>
      <c r="CT171" s="222"/>
      <c r="CU171" s="222"/>
      <c r="CV171" s="222"/>
      <c r="CW171" s="222"/>
      <c r="CX171" s="222"/>
      <c r="CY171" s="222"/>
      <c r="CZ171" s="222"/>
      <c r="DA171" s="222"/>
      <c r="DB171" s="222"/>
      <c r="DC171" s="222"/>
      <c r="DD171" s="222"/>
      <c r="DE171" s="222"/>
      <c r="DF171" s="222"/>
      <c r="DG171" s="222"/>
      <c r="DH171" s="222"/>
      <c r="DI171" s="222"/>
      <c r="DJ171" s="222"/>
      <c r="DK171" s="222"/>
      <c r="DL171" s="222"/>
      <c r="DM171" s="222"/>
      <c r="DN171" s="222"/>
      <c r="DO171" s="222"/>
      <c r="DP171" s="222"/>
      <c r="DQ171" s="222"/>
      <c r="DR171" s="222"/>
      <c r="DS171" s="222"/>
      <c r="DT171" s="222"/>
      <c r="DU171" s="222"/>
      <c r="DV171" s="222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</row>
    <row r="172" spans="1:138" hidden="1">
      <c r="A172" s="222"/>
      <c r="B172" s="318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  <c r="BQ172" s="222"/>
      <c r="BR172" s="222"/>
      <c r="BS172" s="222"/>
      <c r="BT172" s="222"/>
      <c r="BU172" s="222"/>
      <c r="BV172" s="222"/>
      <c r="BW172" s="222"/>
      <c r="BX172" s="222"/>
      <c r="BY172" s="222"/>
      <c r="BZ172" s="222"/>
      <c r="CA172" s="222"/>
      <c r="CB172" s="222"/>
      <c r="CC172" s="222"/>
      <c r="CD172" s="222"/>
      <c r="CE172" s="222"/>
      <c r="CF172" s="222"/>
      <c r="CG172" s="222"/>
      <c r="CH172" s="222"/>
      <c r="CI172" s="222"/>
      <c r="CJ172" s="222"/>
      <c r="CK172" s="222"/>
      <c r="CL172" s="222"/>
      <c r="CM172" s="222"/>
      <c r="CN172" s="222"/>
      <c r="CO172" s="222"/>
      <c r="CP172" s="222"/>
      <c r="CQ172" s="222"/>
      <c r="CR172" s="222"/>
      <c r="CS172" s="222"/>
      <c r="CT172" s="222"/>
      <c r="CU172" s="222"/>
      <c r="CV172" s="222"/>
      <c r="CW172" s="222"/>
      <c r="CX172" s="222"/>
      <c r="CY172" s="222"/>
      <c r="CZ172" s="222"/>
      <c r="DA172" s="222"/>
      <c r="DB172" s="222"/>
      <c r="DC172" s="222"/>
      <c r="DD172" s="222"/>
      <c r="DE172" s="222"/>
      <c r="DF172" s="222"/>
      <c r="DG172" s="222"/>
      <c r="DH172" s="222"/>
      <c r="DI172" s="222"/>
      <c r="DJ172" s="222"/>
      <c r="DK172" s="222"/>
      <c r="DL172" s="222"/>
      <c r="DM172" s="222"/>
      <c r="DN172" s="222"/>
      <c r="DO172" s="222"/>
      <c r="DP172" s="222"/>
      <c r="DQ172" s="222"/>
      <c r="DR172" s="222"/>
      <c r="DS172" s="222"/>
      <c r="DT172" s="222"/>
      <c r="DU172" s="222"/>
      <c r="DV172" s="222"/>
      <c r="DW172" s="325"/>
      <c r="DX172" s="325"/>
      <c r="DY172" s="325"/>
      <c r="DZ172" s="325"/>
      <c r="EA172" s="325"/>
      <c r="EB172" s="325"/>
      <c r="EC172" s="325"/>
      <c r="ED172" s="325"/>
      <c r="EE172" s="325"/>
      <c r="EF172" s="325"/>
      <c r="EG172" s="325"/>
      <c r="EH172" s="325"/>
    </row>
    <row r="173" spans="1:138" hidden="1">
      <c r="A173" s="222"/>
      <c r="B173" s="318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/>
      <c r="BX173" s="222"/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  <c r="CJ173" s="222"/>
      <c r="CK173" s="222"/>
      <c r="CL173" s="222"/>
      <c r="CM173" s="222"/>
      <c r="CN173" s="222"/>
      <c r="CO173" s="222"/>
      <c r="CP173" s="222"/>
      <c r="CQ173" s="222"/>
      <c r="CR173" s="222"/>
      <c r="CS173" s="222"/>
      <c r="CT173" s="222"/>
      <c r="CU173" s="222"/>
      <c r="CV173" s="222"/>
      <c r="CW173" s="222"/>
      <c r="CX173" s="222"/>
      <c r="CY173" s="222"/>
      <c r="CZ173" s="222"/>
      <c r="DA173" s="222"/>
      <c r="DB173" s="222"/>
      <c r="DC173" s="222"/>
      <c r="DD173" s="222"/>
      <c r="DE173" s="222"/>
      <c r="DF173" s="222"/>
      <c r="DG173" s="222"/>
      <c r="DH173" s="222"/>
      <c r="DI173" s="222"/>
      <c r="DJ173" s="222"/>
      <c r="DK173" s="222"/>
      <c r="DL173" s="222"/>
      <c r="DM173" s="222"/>
      <c r="DN173" s="222"/>
      <c r="DO173" s="222"/>
      <c r="DP173" s="222"/>
      <c r="DQ173" s="222"/>
      <c r="DR173" s="222"/>
      <c r="DS173" s="222"/>
      <c r="DT173" s="222"/>
      <c r="DU173" s="222"/>
      <c r="DV173" s="222"/>
      <c r="DW173" s="325"/>
      <c r="DX173" s="325"/>
      <c r="DY173" s="325"/>
      <c r="DZ173" s="325"/>
      <c r="EA173" s="325"/>
      <c r="EB173" s="325"/>
      <c r="EC173" s="325"/>
      <c r="ED173" s="325"/>
      <c r="EE173" s="325"/>
      <c r="EF173" s="325"/>
      <c r="EG173" s="325"/>
      <c r="EH173" s="325"/>
    </row>
    <row r="174" spans="1:138" hidden="1">
      <c r="A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  <c r="BQ174" s="222"/>
      <c r="BR174" s="222"/>
      <c r="BS174" s="222"/>
      <c r="BT174" s="222"/>
      <c r="BU174" s="222"/>
      <c r="BV174" s="222"/>
      <c r="BW174" s="222"/>
      <c r="BX174" s="222"/>
      <c r="BY174" s="222"/>
      <c r="BZ174" s="222"/>
      <c r="CA174" s="222"/>
      <c r="CB174" s="222"/>
      <c r="CC174" s="222"/>
      <c r="CD174" s="222"/>
      <c r="CE174" s="222"/>
      <c r="CF174" s="222"/>
      <c r="CG174" s="222"/>
      <c r="CH174" s="222"/>
      <c r="CI174" s="222"/>
      <c r="CJ174" s="222"/>
      <c r="CK174" s="222"/>
      <c r="CL174" s="222"/>
      <c r="CM174" s="222"/>
      <c r="CN174" s="222"/>
      <c r="CO174" s="222"/>
      <c r="CP174" s="222"/>
      <c r="CQ174" s="222"/>
      <c r="CR174" s="222"/>
      <c r="CS174" s="222"/>
      <c r="CT174" s="222"/>
      <c r="CU174" s="222"/>
      <c r="CV174" s="222"/>
      <c r="CW174" s="222"/>
      <c r="CX174" s="222"/>
      <c r="CY174" s="222"/>
      <c r="CZ174" s="222"/>
      <c r="DA174" s="222"/>
      <c r="DB174" s="222"/>
      <c r="DC174" s="222"/>
      <c r="DD174" s="222"/>
      <c r="DE174" s="222"/>
      <c r="DF174" s="222"/>
      <c r="DG174" s="222"/>
      <c r="DH174" s="222"/>
      <c r="DI174" s="222"/>
      <c r="DJ174" s="222"/>
      <c r="DK174" s="222"/>
      <c r="DL174" s="222"/>
      <c r="DM174" s="222"/>
      <c r="DN174" s="222"/>
      <c r="DO174" s="222"/>
      <c r="DP174" s="222"/>
      <c r="DQ174" s="222"/>
      <c r="DR174" s="222"/>
      <c r="DS174" s="222"/>
      <c r="DT174" s="222"/>
      <c r="DU174" s="222"/>
      <c r="DV174" s="222"/>
      <c r="DW174" s="325"/>
      <c r="DX174" s="325"/>
      <c r="DY174" s="325"/>
      <c r="DZ174" s="325"/>
      <c r="EA174" s="325"/>
      <c r="EB174" s="325"/>
      <c r="EC174" s="325"/>
      <c r="ED174" s="325"/>
      <c r="EE174" s="325"/>
      <c r="EF174" s="325"/>
      <c r="EG174" s="325"/>
      <c r="EH174" s="325"/>
    </row>
    <row r="175" spans="1:138" hidden="1">
      <c r="A175" s="222"/>
      <c r="B175" s="318"/>
      <c r="C175" s="310" t="s">
        <v>307</v>
      </c>
      <c r="D175" s="311"/>
      <c r="E175" s="312">
        <f t="shared" ref="E175:G175" si="54">-(E24+E110)</f>
        <v>0</v>
      </c>
      <c r="F175" s="312">
        <f t="shared" si="54"/>
        <v>0</v>
      </c>
      <c r="G175" s="312">
        <f t="shared" si="54"/>
        <v>0</v>
      </c>
      <c r="H175" s="312">
        <f>-10682501</f>
        <v>-10682501</v>
      </c>
      <c r="I175" s="312">
        <v>0</v>
      </c>
      <c r="J175" s="312">
        <f>-(J24+J110)</f>
        <v>0</v>
      </c>
      <c r="K175" s="312">
        <v>0</v>
      </c>
      <c r="L175" s="312">
        <f t="shared" ref="L175:S175" si="55">-(L24+L110)</f>
        <v>0</v>
      </c>
      <c r="M175" s="312">
        <f t="shared" si="55"/>
        <v>0</v>
      </c>
      <c r="N175" s="312">
        <f t="shared" si="55"/>
        <v>0</v>
      </c>
      <c r="O175" s="312">
        <f t="shared" si="55"/>
        <v>0</v>
      </c>
      <c r="P175" s="312">
        <f t="shared" si="55"/>
        <v>0</v>
      </c>
      <c r="Q175" s="312">
        <f t="shared" si="55"/>
        <v>0</v>
      </c>
      <c r="R175" s="312">
        <f t="shared" si="55"/>
        <v>0</v>
      </c>
      <c r="S175" s="312">
        <f t="shared" si="55"/>
        <v>0</v>
      </c>
      <c r="T175" s="312">
        <f>-H175</f>
        <v>10682501</v>
      </c>
      <c r="U175" s="312">
        <f t="shared" ref="U175:BX175" si="56">-(U24+U110)</f>
        <v>0</v>
      </c>
      <c r="V175" s="312">
        <f t="shared" si="56"/>
        <v>0</v>
      </c>
      <c r="W175" s="312">
        <f t="shared" si="56"/>
        <v>0</v>
      </c>
      <c r="X175" s="312">
        <f t="shared" si="56"/>
        <v>0</v>
      </c>
      <c r="Y175" s="312">
        <f t="shared" si="56"/>
        <v>0</v>
      </c>
      <c r="Z175" s="312">
        <f t="shared" si="56"/>
        <v>0</v>
      </c>
      <c r="AA175" s="312">
        <f t="shared" si="56"/>
        <v>0</v>
      </c>
      <c r="AB175" s="312">
        <f t="shared" si="56"/>
        <v>0</v>
      </c>
      <c r="AC175" s="312">
        <f t="shared" si="56"/>
        <v>0</v>
      </c>
      <c r="AD175" s="312">
        <f t="shared" si="56"/>
        <v>0</v>
      </c>
      <c r="AE175" s="312">
        <f t="shared" si="56"/>
        <v>0</v>
      </c>
      <c r="AF175" s="312">
        <f t="shared" si="56"/>
        <v>0</v>
      </c>
      <c r="AG175" s="312">
        <f t="shared" si="56"/>
        <v>0</v>
      </c>
      <c r="AH175" s="312">
        <f t="shared" si="56"/>
        <v>0</v>
      </c>
      <c r="AI175" s="312">
        <f t="shared" si="56"/>
        <v>0</v>
      </c>
      <c r="AJ175" s="312">
        <f t="shared" si="56"/>
        <v>0</v>
      </c>
      <c r="AK175" s="312">
        <f t="shared" si="56"/>
        <v>0</v>
      </c>
      <c r="AL175" s="312">
        <f t="shared" si="56"/>
        <v>0</v>
      </c>
      <c r="AM175" s="312">
        <f t="shared" si="56"/>
        <v>0</v>
      </c>
      <c r="AN175" s="312">
        <f t="shared" si="56"/>
        <v>0</v>
      </c>
      <c r="AO175" s="312">
        <f t="shared" si="56"/>
        <v>0</v>
      </c>
      <c r="AP175" s="312">
        <f t="shared" si="56"/>
        <v>0</v>
      </c>
      <c r="AQ175" s="312">
        <f t="shared" si="56"/>
        <v>0</v>
      </c>
      <c r="AR175" s="312">
        <f t="shared" si="56"/>
        <v>0</v>
      </c>
      <c r="AS175" s="312">
        <f t="shared" si="56"/>
        <v>0</v>
      </c>
      <c r="AT175" s="312">
        <f t="shared" si="56"/>
        <v>0</v>
      </c>
      <c r="AU175" s="312">
        <f t="shared" si="56"/>
        <v>0</v>
      </c>
      <c r="AV175" s="312">
        <f t="shared" si="56"/>
        <v>0</v>
      </c>
      <c r="AW175" s="312">
        <f t="shared" si="56"/>
        <v>0</v>
      </c>
      <c r="AX175" s="312">
        <f t="shared" si="56"/>
        <v>0</v>
      </c>
      <c r="AY175" s="312">
        <f t="shared" si="56"/>
        <v>0</v>
      </c>
      <c r="AZ175" s="312">
        <f t="shared" si="56"/>
        <v>0</v>
      </c>
      <c r="BA175" s="312">
        <f t="shared" si="56"/>
        <v>0</v>
      </c>
      <c r="BB175" s="312">
        <f t="shared" si="56"/>
        <v>0</v>
      </c>
      <c r="BC175" s="312">
        <f t="shared" si="56"/>
        <v>0</v>
      </c>
      <c r="BD175" s="312">
        <f t="shared" si="56"/>
        <v>0</v>
      </c>
      <c r="BE175" s="312">
        <f t="shared" si="56"/>
        <v>0</v>
      </c>
      <c r="BF175" s="312">
        <f t="shared" si="56"/>
        <v>0</v>
      </c>
      <c r="BG175" s="312">
        <f t="shared" si="56"/>
        <v>0</v>
      </c>
      <c r="BH175" s="312">
        <f t="shared" si="56"/>
        <v>0</v>
      </c>
      <c r="BI175" s="312">
        <f t="shared" si="56"/>
        <v>0</v>
      </c>
      <c r="BJ175" s="312">
        <f t="shared" si="56"/>
        <v>0</v>
      </c>
      <c r="BK175" s="312">
        <f t="shared" si="56"/>
        <v>0</v>
      </c>
      <c r="BL175" s="312">
        <f t="shared" si="56"/>
        <v>0</v>
      </c>
      <c r="BM175" s="312">
        <f t="shared" si="56"/>
        <v>0</v>
      </c>
      <c r="BN175" s="312">
        <f t="shared" si="56"/>
        <v>0</v>
      </c>
      <c r="BO175" s="312">
        <f t="shared" si="56"/>
        <v>0</v>
      </c>
      <c r="BP175" s="312">
        <f t="shared" si="56"/>
        <v>0</v>
      </c>
      <c r="BQ175" s="312">
        <f t="shared" si="56"/>
        <v>0</v>
      </c>
      <c r="BR175" s="312">
        <f t="shared" si="56"/>
        <v>0</v>
      </c>
      <c r="BS175" s="312">
        <f t="shared" si="56"/>
        <v>0</v>
      </c>
      <c r="BT175" s="312">
        <f t="shared" si="56"/>
        <v>0</v>
      </c>
      <c r="BU175" s="312">
        <f t="shared" si="56"/>
        <v>0</v>
      </c>
      <c r="BV175" s="312">
        <f t="shared" si="56"/>
        <v>0</v>
      </c>
      <c r="BW175" s="312">
        <f t="shared" si="56"/>
        <v>0</v>
      </c>
      <c r="BX175" s="312">
        <f t="shared" si="56"/>
        <v>0</v>
      </c>
      <c r="BY175" s="222"/>
      <c r="BZ175" s="222"/>
      <c r="CA175" s="222"/>
      <c r="CB175" s="222"/>
      <c r="CC175" s="222"/>
      <c r="CD175" s="222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2"/>
      <c r="CV175" s="222"/>
      <c r="CW175" s="222"/>
      <c r="CX175" s="222"/>
      <c r="CY175" s="222"/>
      <c r="CZ175" s="222"/>
      <c r="DA175" s="222"/>
      <c r="DB175" s="222"/>
      <c r="DC175" s="222"/>
      <c r="DD175" s="222"/>
      <c r="DE175" s="222"/>
      <c r="DF175" s="222"/>
      <c r="DG175" s="222"/>
      <c r="DH175" s="222"/>
      <c r="DI175" s="222"/>
      <c r="DJ175" s="222"/>
      <c r="DK175" s="222"/>
      <c r="DL175" s="222"/>
      <c r="DM175" s="222"/>
      <c r="DN175" s="222"/>
      <c r="DO175" s="222"/>
      <c r="DP175" s="222"/>
      <c r="DQ175" s="222"/>
      <c r="DR175" s="222"/>
      <c r="DS175" s="222"/>
      <c r="DT175" s="222"/>
      <c r="DU175" s="222"/>
      <c r="DV175" s="222"/>
      <c r="DW175" s="222"/>
      <c r="DX175" s="222"/>
      <c r="DY175" s="222"/>
      <c r="DZ175" s="222"/>
      <c r="EA175" s="222"/>
      <c r="EB175" s="222"/>
      <c r="EC175" s="222"/>
      <c r="ED175" s="222"/>
      <c r="EE175" s="222"/>
      <c r="EF175" s="222"/>
      <c r="EG175" s="222"/>
      <c r="EH175" s="222"/>
    </row>
    <row r="176" spans="1:138" hidden="1">
      <c r="A176" s="222"/>
      <c r="B176" s="318"/>
      <c r="C176" s="310" t="s">
        <v>305</v>
      </c>
      <c r="D176" s="319"/>
      <c r="E176" s="311"/>
      <c r="F176" s="311"/>
      <c r="G176" s="311"/>
      <c r="H176" s="311"/>
      <c r="I176" s="311"/>
      <c r="J176" s="311"/>
      <c r="K176" s="311"/>
      <c r="L176" s="311"/>
      <c r="M176" s="311"/>
      <c r="N176" s="311"/>
      <c r="O176" s="311"/>
      <c r="P176" s="311"/>
      <c r="Q176" s="311"/>
      <c r="R176" s="311"/>
      <c r="S176" s="311"/>
      <c r="T176" s="311"/>
      <c r="U176" s="311"/>
      <c r="V176" s="311"/>
      <c r="W176" s="311"/>
      <c r="X176" s="311"/>
      <c r="Y176" s="311"/>
      <c r="Z176" s="311"/>
      <c r="AA176" s="311"/>
      <c r="AB176" s="311"/>
      <c r="AC176" s="311"/>
      <c r="AD176" s="311"/>
      <c r="AE176" s="311"/>
      <c r="AF176" s="311"/>
      <c r="AG176" s="311"/>
      <c r="AH176" s="311"/>
      <c r="AI176" s="311"/>
      <c r="AJ176" s="311"/>
      <c r="AK176" s="311"/>
      <c r="AL176" s="311"/>
      <c r="AM176" s="311"/>
      <c r="AN176" s="311"/>
      <c r="AO176" s="311"/>
      <c r="AP176" s="311"/>
      <c r="AQ176" s="311"/>
      <c r="AR176" s="311"/>
      <c r="AS176" s="311"/>
      <c r="AT176" s="311"/>
      <c r="AU176" s="311"/>
      <c r="AV176" s="311"/>
      <c r="AW176" s="311"/>
      <c r="AX176" s="311"/>
      <c r="AY176" s="311"/>
      <c r="AZ176" s="311"/>
      <c r="BA176" s="311"/>
      <c r="BB176" s="311"/>
      <c r="BC176" s="312"/>
      <c r="BD176" s="311"/>
      <c r="BE176" s="311"/>
      <c r="BF176" s="311"/>
      <c r="BG176" s="311"/>
      <c r="BH176" s="311"/>
      <c r="BI176" s="311"/>
      <c r="BJ176" s="311"/>
      <c r="BK176" s="311"/>
      <c r="BL176" s="311"/>
      <c r="BM176" s="311"/>
      <c r="BN176" s="311"/>
      <c r="BO176" s="311"/>
      <c r="BP176" s="311"/>
      <c r="BQ176" s="311"/>
      <c r="BR176" s="311"/>
      <c r="BS176" s="311"/>
      <c r="BT176" s="311"/>
      <c r="BU176" s="311"/>
      <c r="BV176" s="311"/>
      <c r="BW176" s="311"/>
      <c r="BX176" s="311"/>
      <c r="BY176" s="307"/>
      <c r="BZ176" s="307"/>
      <c r="CA176" s="222"/>
      <c r="CB176" s="222"/>
      <c r="CC176" s="222"/>
      <c r="CD176" s="222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2"/>
      <c r="CV176" s="222"/>
      <c r="CW176" s="222"/>
      <c r="CX176" s="222"/>
      <c r="CY176" s="222"/>
      <c r="CZ176" s="222"/>
      <c r="DA176" s="222"/>
      <c r="DB176" s="222"/>
      <c r="DC176" s="222"/>
      <c r="DD176" s="222"/>
      <c r="DE176" s="222"/>
      <c r="DF176" s="222"/>
      <c r="DG176" s="222"/>
      <c r="DH176" s="222"/>
      <c r="DI176" s="222"/>
      <c r="DJ176" s="222"/>
      <c r="DK176" s="222"/>
      <c r="DL176" s="222"/>
      <c r="DM176" s="222"/>
      <c r="DN176" s="222"/>
      <c r="DO176" s="222"/>
      <c r="DP176" s="222"/>
      <c r="DQ176" s="222"/>
      <c r="DR176" s="222"/>
      <c r="DS176" s="222"/>
      <c r="DT176" s="222"/>
      <c r="DU176" s="222"/>
      <c r="DV176" s="222"/>
      <c r="DW176" s="222"/>
      <c r="DX176" s="222"/>
      <c r="DY176" s="222"/>
      <c r="DZ176" s="222"/>
      <c r="EA176" s="222"/>
      <c r="EB176" s="222"/>
      <c r="EC176" s="222"/>
      <c r="ED176" s="222"/>
      <c r="EE176" s="222"/>
      <c r="EF176" s="222"/>
      <c r="EG176" s="222"/>
      <c r="EH176" s="222"/>
    </row>
    <row r="177" spans="1:138" hidden="1">
      <c r="A177" s="222"/>
      <c r="B177" s="318"/>
      <c r="C177" s="310" t="s">
        <v>296</v>
      </c>
      <c r="D177" s="319"/>
      <c r="E177" s="311">
        <f t="shared" ref="E177:BX177" si="57">-E75</f>
        <v>0</v>
      </c>
      <c r="F177" s="311">
        <f t="shared" si="57"/>
        <v>0</v>
      </c>
      <c r="G177" s="311">
        <f t="shared" si="57"/>
        <v>0</v>
      </c>
      <c r="H177" s="311">
        <f t="shared" si="57"/>
        <v>0</v>
      </c>
      <c r="I177" s="311">
        <f t="shared" si="57"/>
        <v>0</v>
      </c>
      <c r="J177" s="311">
        <f t="shared" si="57"/>
        <v>0</v>
      </c>
      <c r="K177" s="311">
        <f t="shared" si="57"/>
        <v>0</v>
      </c>
      <c r="L177" s="311">
        <f t="shared" si="57"/>
        <v>0</v>
      </c>
      <c r="M177" s="311">
        <f t="shared" si="57"/>
        <v>0</v>
      </c>
      <c r="N177" s="311">
        <f t="shared" si="57"/>
        <v>0</v>
      </c>
      <c r="O177" s="311">
        <f t="shared" si="57"/>
        <v>0</v>
      </c>
      <c r="P177" s="311">
        <f t="shared" si="57"/>
        <v>0</v>
      </c>
      <c r="Q177" s="311">
        <f t="shared" si="57"/>
        <v>0</v>
      </c>
      <c r="R177" s="311">
        <f t="shared" si="57"/>
        <v>0</v>
      </c>
      <c r="S177" s="311">
        <f t="shared" si="57"/>
        <v>0</v>
      </c>
      <c r="T177" s="311">
        <f t="shared" si="57"/>
        <v>0</v>
      </c>
      <c r="U177" s="311">
        <f t="shared" si="57"/>
        <v>0</v>
      </c>
      <c r="V177" s="311">
        <f t="shared" si="57"/>
        <v>0</v>
      </c>
      <c r="W177" s="311">
        <f t="shared" si="57"/>
        <v>0</v>
      </c>
      <c r="X177" s="311">
        <f t="shared" si="57"/>
        <v>0</v>
      </c>
      <c r="Y177" s="311">
        <f t="shared" si="57"/>
        <v>0</v>
      </c>
      <c r="Z177" s="311">
        <f t="shared" si="57"/>
        <v>0</v>
      </c>
      <c r="AA177" s="311">
        <f t="shared" si="57"/>
        <v>0</v>
      </c>
      <c r="AB177" s="311">
        <f t="shared" si="57"/>
        <v>0</v>
      </c>
      <c r="AC177" s="311">
        <f t="shared" si="57"/>
        <v>0</v>
      </c>
      <c r="AD177" s="311">
        <f t="shared" si="57"/>
        <v>0</v>
      </c>
      <c r="AE177" s="311">
        <f t="shared" si="57"/>
        <v>0</v>
      </c>
      <c r="AF177" s="311">
        <f t="shared" si="57"/>
        <v>0</v>
      </c>
      <c r="AG177" s="311">
        <f t="shared" si="57"/>
        <v>0</v>
      </c>
      <c r="AH177" s="311">
        <f t="shared" si="57"/>
        <v>0</v>
      </c>
      <c r="AI177" s="311">
        <f t="shared" si="57"/>
        <v>0</v>
      </c>
      <c r="AJ177" s="311">
        <f t="shared" si="57"/>
        <v>0</v>
      </c>
      <c r="AK177" s="311">
        <f t="shared" si="57"/>
        <v>0</v>
      </c>
      <c r="AL177" s="311">
        <f t="shared" si="57"/>
        <v>0</v>
      </c>
      <c r="AM177" s="311">
        <f t="shared" si="57"/>
        <v>0</v>
      </c>
      <c r="AN177" s="311">
        <f t="shared" si="57"/>
        <v>0</v>
      </c>
      <c r="AO177" s="311">
        <f t="shared" si="57"/>
        <v>0</v>
      </c>
      <c r="AP177" s="311">
        <f t="shared" si="57"/>
        <v>0</v>
      </c>
      <c r="AQ177" s="311">
        <f t="shared" si="57"/>
        <v>0</v>
      </c>
      <c r="AR177" s="311">
        <f t="shared" si="57"/>
        <v>0</v>
      </c>
      <c r="AS177" s="311">
        <f t="shared" si="57"/>
        <v>0</v>
      </c>
      <c r="AT177" s="311">
        <f t="shared" si="57"/>
        <v>0</v>
      </c>
      <c r="AU177" s="311">
        <f t="shared" si="57"/>
        <v>0</v>
      </c>
      <c r="AV177" s="311">
        <f t="shared" si="57"/>
        <v>0</v>
      </c>
      <c r="AW177" s="311">
        <f t="shared" si="57"/>
        <v>0</v>
      </c>
      <c r="AX177" s="311">
        <f t="shared" si="57"/>
        <v>0</v>
      </c>
      <c r="AY177" s="311">
        <f t="shared" si="57"/>
        <v>0</v>
      </c>
      <c r="AZ177" s="311">
        <f t="shared" si="57"/>
        <v>0</v>
      </c>
      <c r="BA177" s="311">
        <f t="shared" si="57"/>
        <v>0</v>
      </c>
      <c r="BB177" s="311">
        <f t="shared" si="57"/>
        <v>0</v>
      </c>
      <c r="BC177" s="311">
        <f t="shared" si="57"/>
        <v>0</v>
      </c>
      <c r="BD177" s="311">
        <f t="shared" si="57"/>
        <v>0</v>
      </c>
      <c r="BE177" s="311">
        <f t="shared" si="57"/>
        <v>0</v>
      </c>
      <c r="BF177" s="311">
        <f t="shared" si="57"/>
        <v>0</v>
      </c>
      <c r="BG177" s="311">
        <f t="shared" si="57"/>
        <v>0</v>
      </c>
      <c r="BH177" s="311">
        <f t="shared" si="57"/>
        <v>0</v>
      </c>
      <c r="BI177" s="311">
        <f t="shared" si="57"/>
        <v>0</v>
      </c>
      <c r="BJ177" s="311">
        <f t="shared" si="57"/>
        <v>0</v>
      </c>
      <c r="BK177" s="311">
        <f t="shared" si="57"/>
        <v>0</v>
      </c>
      <c r="BL177" s="311">
        <f t="shared" si="57"/>
        <v>0</v>
      </c>
      <c r="BM177" s="311">
        <f t="shared" si="57"/>
        <v>0</v>
      </c>
      <c r="BN177" s="311">
        <f t="shared" si="57"/>
        <v>0</v>
      </c>
      <c r="BO177" s="311">
        <f t="shared" si="57"/>
        <v>0</v>
      </c>
      <c r="BP177" s="311">
        <f t="shared" si="57"/>
        <v>0</v>
      </c>
      <c r="BQ177" s="311">
        <f t="shared" si="57"/>
        <v>0</v>
      </c>
      <c r="BR177" s="311">
        <f t="shared" si="57"/>
        <v>0</v>
      </c>
      <c r="BS177" s="311">
        <f t="shared" si="57"/>
        <v>0</v>
      </c>
      <c r="BT177" s="311">
        <f t="shared" si="57"/>
        <v>0</v>
      </c>
      <c r="BU177" s="311">
        <f t="shared" si="57"/>
        <v>0</v>
      </c>
      <c r="BV177" s="311">
        <f t="shared" si="57"/>
        <v>0</v>
      </c>
      <c r="BW177" s="311">
        <f t="shared" si="57"/>
        <v>0</v>
      </c>
      <c r="BX177" s="311">
        <f t="shared" si="57"/>
        <v>0</v>
      </c>
      <c r="BY177" s="307"/>
      <c r="BZ177" s="307"/>
      <c r="CA177" s="222"/>
      <c r="CB177" s="222"/>
      <c r="CC177" s="222"/>
      <c r="CD177" s="222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2"/>
      <c r="CV177" s="222"/>
      <c r="CW177" s="222"/>
      <c r="CX177" s="222"/>
      <c r="CY177" s="222"/>
      <c r="CZ177" s="222"/>
      <c r="DA177" s="222"/>
      <c r="DB177" s="222"/>
      <c r="DC177" s="222"/>
      <c r="DD177" s="222"/>
      <c r="DE177" s="222"/>
      <c r="DF177" s="222"/>
      <c r="DG177" s="222"/>
      <c r="DH177" s="222"/>
      <c r="DI177" s="222"/>
      <c r="DJ177" s="222"/>
      <c r="DK177" s="222"/>
      <c r="DL177" s="222"/>
      <c r="DM177" s="222"/>
      <c r="DN177" s="222"/>
      <c r="DO177" s="222"/>
      <c r="DP177" s="222"/>
      <c r="DQ177" s="222"/>
      <c r="DR177" s="222"/>
      <c r="DS177" s="222"/>
      <c r="DT177" s="222"/>
      <c r="DU177" s="222"/>
      <c r="DV177" s="222"/>
      <c r="DW177" s="222"/>
      <c r="DX177" s="222"/>
      <c r="DY177" s="222"/>
      <c r="DZ177" s="222"/>
      <c r="EA177" s="222"/>
      <c r="EB177" s="222"/>
      <c r="EC177" s="222"/>
      <c r="ED177" s="222"/>
      <c r="EE177" s="222"/>
      <c r="EF177" s="222"/>
      <c r="EG177" s="222"/>
      <c r="EH177" s="222"/>
    </row>
    <row r="178" spans="1:138" hidden="1">
      <c r="A178" s="222"/>
      <c r="B178" s="318"/>
      <c r="C178" s="310" t="s">
        <v>297</v>
      </c>
      <c r="D178" s="319"/>
      <c r="E178" s="311"/>
      <c r="F178" s="311"/>
      <c r="G178" s="311"/>
      <c r="H178" s="311"/>
      <c r="I178" s="311"/>
      <c r="J178" s="311"/>
      <c r="K178" s="311"/>
      <c r="L178" s="311"/>
      <c r="M178" s="311"/>
      <c r="N178" s="311"/>
      <c r="O178" s="311"/>
      <c r="P178" s="311"/>
      <c r="Q178" s="311"/>
      <c r="R178" s="311"/>
      <c r="S178" s="311"/>
      <c r="T178" s="311">
        <f>5500000</f>
        <v>5500000</v>
      </c>
      <c r="U178" s="311"/>
      <c r="V178" s="311"/>
      <c r="W178" s="311"/>
      <c r="X178" s="311"/>
      <c r="Y178" s="311"/>
      <c r="Z178" s="311"/>
      <c r="AA178" s="311"/>
      <c r="AB178" s="311"/>
      <c r="AC178" s="311"/>
      <c r="AD178" s="311"/>
      <c r="AE178" s="311"/>
      <c r="AF178" s="311"/>
      <c r="AG178" s="311"/>
      <c r="AH178" s="311"/>
      <c r="AI178" s="311"/>
      <c r="AJ178" s="311"/>
      <c r="AK178" s="311"/>
      <c r="AL178" s="311"/>
      <c r="AM178" s="311"/>
      <c r="AN178" s="311"/>
      <c r="AO178" s="311"/>
      <c r="AP178" s="311"/>
      <c r="AQ178" s="311"/>
      <c r="AR178" s="311"/>
      <c r="AS178" s="311"/>
      <c r="AT178" s="311"/>
      <c r="AU178" s="311"/>
      <c r="AV178" s="311"/>
      <c r="AW178" s="311"/>
      <c r="AX178" s="311"/>
      <c r="AY178" s="311"/>
      <c r="AZ178" s="311"/>
      <c r="BA178" s="311"/>
      <c r="BB178" s="311"/>
      <c r="BC178" s="312"/>
      <c r="BD178" s="311"/>
      <c r="BE178" s="311"/>
      <c r="BF178" s="311"/>
      <c r="BG178" s="311"/>
      <c r="BH178" s="311"/>
      <c r="BI178" s="311"/>
      <c r="BJ178" s="311"/>
      <c r="BK178" s="311"/>
      <c r="BL178" s="311"/>
      <c r="BM178" s="311"/>
      <c r="BN178" s="311"/>
      <c r="BO178" s="311"/>
      <c r="BP178" s="311"/>
      <c r="BQ178" s="311"/>
      <c r="BR178" s="311"/>
      <c r="BS178" s="311"/>
      <c r="BT178" s="311"/>
      <c r="BU178" s="311"/>
      <c r="BV178" s="311"/>
      <c r="BW178" s="311"/>
      <c r="BX178" s="311">
        <f>IF(D121&gt;0.25,(BX116-BX124)*D179,BX116*D179)</f>
        <v>0</v>
      </c>
      <c r="BY178" s="307"/>
      <c r="BZ178" s="307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  <c r="CP178" s="222"/>
      <c r="CQ178" s="222"/>
      <c r="CR178" s="222"/>
      <c r="CS178" s="222"/>
      <c r="CT178" s="222"/>
      <c r="CU178" s="222"/>
      <c r="CV178" s="222"/>
      <c r="CW178" s="222"/>
      <c r="CX178" s="222"/>
      <c r="CY178" s="222"/>
      <c r="CZ178" s="222"/>
      <c r="DA178" s="222"/>
      <c r="DB178" s="222"/>
      <c r="DC178" s="222"/>
      <c r="DD178" s="222"/>
      <c r="DE178" s="222"/>
      <c r="DF178" s="222"/>
      <c r="DG178" s="222"/>
      <c r="DH178" s="222"/>
      <c r="DI178" s="222"/>
      <c r="DJ178" s="222"/>
      <c r="DK178" s="222"/>
      <c r="DL178" s="222"/>
      <c r="DM178" s="222"/>
      <c r="DN178" s="222"/>
      <c r="DO178" s="222"/>
      <c r="DP178" s="222"/>
      <c r="DQ178" s="222"/>
      <c r="DR178" s="222"/>
      <c r="DS178" s="222"/>
      <c r="DT178" s="222"/>
      <c r="DU178" s="222"/>
      <c r="DV178" s="222"/>
      <c r="DW178" s="222"/>
      <c r="DX178" s="222"/>
      <c r="DY178" s="222"/>
      <c r="DZ178" s="222"/>
      <c r="EA178" s="222"/>
      <c r="EB178" s="222"/>
      <c r="EC178" s="222"/>
      <c r="ED178" s="222"/>
      <c r="EE178" s="222"/>
      <c r="EF178" s="222"/>
      <c r="EG178" s="222"/>
      <c r="EH178" s="222"/>
    </row>
    <row r="179" spans="1:138" hidden="1">
      <c r="A179" s="222"/>
      <c r="B179" s="318"/>
      <c r="C179" s="313" t="s">
        <v>298</v>
      </c>
      <c r="D179" s="319">
        <v>0</v>
      </c>
      <c r="E179" s="311"/>
      <c r="F179" s="311"/>
      <c r="G179" s="311"/>
      <c r="H179" s="311"/>
      <c r="I179" s="311"/>
      <c r="J179" s="311"/>
      <c r="K179" s="311"/>
      <c r="L179" s="311"/>
      <c r="M179" s="311"/>
      <c r="N179" s="311"/>
      <c r="O179" s="311"/>
      <c r="P179" s="311"/>
      <c r="Q179" s="311"/>
      <c r="R179" s="311"/>
      <c r="S179" s="311"/>
      <c r="T179" s="311"/>
      <c r="U179" s="311"/>
      <c r="V179" s="311"/>
      <c r="W179" s="311"/>
      <c r="X179" s="311"/>
      <c r="Y179" s="311"/>
      <c r="Z179" s="311"/>
      <c r="AA179" s="311"/>
      <c r="AB179" s="311"/>
      <c r="AC179" s="311"/>
      <c r="AD179" s="311"/>
      <c r="AE179" s="311"/>
      <c r="AF179" s="311"/>
      <c r="AG179" s="311"/>
      <c r="AH179" s="311"/>
      <c r="AI179" s="311"/>
      <c r="AJ179" s="311"/>
      <c r="AK179" s="311"/>
      <c r="AL179" s="311"/>
      <c r="AM179" s="311"/>
      <c r="AN179" s="311"/>
      <c r="AO179" s="311"/>
      <c r="AP179" s="311"/>
      <c r="AQ179" s="311"/>
      <c r="AR179" s="311"/>
      <c r="AS179" s="311"/>
      <c r="AT179" s="311"/>
      <c r="AU179" s="311"/>
      <c r="AV179" s="311"/>
      <c r="AW179" s="311"/>
      <c r="AX179" s="311"/>
      <c r="AY179" s="311"/>
      <c r="AZ179" s="311"/>
      <c r="BA179" s="311"/>
      <c r="BB179" s="311"/>
      <c r="BC179" s="312"/>
      <c r="BD179" s="311"/>
      <c r="BE179" s="311"/>
      <c r="BF179" s="311"/>
      <c r="BG179" s="311"/>
      <c r="BH179" s="311"/>
      <c r="BI179" s="311"/>
      <c r="BJ179" s="311"/>
      <c r="BK179" s="311"/>
      <c r="BL179" s="311"/>
      <c r="BM179" s="311"/>
      <c r="BN179" s="311"/>
      <c r="BO179" s="311"/>
      <c r="BP179" s="311"/>
      <c r="BQ179" s="311"/>
      <c r="BR179" s="311"/>
      <c r="BS179" s="311"/>
      <c r="BT179" s="311"/>
      <c r="BU179" s="311"/>
      <c r="BV179" s="311"/>
      <c r="BW179" s="311"/>
      <c r="BX179" s="311"/>
      <c r="BY179" s="307"/>
      <c r="BZ179" s="307"/>
      <c r="CA179" s="222"/>
      <c r="CB179" s="222"/>
      <c r="CC179" s="222"/>
      <c r="CD179" s="222"/>
      <c r="CE179" s="222"/>
      <c r="CF179" s="222"/>
      <c r="CG179" s="222"/>
      <c r="CH179" s="222"/>
      <c r="CI179" s="222"/>
      <c r="CJ179" s="222"/>
      <c r="CK179" s="222"/>
      <c r="CL179" s="222"/>
      <c r="CM179" s="222"/>
      <c r="CN179" s="222"/>
      <c r="CO179" s="222"/>
      <c r="CP179" s="222"/>
      <c r="CQ179" s="222"/>
      <c r="CR179" s="222"/>
      <c r="CS179" s="222"/>
      <c r="CT179" s="222"/>
      <c r="CU179" s="222"/>
      <c r="CV179" s="222"/>
      <c r="CW179" s="222"/>
      <c r="CX179" s="222"/>
      <c r="CY179" s="222"/>
      <c r="CZ179" s="222"/>
      <c r="DA179" s="222"/>
      <c r="DB179" s="222"/>
      <c r="DC179" s="222"/>
      <c r="DD179" s="222"/>
      <c r="DE179" s="222"/>
      <c r="DF179" s="222"/>
      <c r="DG179" s="222"/>
      <c r="DH179" s="222"/>
      <c r="DI179" s="222"/>
      <c r="DJ179" s="222"/>
      <c r="DK179" s="222"/>
      <c r="DL179" s="222"/>
      <c r="DM179" s="222"/>
      <c r="DN179" s="222"/>
      <c r="DO179" s="222"/>
      <c r="DP179" s="222"/>
      <c r="DQ179" s="222"/>
      <c r="DR179" s="222"/>
      <c r="DS179" s="222"/>
      <c r="DT179" s="222"/>
      <c r="DU179" s="222"/>
      <c r="DV179" s="222"/>
      <c r="DW179" s="222"/>
      <c r="DX179" s="222"/>
      <c r="DY179" s="222"/>
      <c r="DZ179" s="222"/>
      <c r="EA179" s="222"/>
      <c r="EB179" s="222"/>
      <c r="EC179" s="222"/>
      <c r="ED179" s="222"/>
      <c r="EE179" s="222"/>
      <c r="EF179" s="222"/>
      <c r="EG179" s="222"/>
      <c r="EH179" s="222"/>
    </row>
    <row r="180" spans="1:138" hidden="1">
      <c r="A180" s="222"/>
      <c r="B180" s="318"/>
      <c r="C180" s="310" t="s">
        <v>299</v>
      </c>
      <c r="D180" s="311"/>
      <c r="E180" s="321">
        <f t="shared" ref="E180:BX180" si="58">E175+E176+E177+E178+E179</f>
        <v>0</v>
      </c>
      <c r="F180" s="321">
        <f t="shared" si="58"/>
        <v>0</v>
      </c>
      <c r="G180" s="321">
        <f t="shared" si="58"/>
        <v>0</v>
      </c>
      <c r="H180" s="321">
        <f t="shared" si="58"/>
        <v>-10682501</v>
      </c>
      <c r="I180" s="321">
        <f t="shared" si="58"/>
        <v>0</v>
      </c>
      <c r="J180" s="321">
        <f t="shared" si="58"/>
        <v>0</v>
      </c>
      <c r="K180" s="321">
        <f t="shared" si="58"/>
        <v>0</v>
      </c>
      <c r="L180" s="321">
        <f t="shared" si="58"/>
        <v>0</v>
      </c>
      <c r="M180" s="321">
        <f t="shared" si="58"/>
        <v>0</v>
      </c>
      <c r="N180" s="321">
        <f t="shared" si="58"/>
        <v>0</v>
      </c>
      <c r="O180" s="321">
        <f t="shared" si="58"/>
        <v>0</v>
      </c>
      <c r="P180" s="321">
        <f t="shared" si="58"/>
        <v>0</v>
      </c>
      <c r="Q180" s="321">
        <f t="shared" si="58"/>
        <v>0</v>
      </c>
      <c r="R180" s="321">
        <f t="shared" si="58"/>
        <v>0</v>
      </c>
      <c r="S180" s="321">
        <f t="shared" si="58"/>
        <v>0</v>
      </c>
      <c r="T180" s="321">
        <f t="shared" si="58"/>
        <v>16182501</v>
      </c>
      <c r="U180" s="321">
        <f t="shared" si="58"/>
        <v>0</v>
      </c>
      <c r="V180" s="321">
        <f t="shared" si="58"/>
        <v>0</v>
      </c>
      <c r="W180" s="321">
        <f t="shared" si="58"/>
        <v>0</v>
      </c>
      <c r="X180" s="321">
        <f t="shared" si="58"/>
        <v>0</v>
      </c>
      <c r="Y180" s="321">
        <f t="shared" si="58"/>
        <v>0</v>
      </c>
      <c r="Z180" s="321">
        <f t="shared" si="58"/>
        <v>0</v>
      </c>
      <c r="AA180" s="321">
        <f t="shared" si="58"/>
        <v>0</v>
      </c>
      <c r="AB180" s="321">
        <f t="shared" si="58"/>
        <v>0</v>
      </c>
      <c r="AC180" s="321">
        <f t="shared" si="58"/>
        <v>0</v>
      </c>
      <c r="AD180" s="321">
        <f t="shared" si="58"/>
        <v>0</v>
      </c>
      <c r="AE180" s="321">
        <f t="shared" si="58"/>
        <v>0</v>
      </c>
      <c r="AF180" s="321">
        <f t="shared" si="58"/>
        <v>0</v>
      </c>
      <c r="AG180" s="321">
        <f t="shared" si="58"/>
        <v>0</v>
      </c>
      <c r="AH180" s="321">
        <f t="shared" si="58"/>
        <v>0</v>
      </c>
      <c r="AI180" s="321">
        <f t="shared" si="58"/>
        <v>0</v>
      </c>
      <c r="AJ180" s="321">
        <f t="shared" si="58"/>
        <v>0</v>
      </c>
      <c r="AK180" s="321">
        <f t="shared" si="58"/>
        <v>0</v>
      </c>
      <c r="AL180" s="321">
        <f t="shared" si="58"/>
        <v>0</v>
      </c>
      <c r="AM180" s="321">
        <f t="shared" si="58"/>
        <v>0</v>
      </c>
      <c r="AN180" s="321">
        <f t="shared" si="58"/>
        <v>0</v>
      </c>
      <c r="AO180" s="321">
        <f t="shared" si="58"/>
        <v>0</v>
      </c>
      <c r="AP180" s="321">
        <f t="shared" si="58"/>
        <v>0</v>
      </c>
      <c r="AQ180" s="321">
        <f t="shared" si="58"/>
        <v>0</v>
      </c>
      <c r="AR180" s="321">
        <f t="shared" si="58"/>
        <v>0</v>
      </c>
      <c r="AS180" s="321">
        <f t="shared" si="58"/>
        <v>0</v>
      </c>
      <c r="AT180" s="321">
        <f t="shared" si="58"/>
        <v>0</v>
      </c>
      <c r="AU180" s="321">
        <f t="shared" si="58"/>
        <v>0</v>
      </c>
      <c r="AV180" s="321">
        <f t="shared" si="58"/>
        <v>0</v>
      </c>
      <c r="AW180" s="321">
        <f t="shared" si="58"/>
        <v>0</v>
      </c>
      <c r="AX180" s="321">
        <f t="shared" si="58"/>
        <v>0</v>
      </c>
      <c r="AY180" s="321">
        <f t="shared" si="58"/>
        <v>0</v>
      </c>
      <c r="AZ180" s="321">
        <f t="shared" si="58"/>
        <v>0</v>
      </c>
      <c r="BA180" s="321">
        <f t="shared" si="58"/>
        <v>0</v>
      </c>
      <c r="BB180" s="321">
        <f t="shared" si="58"/>
        <v>0</v>
      </c>
      <c r="BC180" s="321">
        <f t="shared" si="58"/>
        <v>0</v>
      </c>
      <c r="BD180" s="321">
        <f t="shared" si="58"/>
        <v>0</v>
      </c>
      <c r="BE180" s="321">
        <f t="shared" si="58"/>
        <v>0</v>
      </c>
      <c r="BF180" s="321">
        <f t="shared" si="58"/>
        <v>0</v>
      </c>
      <c r="BG180" s="321">
        <f t="shared" si="58"/>
        <v>0</v>
      </c>
      <c r="BH180" s="321">
        <f t="shared" si="58"/>
        <v>0</v>
      </c>
      <c r="BI180" s="321">
        <f t="shared" si="58"/>
        <v>0</v>
      </c>
      <c r="BJ180" s="321">
        <f t="shared" si="58"/>
        <v>0</v>
      </c>
      <c r="BK180" s="321">
        <f t="shared" si="58"/>
        <v>0</v>
      </c>
      <c r="BL180" s="321">
        <f t="shared" si="58"/>
        <v>0</v>
      </c>
      <c r="BM180" s="321">
        <f t="shared" si="58"/>
        <v>0</v>
      </c>
      <c r="BN180" s="321">
        <f t="shared" si="58"/>
        <v>0</v>
      </c>
      <c r="BO180" s="321">
        <f t="shared" si="58"/>
        <v>0</v>
      </c>
      <c r="BP180" s="321">
        <f t="shared" si="58"/>
        <v>0</v>
      </c>
      <c r="BQ180" s="321">
        <f t="shared" si="58"/>
        <v>0</v>
      </c>
      <c r="BR180" s="321">
        <f t="shared" si="58"/>
        <v>0</v>
      </c>
      <c r="BS180" s="321">
        <f t="shared" si="58"/>
        <v>0</v>
      </c>
      <c r="BT180" s="321">
        <f t="shared" si="58"/>
        <v>0</v>
      </c>
      <c r="BU180" s="321">
        <f t="shared" si="58"/>
        <v>0</v>
      </c>
      <c r="BV180" s="321">
        <f t="shared" si="58"/>
        <v>0</v>
      </c>
      <c r="BW180" s="321">
        <f t="shared" si="58"/>
        <v>0</v>
      </c>
      <c r="BX180" s="321">
        <f t="shared" si="58"/>
        <v>0</v>
      </c>
      <c r="BY180" s="222"/>
      <c r="BZ180" s="222"/>
      <c r="CA180" s="222"/>
      <c r="CB180" s="222"/>
      <c r="CC180" s="222"/>
      <c r="CD180" s="222"/>
      <c r="CE180" s="222"/>
      <c r="CF180" s="222"/>
      <c r="CG180" s="222"/>
      <c r="CH180" s="222"/>
      <c r="CI180" s="222"/>
      <c r="CJ180" s="222"/>
      <c r="CK180" s="222"/>
      <c r="CL180" s="222"/>
      <c r="CM180" s="222"/>
      <c r="CN180" s="222"/>
      <c r="CO180" s="222"/>
      <c r="CP180" s="222"/>
      <c r="CQ180" s="222"/>
      <c r="CR180" s="222"/>
      <c r="CS180" s="222"/>
      <c r="CT180" s="222"/>
      <c r="CU180" s="222"/>
      <c r="CV180" s="222"/>
      <c r="CW180" s="222"/>
      <c r="CX180" s="222"/>
      <c r="CY180" s="222"/>
      <c r="CZ180" s="222"/>
      <c r="DA180" s="222"/>
      <c r="DB180" s="222"/>
      <c r="DC180" s="222"/>
      <c r="DD180" s="222"/>
      <c r="DE180" s="222"/>
      <c r="DF180" s="222"/>
      <c r="DG180" s="222"/>
      <c r="DH180" s="222"/>
      <c r="DI180" s="222"/>
      <c r="DJ180" s="222"/>
      <c r="DK180" s="222"/>
      <c r="DL180" s="222"/>
      <c r="DM180" s="222"/>
      <c r="DN180" s="222"/>
      <c r="DO180" s="222"/>
      <c r="DP180" s="222"/>
      <c r="DQ180" s="222"/>
      <c r="DR180" s="222"/>
      <c r="DS180" s="222"/>
      <c r="DT180" s="222"/>
      <c r="DU180" s="222"/>
      <c r="DV180" s="222"/>
      <c r="DW180" s="222"/>
      <c r="DX180" s="222"/>
      <c r="DY180" s="222"/>
      <c r="DZ180" s="222"/>
      <c r="EA180" s="222"/>
      <c r="EB180" s="222"/>
      <c r="EC180" s="222"/>
      <c r="ED180" s="222"/>
      <c r="EE180" s="222"/>
      <c r="EF180" s="222"/>
      <c r="EG180" s="222"/>
      <c r="EH180" s="222"/>
    </row>
    <row r="181" spans="1:138" hidden="1">
      <c r="A181" s="222"/>
      <c r="B181" s="318"/>
      <c r="C181" s="314"/>
      <c r="D181" s="322" t="s">
        <v>306</v>
      </c>
      <c r="E181" s="327">
        <f>E180</f>
        <v>0</v>
      </c>
      <c r="F181" s="327">
        <f t="shared" ref="F181:BX181" si="59">E181+F180</f>
        <v>0</v>
      </c>
      <c r="G181" s="327">
        <f t="shared" si="59"/>
        <v>0</v>
      </c>
      <c r="H181" s="327">
        <f t="shared" si="59"/>
        <v>-10682501</v>
      </c>
      <c r="I181" s="327">
        <f t="shared" si="59"/>
        <v>-10682501</v>
      </c>
      <c r="J181" s="327">
        <f t="shared" si="59"/>
        <v>-10682501</v>
      </c>
      <c r="K181" s="327">
        <f t="shared" si="59"/>
        <v>-10682501</v>
      </c>
      <c r="L181" s="327">
        <f t="shared" si="59"/>
        <v>-10682501</v>
      </c>
      <c r="M181" s="327">
        <f t="shared" si="59"/>
        <v>-10682501</v>
      </c>
      <c r="N181" s="327">
        <f t="shared" si="59"/>
        <v>-10682501</v>
      </c>
      <c r="O181" s="327">
        <f t="shared" si="59"/>
        <v>-10682501</v>
      </c>
      <c r="P181" s="327">
        <f t="shared" si="59"/>
        <v>-10682501</v>
      </c>
      <c r="Q181" s="327">
        <f t="shared" si="59"/>
        <v>-10682501</v>
      </c>
      <c r="R181" s="327">
        <f t="shared" si="59"/>
        <v>-10682501</v>
      </c>
      <c r="S181" s="327">
        <f t="shared" si="59"/>
        <v>-10682501</v>
      </c>
      <c r="T181" s="327">
        <f t="shared" si="59"/>
        <v>5500000</v>
      </c>
      <c r="U181" s="327">
        <f t="shared" si="59"/>
        <v>5500000</v>
      </c>
      <c r="V181" s="328">
        <f t="shared" si="59"/>
        <v>5500000</v>
      </c>
      <c r="W181" s="328">
        <f t="shared" si="59"/>
        <v>5500000</v>
      </c>
      <c r="X181" s="328">
        <f t="shared" si="59"/>
        <v>5500000</v>
      </c>
      <c r="Y181" s="328">
        <f t="shared" si="59"/>
        <v>5500000</v>
      </c>
      <c r="Z181" s="328">
        <f t="shared" si="59"/>
        <v>5500000</v>
      </c>
      <c r="AA181" s="328">
        <f t="shared" si="59"/>
        <v>5500000</v>
      </c>
      <c r="AB181" s="328">
        <f t="shared" si="59"/>
        <v>5500000</v>
      </c>
      <c r="AC181" s="328">
        <f t="shared" si="59"/>
        <v>5500000</v>
      </c>
      <c r="AD181" s="328">
        <f t="shared" si="59"/>
        <v>5500000</v>
      </c>
      <c r="AE181" s="328">
        <f t="shared" si="59"/>
        <v>5500000</v>
      </c>
      <c r="AF181" s="328">
        <f t="shared" si="59"/>
        <v>5500000</v>
      </c>
      <c r="AG181" s="328">
        <f t="shared" si="59"/>
        <v>5500000</v>
      </c>
      <c r="AH181" s="328">
        <f t="shared" si="59"/>
        <v>5500000</v>
      </c>
      <c r="AI181" s="328">
        <f t="shared" si="59"/>
        <v>5500000</v>
      </c>
      <c r="AJ181" s="328">
        <f t="shared" si="59"/>
        <v>5500000</v>
      </c>
      <c r="AK181" s="328">
        <f t="shared" si="59"/>
        <v>5500000</v>
      </c>
      <c r="AL181" s="328">
        <f t="shared" si="59"/>
        <v>5500000</v>
      </c>
      <c r="AM181" s="328">
        <f t="shared" si="59"/>
        <v>5500000</v>
      </c>
      <c r="AN181" s="328">
        <f t="shared" si="59"/>
        <v>5500000</v>
      </c>
      <c r="AO181" s="328">
        <f t="shared" si="59"/>
        <v>5500000</v>
      </c>
      <c r="AP181" s="328">
        <f t="shared" si="59"/>
        <v>5500000</v>
      </c>
      <c r="AQ181" s="328">
        <f t="shared" si="59"/>
        <v>5500000</v>
      </c>
      <c r="AR181" s="328">
        <f t="shared" si="59"/>
        <v>5500000</v>
      </c>
      <c r="AS181" s="328">
        <f t="shared" si="59"/>
        <v>5500000</v>
      </c>
      <c r="AT181" s="328">
        <f t="shared" si="59"/>
        <v>5500000</v>
      </c>
      <c r="AU181" s="328">
        <f t="shared" si="59"/>
        <v>5500000</v>
      </c>
      <c r="AV181" s="328">
        <f t="shared" si="59"/>
        <v>5500000</v>
      </c>
      <c r="AW181" s="328">
        <f t="shared" si="59"/>
        <v>5500000</v>
      </c>
      <c r="AX181" s="328">
        <f t="shared" si="59"/>
        <v>5500000</v>
      </c>
      <c r="AY181" s="328">
        <f t="shared" si="59"/>
        <v>5500000</v>
      </c>
      <c r="AZ181" s="328">
        <f t="shared" si="59"/>
        <v>5500000</v>
      </c>
      <c r="BA181" s="328">
        <f t="shared" si="59"/>
        <v>5500000</v>
      </c>
      <c r="BB181" s="328">
        <f t="shared" si="59"/>
        <v>5500000</v>
      </c>
      <c r="BC181" s="327">
        <f t="shared" si="59"/>
        <v>5500000</v>
      </c>
      <c r="BD181" s="327">
        <f t="shared" si="59"/>
        <v>5500000</v>
      </c>
      <c r="BE181" s="327">
        <f t="shared" si="59"/>
        <v>5500000</v>
      </c>
      <c r="BF181" s="327">
        <f t="shared" si="59"/>
        <v>5500000</v>
      </c>
      <c r="BG181" s="327">
        <f t="shared" si="59"/>
        <v>5500000</v>
      </c>
      <c r="BH181" s="327">
        <f t="shared" si="59"/>
        <v>5500000</v>
      </c>
      <c r="BI181" s="327">
        <f t="shared" si="59"/>
        <v>5500000</v>
      </c>
      <c r="BJ181" s="327">
        <f t="shared" si="59"/>
        <v>5500000</v>
      </c>
      <c r="BK181" s="327">
        <f t="shared" si="59"/>
        <v>5500000</v>
      </c>
      <c r="BL181" s="327">
        <f t="shared" si="59"/>
        <v>5500000</v>
      </c>
      <c r="BM181" s="327">
        <f t="shared" si="59"/>
        <v>5500000</v>
      </c>
      <c r="BN181" s="327">
        <f t="shared" si="59"/>
        <v>5500000</v>
      </c>
      <c r="BO181" s="327">
        <f t="shared" si="59"/>
        <v>5500000</v>
      </c>
      <c r="BP181" s="327">
        <f t="shared" si="59"/>
        <v>5500000</v>
      </c>
      <c r="BQ181" s="327">
        <f t="shared" si="59"/>
        <v>5500000</v>
      </c>
      <c r="BR181" s="327">
        <f t="shared" si="59"/>
        <v>5500000</v>
      </c>
      <c r="BS181" s="327">
        <f t="shared" si="59"/>
        <v>5500000</v>
      </c>
      <c r="BT181" s="327">
        <f t="shared" si="59"/>
        <v>5500000</v>
      </c>
      <c r="BU181" s="327">
        <f t="shared" si="59"/>
        <v>5500000</v>
      </c>
      <c r="BV181" s="327">
        <f t="shared" si="59"/>
        <v>5500000</v>
      </c>
      <c r="BW181" s="327">
        <f t="shared" si="59"/>
        <v>5500000</v>
      </c>
      <c r="BX181" s="327">
        <f t="shared" si="59"/>
        <v>5500000</v>
      </c>
      <c r="BY181" s="222"/>
      <c r="BZ181" s="222"/>
      <c r="CA181" s="222"/>
      <c r="CB181" s="222"/>
      <c r="CC181" s="222"/>
      <c r="CD181" s="222"/>
      <c r="CE181" s="222"/>
      <c r="CF181" s="222"/>
      <c r="CG181" s="222"/>
      <c r="CH181" s="222"/>
      <c r="CI181" s="222"/>
      <c r="CJ181" s="222"/>
      <c r="CK181" s="222"/>
      <c r="CL181" s="222"/>
      <c r="CM181" s="222"/>
      <c r="CN181" s="222"/>
      <c r="CO181" s="222"/>
      <c r="CP181" s="222"/>
      <c r="CQ181" s="222"/>
      <c r="CR181" s="222"/>
      <c r="CS181" s="222"/>
      <c r="CT181" s="222"/>
      <c r="CU181" s="222"/>
      <c r="CV181" s="222"/>
      <c r="CW181" s="222"/>
      <c r="CX181" s="222"/>
      <c r="CY181" s="222"/>
      <c r="CZ181" s="222"/>
      <c r="DA181" s="222"/>
      <c r="DB181" s="222"/>
      <c r="DC181" s="222"/>
      <c r="DD181" s="222"/>
      <c r="DE181" s="222"/>
      <c r="DF181" s="222"/>
      <c r="DG181" s="222"/>
      <c r="DH181" s="222"/>
      <c r="DI181" s="222"/>
      <c r="DJ181" s="222"/>
      <c r="DK181" s="222"/>
      <c r="DL181" s="222"/>
      <c r="DM181" s="222"/>
      <c r="DN181" s="222"/>
      <c r="DO181" s="222"/>
      <c r="DP181" s="222"/>
      <c r="DQ181" s="222"/>
      <c r="DR181" s="222"/>
      <c r="DS181" s="222"/>
      <c r="DT181" s="222"/>
      <c r="DU181" s="222"/>
      <c r="DV181" s="222"/>
      <c r="DW181" s="222"/>
      <c r="DX181" s="222"/>
      <c r="DY181" s="222"/>
      <c r="DZ181" s="222"/>
      <c r="EA181" s="222"/>
      <c r="EB181" s="222"/>
      <c r="EC181" s="222"/>
      <c r="ED181" s="222"/>
      <c r="EE181" s="222"/>
      <c r="EF181" s="222"/>
      <c r="EG181" s="222"/>
      <c r="EH181" s="222"/>
    </row>
    <row r="182" spans="1:138" hidden="1">
      <c r="A182" s="222"/>
      <c r="B182" s="318"/>
      <c r="C182" s="313" t="s">
        <v>292</v>
      </c>
      <c r="D182" s="322">
        <f>IRR(H180:T180)*12</f>
        <v>0.4225943643698109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222"/>
      <c r="AF182" s="222"/>
      <c r="AG182" s="222"/>
      <c r="AH182" s="222"/>
      <c r="AI182" s="222"/>
      <c r="AJ182" s="222"/>
      <c r="AK182" s="222"/>
      <c r="AL182" s="222"/>
      <c r="AM182" s="222"/>
      <c r="AN182" s="222"/>
      <c r="AO182" s="222"/>
      <c r="AP182" s="222"/>
      <c r="AQ182" s="222"/>
      <c r="AR182" s="222"/>
      <c r="AS182" s="222"/>
      <c r="AT182" s="222"/>
      <c r="AU182" s="222"/>
      <c r="AV182" s="222"/>
      <c r="AW182" s="222"/>
      <c r="AX182" s="222"/>
      <c r="AY182" s="222"/>
      <c r="AZ182" s="222"/>
      <c r="BA182" s="222"/>
      <c r="BB182" s="222"/>
      <c r="BC182" s="222"/>
      <c r="BD182" s="222"/>
      <c r="BE182" s="222"/>
      <c r="BF182" s="222"/>
      <c r="BG182" s="222"/>
      <c r="BH182" s="222"/>
      <c r="BI182" s="222"/>
      <c r="BJ182" s="222"/>
      <c r="BK182" s="222"/>
      <c r="BL182" s="222"/>
      <c r="BM182" s="222"/>
      <c r="BN182" s="222"/>
      <c r="BO182" s="222"/>
      <c r="BP182" s="222"/>
      <c r="BQ182" s="222"/>
      <c r="BR182" s="222"/>
      <c r="BS182" s="222"/>
      <c r="BT182" s="222"/>
      <c r="BU182" s="222"/>
      <c r="BV182" s="222"/>
      <c r="BW182" s="222"/>
      <c r="BX182" s="222"/>
      <c r="BY182" s="222"/>
      <c r="BZ182" s="222"/>
      <c r="CA182" s="222"/>
      <c r="CB182" s="222"/>
      <c r="CC182" s="222"/>
      <c r="CD182" s="222"/>
      <c r="CE182" s="222"/>
      <c r="CF182" s="222"/>
      <c r="CG182" s="222"/>
      <c r="CH182" s="222"/>
      <c r="CI182" s="222"/>
      <c r="CJ182" s="222"/>
      <c r="CK182" s="222"/>
      <c r="CL182" s="222"/>
      <c r="CM182" s="222"/>
      <c r="CN182" s="222"/>
      <c r="CO182" s="222"/>
      <c r="CP182" s="222"/>
      <c r="CQ182" s="222"/>
      <c r="CR182" s="222"/>
      <c r="CS182" s="222"/>
      <c r="CT182" s="222"/>
      <c r="CU182" s="222"/>
      <c r="CV182" s="222"/>
      <c r="CW182" s="222"/>
      <c r="CX182" s="222"/>
      <c r="CY182" s="222"/>
      <c r="CZ182" s="222"/>
      <c r="DA182" s="222"/>
      <c r="DB182" s="222"/>
      <c r="DC182" s="222"/>
      <c r="DD182" s="222"/>
      <c r="DE182" s="222"/>
      <c r="DF182" s="222"/>
      <c r="DG182" s="222"/>
      <c r="DH182" s="222"/>
      <c r="DI182" s="222"/>
      <c r="DJ182" s="222"/>
      <c r="DK182" s="222"/>
      <c r="DL182" s="222"/>
      <c r="DM182" s="222"/>
      <c r="DN182" s="222"/>
      <c r="DO182" s="222"/>
      <c r="DP182" s="222"/>
      <c r="DQ182" s="222"/>
      <c r="DR182" s="222"/>
      <c r="DS182" s="222"/>
      <c r="DT182" s="222"/>
      <c r="DU182" s="222"/>
      <c r="DV182" s="222"/>
      <c r="DW182" s="222"/>
      <c r="DX182" s="222"/>
      <c r="DY182" s="222"/>
      <c r="DZ182" s="222"/>
      <c r="EA182" s="222"/>
      <c r="EB182" s="222"/>
      <c r="EC182" s="222"/>
      <c r="ED182" s="222"/>
      <c r="EE182" s="222"/>
      <c r="EF182" s="222"/>
      <c r="EG182" s="222"/>
      <c r="EH182" s="222"/>
    </row>
    <row r="183" spans="1:138" hidden="1">
      <c r="A183" s="222"/>
      <c r="B183" s="318"/>
      <c r="C183" s="323" t="s">
        <v>300</v>
      </c>
      <c r="D183" s="324">
        <f>-MIN(M181:BL181)-D184</f>
        <v>10682501</v>
      </c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222"/>
      <c r="AF183" s="222"/>
      <c r="AG183" s="222"/>
      <c r="AH183" s="222"/>
      <c r="AI183" s="222"/>
      <c r="AJ183" s="222"/>
      <c r="AK183" s="222"/>
      <c r="AL183" s="222"/>
      <c r="AM183" s="222"/>
      <c r="AN183" s="222"/>
      <c r="AO183" s="222"/>
      <c r="AP183" s="222"/>
      <c r="AQ183" s="222"/>
      <c r="AR183" s="222"/>
      <c r="AS183" s="222"/>
      <c r="AT183" s="222"/>
      <c r="AU183" s="222"/>
      <c r="AV183" s="222"/>
      <c r="AW183" s="222"/>
      <c r="AX183" s="222"/>
      <c r="AY183" s="222"/>
      <c r="AZ183" s="222"/>
      <c r="BA183" s="222"/>
      <c r="BB183" s="222"/>
      <c r="BC183" s="222"/>
      <c r="BD183" s="222"/>
      <c r="BE183" s="222"/>
      <c r="BF183" s="222"/>
      <c r="BG183" s="222"/>
      <c r="BH183" s="222"/>
      <c r="BI183" s="222"/>
      <c r="BJ183" s="222"/>
      <c r="BK183" s="222"/>
      <c r="BL183" s="222"/>
      <c r="BM183" s="222"/>
      <c r="BN183" s="222"/>
      <c r="BO183" s="222"/>
      <c r="BP183" s="222"/>
      <c r="BQ183" s="222"/>
      <c r="BR183" s="222"/>
      <c r="BS183" s="222"/>
      <c r="BT183" s="222"/>
      <c r="BU183" s="222"/>
      <c r="BV183" s="222"/>
      <c r="BW183" s="222"/>
      <c r="BX183" s="222"/>
      <c r="BY183" s="222"/>
      <c r="BZ183" s="222"/>
      <c r="CA183" s="222"/>
      <c r="CB183" s="222"/>
      <c r="CC183" s="222"/>
      <c r="CD183" s="222"/>
      <c r="CE183" s="222"/>
      <c r="CF183" s="222"/>
      <c r="CG183" s="222"/>
      <c r="CH183" s="222"/>
      <c r="CI183" s="222"/>
      <c r="CJ183" s="222"/>
      <c r="CK183" s="222"/>
      <c r="CL183" s="222"/>
      <c r="CM183" s="222"/>
      <c r="CN183" s="222"/>
      <c r="CO183" s="222"/>
      <c r="CP183" s="222"/>
      <c r="CQ183" s="222"/>
      <c r="CR183" s="222"/>
      <c r="CS183" s="222"/>
      <c r="CT183" s="222"/>
      <c r="CU183" s="222"/>
      <c r="CV183" s="222"/>
      <c r="CW183" s="222"/>
      <c r="CX183" s="222"/>
      <c r="CY183" s="222"/>
      <c r="CZ183" s="222"/>
      <c r="DA183" s="222"/>
      <c r="DB183" s="222"/>
      <c r="DC183" s="222"/>
      <c r="DD183" s="222"/>
      <c r="DE183" s="222"/>
      <c r="DF183" s="222"/>
      <c r="DG183" s="222"/>
      <c r="DH183" s="222"/>
      <c r="DI183" s="222"/>
      <c r="DJ183" s="222"/>
      <c r="DK183" s="222"/>
      <c r="DL183" s="222"/>
      <c r="DM183" s="222"/>
      <c r="DN183" s="222"/>
      <c r="DO183" s="222"/>
      <c r="DP183" s="222"/>
      <c r="DQ183" s="222"/>
      <c r="DR183" s="222"/>
      <c r="DS183" s="222"/>
      <c r="DT183" s="222"/>
      <c r="DU183" s="222"/>
      <c r="DV183" s="222"/>
      <c r="DW183" s="222"/>
      <c r="DX183" s="222"/>
      <c r="DY183" s="222"/>
      <c r="DZ183" s="222"/>
      <c r="EA183" s="222"/>
      <c r="EB183" s="222"/>
      <c r="EC183" s="222"/>
      <c r="ED183" s="222"/>
      <c r="EE183" s="222"/>
      <c r="EF183" s="222"/>
      <c r="EG183" s="222"/>
      <c r="EH183" s="222"/>
    </row>
    <row r="184" spans="1:138" hidden="1">
      <c r="A184" s="222"/>
      <c r="B184" s="318"/>
      <c r="C184" s="323" t="s">
        <v>301</v>
      </c>
      <c r="D184" s="324">
        <f>-SUM(M179:BB179)</f>
        <v>0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222"/>
      <c r="AF184" s="222"/>
      <c r="AG184" s="222"/>
      <c r="AH184" s="222"/>
      <c r="AI184" s="222"/>
      <c r="AJ184" s="222"/>
      <c r="AK184" s="222"/>
      <c r="AL184" s="222"/>
      <c r="AM184" s="222"/>
      <c r="AN184" s="222"/>
      <c r="AO184" s="222"/>
      <c r="AP184" s="222"/>
      <c r="AQ184" s="222"/>
      <c r="AR184" s="222"/>
      <c r="AS184" s="222"/>
      <c r="AT184" s="222"/>
      <c r="AU184" s="222"/>
      <c r="AV184" s="222"/>
      <c r="AW184" s="222"/>
      <c r="AX184" s="222"/>
      <c r="AY184" s="222"/>
      <c r="AZ184" s="222"/>
      <c r="BA184" s="222"/>
      <c r="BB184" s="222"/>
      <c r="BC184" s="222"/>
      <c r="BD184" s="222"/>
      <c r="BE184" s="222"/>
      <c r="BF184" s="222"/>
      <c r="BG184" s="222"/>
      <c r="BH184" s="222"/>
      <c r="BI184" s="222"/>
      <c r="BJ184" s="222"/>
      <c r="BK184" s="222"/>
      <c r="BL184" s="222"/>
      <c r="BM184" s="222"/>
      <c r="BN184" s="222"/>
      <c r="BO184" s="222"/>
      <c r="BP184" s="222"/>
      <c r="BQ184" s="222"/>
      <c r="BR184" s="222"/>
      <c r="BS184" s="222"/>
      <c r="BT184" s="222"/>
      <c r="BU184" s="222"/>
      <c r="BV184" s="222"/>
      <c r="BW184" s="222"/>
      <c r="BX184" s="222"/>
      <c r="BY184" s="222"/>
      <c r="BZ184" s="222"/>
      <c r="CA184" s="222"/>
      <c r="CB184" s="222"/>
      <c r="CC184" s="222"/>
      <c r="CD184" s="222"/>
      <c r="CE184" s="222"/>
      <c r="CF184" s="222"/>
      <c r="CG184" s="222"/>
      <c r="CH184" s="222"/>
      <c r="CI184" s="222"/>
      <c r="CJ184" s="222"/>
      <c r="CK184" s="222"/>
      <c r="CL184" s="222"/>
      <c r="CM184" s="222"/>
      <c r="CN184" s="222"/>
      <c r="CO184" s="222"/>
      <c r="CP184" s="222"/>
      <c r="CQ184" s="222"/>
      <c r="CR184" s="222"/>
      <c r="CS184" s="222"/>
      <c r="CT184" s="222"/>
      <c r="CU184" s="222"/>
      <c r="CV184" s="222"/>
      <c r="CW184" s="222"/>
      <c r="CX184" s="222"/>
      <c r="CY184" s="222"/>
      <c r="CZ184" s="222"/>
      <c r="DA184" s="222"/>
      <c r="DB184" s="222"/>
      <c r="DC184" s="222"/>
      <c r="DD184" s="222"/>
      <c r="DE184" s="222"/>
      <c r="DF184" s="222"/>
      <c r="DG184" s="222"/>
      <c r="DH184" s="222"/>
      <c r="DI184" s="222"/>
      <c r="DJ184" s="222"/>
      <c r="DK184" s="222"/>
      <c r="DL184" s="222"/>
      <c r="DM184" s="222"/>
      <c r="DN184" s="222"/>
      <c r="DO184" s="222"/>
      <c r="DP184" s="222"/>
      <c r="DQ184" s="222"/>
      <c r="DR184" s="222"/>
      <c r="DS184" s="222"/>
      <c r="DT184" s="222"/>
      <c r="DU184" s="222"/>
      <c r="DV184" s="222"/>
      <c r="DW184" s="222"/>
      <c r="DX184" s="222"/>
      <c r="DY184" s="222"/>
      <c r="DZ184" s="222"/>
      <c r="EA184" s="222"/>
      <c r="EB184" s="222"/>
      <c r="EC184" s="222"/>
      <c r="ED184" s="222"/>
      <c r="EE184" s="222"/>
      <c r="EF184" s="222"/>
      <c r="EG184" s="222"/>
      <c r="EH184" s="222"/>
    </row>
    <row r="185" spans="1:138" hidden="1">
      <c r="A185" s="222"/>
      <c r="B185" s="318"/>
      <c r="C185" s="313" t="s">
        <v>302</v>
      </c>
      <c r="D185" s="326">
        <f>D184+D183</f>
        <v>10682501</v>
      </c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22"/>
      <c r="AD185" s="222"/>
      <c r="AE185" s="222"/>
      <c r="AF185" s="222"/>
      <c r="AG185" s="222"/>
      <c r="AH185" s="222"/>
      <c r="AI185" s="222"/>
      <c r="AJ185" s="222"/>
      <c r="AK185" s="222"/>
      <c r="AL185" s="222"/>
      <c r="AM185" s="222"/>
      <c r="AN185" s="222"/>
      <c r="AO185" s="222"/>
      <c r="AP185" s="222"/>
      <c r="AQ185" s="222"/>
      <c r="AR185" s="222"/>
      <c r="AS185" s="222"/>
      <c r="AT185" s="222"/>
      <c r="AU185" s="222"/>
      <c r="AV185" s="222"/>
      <c r="AW185" s="222"/>
      <c r="AX185" s="222"/>
      <c r="AY185" s="222"/>
      <c r="AZ185" s="222"/>
      <c r="BA185" s="222"/>
      <c r="BB185" s="222"/>
      <c r="BC185" s="222"/>
      <c r="BD185" s="222"/>
      <c r="BE185" s="222"/>
      <c r="BF185" s="222"/>
      <c r="BG185" s="222"/>
      <c r="BH185" s="222"/>
      <c r="BI185" s="222"/>
      <c r="BJ185" s="222"/>
      <c r="BK185" s="222"/>
      <c r="BL185" s="222"/>
      <c r="BM185" s="222"/>
      <c r="BN185" s="222"/>
      <c r="BO185" s="222"/>
      <c r="BP185" s="222"/>
      <c r="BQ185" s="222"/>
      <c r="BR185" s="222"/>
      <c r="BS185" s="222"/>
      <c r="BT185" s="222"/>
      <c r="BU185" s="222"/>
      <c r="BV185" s="222"/>
      <c r="BW185" s="222"/>
      <c r="BX185" s="222"/>
      <c r="BY185" s="222"/>
      <c r="BZ185" s="222"/>
      <c r="CA185" s="222"/>
      <c r="CB185" s="222"/>
      <c r="CC185" s="222"/>
      <c r="CD185" s="222"/>
      <c r="CE185" s="222"/>
      <c r="CF185" s="222"/>
      <c r="CG185" s="222"/>
      <c r="CH185" s="222"/>
      <c r="CI185" s="222"/>
      <c r="CJ185" s="222"/>
      <c r="CK185" s="222"/>
      <c r="CL185" s="222"/>
      <c r="CM185" s="222"/>
      <c r="CN185" s="222"/>
      <c r="CO185" s="222"/>
      <c r="CP185" s="222"/>
      <c r="CQ185" s="222"/>
      <c r="CR185" s="222"/>
      <c r="CS185" s="222"/>
      <c r="CT185" s="222"/>
      <c r="CU185" s="222"/>
      <c r="CV185" s="222"/>
      <c r="CW185" s="222"/>
      <c r="CX185" s="222"/>
      <c r="CY185" s="222"/>
      <c r="CZ185" s="222"/>
      <c r="DA185" s="222"/>
      <c r="DB185" s="222"/>
      <c r="DC185" s="222"/>
      <c r="DD185" s="222"/>
      <c r="DE185" s="222"/>
      <c r="DF185" s="222"/>
      <c r="DG185" s="222"/>
      <c r="DH185" s="222"/>
      <c r="DI185" s="222"/>
      <c r="DJ185" s="222"/>
      <c r="DK185" s="222"/>
      <c r="DL185" s="222"/>
      <c r="DM185" s="222"/>
      <c r="DN185" s="222"/>
      <c r="DO185" s="222"/>
      <c r="DP185" s="222"/>
      <c r="DQ185" s="222"/>
      <c r="DR185" s="222"/>
      <c r="DS185" s="222"/>
      <c r="DT185" s="222"/>
      <c r="DU185" s="222"/>
      <c r="DV185" s="222"/>
      <c r="DW185" s="325"/>
      <c r="DX185" s="325"/>
      <c r="DY185" s="325"/>
      <c r="DZ185" s="325"/>
      <c r="EA185" s="325"/>
      <c r="EB185" s="325"/>
      <c r="EC185" s="325"/>
      <c r="ED185" s="325"/>
      <c r="EE185" s="325"/>
      <c r="EF185" s="325"/>
      <c r="EG185" s="325"/>
      <c r="EH185" s="325"/>
    </row>
    <row r="186" spans="1:138" hidden="1">
      <c r="A186" s="222"/>
      <c r="B186" s="318"/>
      <c r="C186" s="313" t="s">
        <v>303</v>
      </c>
      <c r="D186" s="326">
        <f>BX177+BX178</f>
        <v>0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2"/>
      <c r="AX186" s="222"/>
      <c r="AY186" s="222"/>
      <c r="AZ186" s="222"/>
      <c r="BA186" s="222"/>
      <c r="BB186" s="222"/>
      <c r="BC186" s="222"/>
      <c r="BD186" s="222"/>
      <c r="BE186" s="222"/>
      <c r="BF186" s="222"/>
      <c r="BG186" s="222"/>
      <c r="BH186" s="222"/>
      <c r="BI186" s="222"/>
      <c r="BJ186" s="222"/>
      <c r="BK186" s="222"/>
      <c r="BL186" s="222"/>
      <c r="BM186" s="222"/>
      <c r="BN186" s="222"/>
      <c r="BO186" s="222"/>
      <c r="BP186" s="222"/>
      <c r="BQ186" s="222"/>
      <c r="BR186" s="222"/>
      <c r="BS186" s="222"/>
      <c r="BT186" s="222"/>
      <c r="BU186" s="222"/>
      <c r="BV186" s="222"/>
      <c r="BW186" s="222"/>
      <c r="BX186" s="222"/>
      <c r="BY186" s="222"/>
      <c r="BZ186" s="222"/>
      <c r="CA186" s="222"/>
      <c r="CB186" s="222"/>
      <c r="CC186" s="222"/>
      <c r="CD186" s="222"/>
      <c r="CE186" s="222"/>
      <c r="CF186" s="222"/>
      <c r="CG186" s="222"/>
      <c r="CH186" s="222"/>
      <c r="CI186" s="222"/>
      <c r="CJ186" s="222"/>
      <c r="CK186" s="222"/>
      <c r="CL186" s="222"/>
      <c r="CM186" s="222"/>
      <c r="CN186" s="222"/>
      <c r="CO186" s="222"/>
      <c r="CP186" s="222"/>
      <c r="CQ186" s="222"/>
      <c r="CR186" s="222"/>
      <c r="CS186" s="222"/>
      <c r="CT186" s="222"/>
      <c r="CU186" s="222"/>
      <c r="CV186" s="222"/>
      <c r="CW186" s="222"/>
      <c r="CX186" s="222"/>
      <c r="CY186" s="222"/>
      <c r="CZ186" s="222"/>
      <c r="DA186" s="222"/>
      <c r="DB186" s="222"/>
      <c r="DC186" s="222"/>
      <c r="DD186" s="222"/>
      <c r="DE186" s="222"/>
      <c r="DF186" s="222"/>
      <c r="DG186" s="222"/>
      <c r="DH186" s="222"/>
      <c r="DI186" s="222"/>
      <c r="DJ186" s="222"/>
      <c r="DK186" s="222"/>
      <c r="DL186" s="222"/>
      <c r="DM186" s="222"/>
      <c r="DN186" s="222"/>
      <c r="DO186" s="222"/>
      <c r="DP186" s="222"/>
      <c r="DQ186" s="222"/>
      <c r="DR186" s="222"/>
      <c r="DS186" s="222"/>
      <c r="DT186" s="222"/>
      <c r="DU186" s="222"/>
      <c r="DV186" s="222"/>
      <c r="DW186" s="325"/>
      <c r="DX186" s="325"/>
      <c r="DY186" s="325"/>
      <c r="DZ186" s="325"/>
      <c r="EA186" s="325"/>
      <c r="EB186" s="325"/>
      <c r="EC186" s="325"/>
      <c r="ED186" s="325"/>
      <c r="EE186" s="325"/>
      <c r="EF186" s="325"/>
      <c r="EG186" s="325"/>
      <c r="EH186" s="325"/>
    </row>
    <row r="187" spans="1:138" hidden="1">
      <c r="A187" s="222"/>
      <c r="B187" s="318"/>
      <c r="C187" s="313" t="s">
        <v>147</v>
      </c>
      <c r="D187" s="322">
        <f>T178/T175</f>
        <v>0.51486070537227191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2"/>
      <c r="AX187" s="222"/>
      <c r="AY187" s="222"/>
      <c r="AZ187" s="222"/>
      <c r="BA187" s="222"/>
      <c r="BB187" s="222"/>
      <c r="BC187" s="222"/>
      <c r="BD187" s="222"/>
      <c r="BE187" s="222"/>
      <c r="BF187" s="222"/>
      <c r="BG187" s="222"/>
      <c r="BH187" s="222"/>
      <c r="BI187" s="222"/>
      <c r="BJ187" s="222"/>
      <c r="BK187" s="222"/>
      <c r="BL187" s="222"/>
      <c r="BM187" s="222"/>
      <c r="BN187" s="222"/>
      <c r="BO187" s="222"/>
      <c r="BP187" s="222"/>
      <c r="BQ187" s="222"/>
      <c r="BR187" s="222"/>
      <c r="BS187" s="222"/>
      <c r="BT187" s="222"/>
      <c r="BU187" s="222"/>
      <c r="BV187" s="222"/>
      <c r="BW187" s="222"/>
      <c r="BX187" s="222"/>
      <c r="BY187" s="222"/>
      <c r="BZ187" s="222"/>
      <c r="CA187" s="222"/>
      <c r="CB187" s="222"/>
      <c r="CC187" s="222"/>
      <c r="CD187" s="222"/>
      <c r="CE187" s="222"/>
      <c r="CF187" s="222"/>
      <c r="CG187" s="222"/>
      <c r="CH187" s="222"/>
      <c r="CI187" s="222"/>
      <c r="CJ187" s="222"/>
      <c r="CK187" s="222"/>
      <c r="CL187" s="222"/>
      <c r="CM187" s="222"/>
      <c r="CN187" s="222"/>
      <c r="CO187" s="222"/>
      <c r="CP187" s="222"/>
      <c r="CQ187" s="222"/>
      <c r="CR187" s="222"/>
      <c r="CS187" s="222"/>
      <c r="CT187" s="222"/>
      <c r="CU187" s="222"/>
      <c r="CV187" s="222"/>
      <c r="CW187" s="222"/>
      <c r="CX187" s="222"/>
      <c r="CY187" s="222"/>
      <c r="CZ187" s="222"/>
      <c r="DA187" s="222"/>
      <c r="DB187" s="222"/>
      <c r="DC187" s="222"/>
      <c r="DD187" s="222"/>
      <c r="DE187" s="222"/>
      <c r="DF187" s="222"/>
      <c r="DG187" s="222"/>
      <c r="DH187" s="222"/>
      <c r="DI187" s="222"/>
      <c r="DJ187" s="222"/>
      <c r="DK187" s="222"/>
      <c r="DL187" s="222"/>
      <c r="DM187" s="222"/>
      <c r="DN187" s="222"/>
      <c r="DO187" s="222"/>
      <c r="DP187" s="222"/>
      <c r="DQ187" s="222"/>
      <c r="DR187" s="222"/>
      <c r="DS187" s="222"/>
      <c r="DT187" s="222"/>
      <c r="DU187" s="222"/>
      <c r="DV187" s="222"/>
      <c r="DW187" s="325"/>
      <c r="DX187" s="325"/>
      <c r="DY187" s="325"/>
      <c r="DZ187" s="325"/>
      <c r="EA187" s="325"/>
      <c r="EB187" s="325"/>
      <c r="EC187" s="325"/>
      <c r="ED187" s="325"/>
      <c r="EE187" s="325"/>
      <c r="EF187" s="325"/>
      <c r="EG187" s="325"/>
      <c r="EH187" s="325"/>
    </row>
    <row r="188" spans="1:138" ht="14.1" hidden="1"/>
    <row r="189" spans="1:138" ht="14.1" hidden="1"/>
    <row r="190" spans="1:138" hidden="1">
      <c r="A190" s="222"/>
      <c r="B190" s="318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2"/>
      <c r="BN190" s="222"/>
      <c r="BO190" s="222"/>
      <c r="BP190" s="222"/>
      <c r="BQ190" s="222"/>
      <c r="BR190" s="222"/>
      <c r="BS190" s="222"/>
      <c r="BT190" s="222"/>
      <c r="BU190" s="222"/>
      <c r="BV190" s="222"/>
      <c r="BW190" s="222"/>
      <c r="BX190" s="222"/>
      <c r="BY190" s="222"/>
      <c r="BZ190" s="222"/>
      <c r="CA190" s="222"/>
      <c r="CB190" s="222"/>
      <c r="CC190" s="222"/>
      <c r="CD190" s="222"/>
      <c r="CE190" s="222"/>
      <c r="CF190" s="222"/>
      <c r="CG190" s="222"/>
      <c r="CH190" s="222"/>
      <c r="CI190" s="222"/>
      <c r="CJ190" s="222"/>
      <c r="CK190" s="222"/>
      <c r="CL190" s="222"/>
      <c r="CM190" s="222"/>
      <c r="CN190" s="222"/>
      <c r="CO190" s="222"/>
      <c r="CP190" s="222"/>
      <c r="CQ190" s="222"/>
      <c r="CR190" s="222"/>
      <c r="CS190" s="222"/>
      <c r="CT190" s="222"/>
      <c r="CU190" s="222"/>
      <c r="CV190" s="222"/>
      <c r="CW190" s="222"/>
      <c r="CX190" s="222"/>
      <c r="CY190" s="222"/>
      <c r="CZ190" s="222"/>
      <c r="DA190" s="222"/>
      <c r="DB190" s="222"/>
      <c r="DC190" s="222"/>
      <c r="DD190" s="222"/>
      <c r="DE190" s="222"/>
      <c r="DF190" s="222"/>
      <c r="DG190" s="222"/>
      <c r="DH190" s="222"/>
      <c r="DI190" s="222"/>
      <c r="DJ190" s="222"/>
      <c r="DK190" s="222"/>
      <c r="DL190" s="222"/>
      <c r="DM190" s="222"/>
      <c r="DN190" s="222"/>
      <c r="DO190" s="222"/>
      <c r="DP190" s="222"/>
      <c r="DQ190" s="222"/>
      <c r="DR190" s="222"/>
      <c r="DS190" s="222"/>
      <c r="DT190" s="222"/>
      <c r="DU190" s="222"/>
      <c r="DV190" s="222"/>
      <c r="DW190" s="325"/>
      <c r="DX190" s="325"/>
      <c r="DY190" s="325"/>
      <c r="DZ190" s="325"/>
      <c r="EA190" s="325"/>
      <c r="EB190" s="325"/>
      <c r="EC190" s="325"/>
      <c r="ED190" s="325"/>
      <c r="EE190" s="325"/>
      <c r="EF190" s="325"/>
      <c r="EG190" s="325"/>
      <c r="EH190" s="325"/>
    </row>
    <row r="191" spans="1:138" hidden="1">
      <c r="A191" s="222"/>
      <c r="B191" s="318"/>
      <c r="C191" s="310" t="s">
        <v>308</v>
      </c>
      <c r="D191" s="311"/>
      <c r="E191" s="311">
        <f t="shared" ref="E191:G191" si="60">-(E7+E93)</f>
        <v>0</v>
      </c>
      <c r="F191" s="311">
        <f t="shared" si="60"/>
        <v>0</v>
      </c>
      <c r="G191" s="311">
        <f t="shared" si="60"/>
        <v>0</v>
      </c>
      <c r="H191" s="311">
        <f>-5341205.5</f>
        <v>-5341205.5</v>
      </c>
      <c r="I191" s="311">
        <f t="shared" ref="I191:S191" si="61">-(I7+I93)</f>
        <v>0</v>
      </c>
      <c r="J191" s="311">
        <f t="shared" si="61"/>
        <v>0</v>
      </c>
      <c r="K191" s="311">
        <f t="shared" si="61"/>
        <v>0</v>
      </c>
      <c r="L191" s="311">
        <f t="shared" si="61"/>
        <v>-9000000</v>
      </c>
      <c r="M191" s="311">
        <f t="shared" si="61"/>
        <v>0</v>
      </c>
      <c r="N191" s="311">
        <f t="shared" si="61"/>
        <v>0</v>
      </c>
      <c r="O191" s="311">
        <f t="shared" si="61"/>
        <v>0</v>
      </c>
      <c r="P191" s="311">
        <f t="shared" si="61"/>
        <v>0</v>
      </c>
      <c r="Q191" s="311">
        <f t="shared" si="61"/>
        <v>0</v>
      </c>
      <c r="R191" s="311">
        <f t="shared" si="61"/>
        <v>0</v>
      </c>
      <c r="S191" s="311">
        <f t="shared" si="61"/>
        <v>0</v>
      </c>
      <c r="T191" s="311">
        <f>5341205.5</f>
        <v>5341205.5</v>
      </c>
      <c r="U191" s="311">
        <f t="shared" ref="U191:BX191" si="62">-(U7+U93)</f>
        <v>0</v>
      </c>
      <c r="V191" s="311">
        <f t="shared" si="62"/>
        <v>0</v>
      </c>
      <c r="W191" s="311">
        <f t="shared" si="62"/>
        <v>0</v>
      </c>
      <c r="X191" s="311">
        <f t="shared" si="62"/>
        <v>0</v>
      </c>
      <c r="Y191" s="311">
        <f t="shared" si="62"/>
        <v>0</v>
      </c>
      <c r="Z191" s="311">
        <f t="shared" si="62"/>
        <v>0</v>
      </c>
      <c r="AA191" s="311">
        <f t="shared" si="62"/>
        <v>0</v>
      </c>
      <c r="AB191" s="311">
        <f t="shared" si="62"/>
        <v>0</v>
      </c>
      <c r="AC191" s="311">
        <f t="shared" si="62"/>
        <v>9000000</v>
      </c>
      <c r="AD191" s="311">
        <f t="shared" si="62"/>
        <v>0</v>
      </c>
      <c r="AE191" s="311">
        <f t="shared" si="62"/>
        <v>0</v>
      </c>
      <c r="AF191" s="311">
        <f t="shared" si="62"/>
        <v>0</v>
      </c>
      <c r="AG191" s="311">
        <f t="shared" si="62"/>
        <v>0</v>
      </c>
      <c r="AH191" s="311">
        <f t="shared" si="62"/>
        <v>0</v>
      </c>
      <c r="AI191" s="311">
        <f t="shared" si="62"/>
        <v>0</v>
      </c>
      <c r="AJ191" s="311">
        <f t="shared" si="62"/>
        <v>0</v>
      </c>
      <c r="AK191" s="311">
        <f t="shared" si="62"/>
        <v>0</v>
      </c>
      <c r="AL191" s="311">
        <f t="shared" si="62"/>
        <v>0</v>
      </c>
      <c r="AM191" s="311">
        <f t="shared" si="62"/>
        <v>0</v>
      </c>
      <c r="AN191" s="311">
        <f t="shared" si="62"/>
        <v>0</v>
      </c>
      <c r="AO191" s="311">
        <f t="shared" si="62"/>
        <v>0</v>
      </c>
      <c r="AP191" s="311">
        <f t="shared" si="62"/>
        <v>0</v>
      </c>
      <c r="AQ191" s="311">
        <f t="shared" si="62"/>
        <v>0</v>
      </c>
      <c r="AR191" s="311">
        <f t="shared" si="62"/>
        <v>0</v>
      </c>
      <c r="AS191" s="311">
        <f t="shared" si="62"/>
        <v>0</v>
      </c>
      <c r="AT191" s="311">
        <f t="shared" si="62"/>
        <v>0</v>
      </c>
      <c r="AU191" s="311">
        <f t="shared" si="62"/>
        <v>0</v>
      </c>
      <c r="AV191" s="311">
        <f t="shared" si="62"/>
        <v>0</v>
      </c>
      <c r="AW191" s="311">
        <f t="shared" si="62"/>
        <v>0</v>
      </c>
      <c r="AX191" s="311">
        <f t="shared" si="62"/>
        <v>0</v>
      </c>
      <c r="AY191" s="311">
        <f t="shared" si="62"/>
        <v>0</v>
      </c>
      <c r="AZ191" s="311">
        <f t="shared" si="62"/>
        <v>0</v>
      </c>
      <c r="BA191" s="311">
        <f t="shared" si="62"/>
        <v>0</v>
      </c>
      <c r="BB191" s="311">
        <f t="shared" si="62"/>
        <v>0</v>
      </c>
      <c r="BC191" s="311">
        <f t="shared" si="62"/>
        <v>0</v>
      </c>
      <c r="BD191" s="311">
        <f t="shared" si="62"/>
        <v>0</v>
      </c>
      <c r="BE191" s="311">
        <f t="shared" si="62"/>
        <v>0</v>
      </c>
      <c r="BF191" s="311">
        <f t="shared" si="62"/>
        <v>0</v>
      </c>
      <c r="BG191" s="311">
        <f t="shared" si="62"/>
        <v>0</v>
      </c>
      <c r="BH191" s="311">
        <f t="shared" si="62"/>
        <v>0</v>
      </c>
      <c r="BI191" s="311">
        <f t="shared" si="62"/>
        <v>0</v>
      </c>
      <c r="BJ191" s="311">
        <f t="shared" si="62"/>
        <v>0</v>
      </c>
      <c r="BK191" s="311">
        <f t="shared" si="62"/>
        <v>0</v>
      </c>
      <c r="BL191" s="311">
        <f t="shared" si="62"/>
        <v>0</v>
      </c>
      <c r="BM191" s="311">
        <f t="shared" si="62"/>
        <v>0</v>
      </c>
      <c r="BN191" s="311">
        <f t="shared" si="62"/>
        <v>0</v>
      </c>
      <c r="BO191" s="311">
        <f t="shared" si="62"/>
        <v>0</v>
      </c>
      <c r="BP191" s="311">
        <f t="shared" si="62"/>
        <v>0</v>
      </c>
      <c r="BQ191" s="311">
        <f t="shared" si="62"/>
        <v>0</v>
      </c>
      <c r="BR191" s="311">
        <f t="shared" si="62"/>
        <v>0</v>
      </c>
      <c r="BS191" s="311">
        <f t="shared" si="62"/>
        <v>0</v>
      </c>
      <c r="BT191" s="311">
        <f t="shared" si="62"/>
        <v>0</v>
      </c>
      <c r="BU191" s="311">
        <f t="shared" si="62"/>
        <v>0</v>
      </c>
      <c r="BV191" s="311">
        <f t="shared" si="62"/>
        <v>0</v>
      </c>
      <c r="BW191" s="311">
        <f t="shared" si="62"/>
        <v>0</v>
      </c>
      <c r="BX191" s="311">
        <f t="shared" si="62"/>
        <v>0</v>
      </c>
      <c r="BY191" s="222"/>
      <c r="BZ191" s="222"/>
      <c r="CA191" s="222"/>
      <c r="CB191" s="222"/>
      <c r="CC191" s="222"/>
      <c r="CD191" s="222"/>
      <c r="CE191" s="222"/>
      <c r="CF191" s="222"/>
      <c r="CG191" s="222"/>
      <c r="CH191" s="222"/>
      <c r="CI191" s="222"/>
      <c r="CJ191" s="222"/>
      <c r="CK191" s="222"/>
      <c r="CL191" s="222"/>
      <c r="CM191" s="222"/>
      <c r="CN191" s="222"/>
      <c r="CO191" s="222"/>
      <c r="CP191" s="222"/>
      <c r="CQ191" s="222"/>
      <c r="CR191" s="222"/>
      <c r="CS191" s="222"/>
      <c r="CT191" s="222"/>
      <c r="CU191" s="222"/>
      <c r="CV191" s="222"/>
      <c r="CW191" s="222"/>
      <c r="CX191" s="222"/>
      <c r="CY191" s="222"/>
      <c r="CZ191" s="222"/>
      <c r="DA191" s="222"/>
      <c r="DB191" s="222"/>
      <c r="DC191" s="222"/>
      <c r="DD191" s="222"/>
      <c r="DE191" s="222"/>
      <c r="DF191" s="222"/>
      <c r="DG191" s="222"/>
      <c r="DH191" s="222"/>
      <c r="DI191" s="222"/>
      <c r="DJ191" s="222"/>
      <c r="DK191" s="222"/>
      <c r="DL191" s="222"/>
      <c r="DM191" s="222"/>
      <c r="DN191" s="222"/>
      <c r="DO191" s="222"/>
      <c r="DP191" s="222"/>
      <c r="DQ191" s="222"/>
      <c r="DR191" s="222"/>
      <c r="DS191" s="222"/>
      <c r="DT191" s="222"/>
      <c r="DU191" s="222"/>
      <c r="DV191" s="222"/>
      <c r="DW191" s="325"/>
      <c r="DX191" s="325"/>
      <c r="DY191" s="325"/>
      <c r="DZ191" s="325"/>
      <c r="EA191" s="325"/>
      <c r="EB191" s="325"/>
      <c r="EC191" s="325"/>
      <c r="ED191" s="325"/>
      <c r="EE191" s="325"/>
      <c r="EF191" s="325"/>
      <c r="EG191" s="325"/>
      <c r="EH191" s="325"/>
    </row>
    <row r="192" spans="1:138" hidden="1">
      <c r="A192" s="222"/>
      <c r="B192" s="318"/>
      <c r="C192" s="310" t="s">
        <v>305</v>
      </c>
      <c r="D192" s="319"/>
      <c r="E192" s="311"/>
      <c r="F192" s="311"/>
      <c r="G192" s="311"/>
      <c r="H192" s="311"/>
      <c r="I192" s="311"/>
      <c r="J192" s="311"/>
      <c r="K192" s="311"/>
      <c r="L192" s="311"/>
      <c r="M192" s="311"/>
      <c r="N192" s="311"/>
      <c r="O192" s="311"/>
      <c r="P192" s="311"/>
      <c r="Q192" s="311"/>
      <c r="R192" s="311"/>
      <c r="S192" s="311"/>
      <c r="T192" s="311"/>
      <c r="U192" s="311"/>
      <c r="V192" s="311"/>
      <c r="W192" s="311"/>
      <c r="X192" s="311"/>
      <c r="Y192" s="311"/>
      <c r="Z192" s="311"/>
      <c r="AA192" s="311"/>
      <c r="AB192" s="311"/>
      <c r="AC192" s="311"/>
      <c r="AD192" s="311"/>
      <c r="AE192" s="311"/>
      <c r="AF192" s="311"/>
      <c r="AG192" s="311"/>
      <c r="AH192" s="311"/>
      <c r="AI192" s="311"/>
      <c r="AJ192" s="311"/>
      <c r="AK192" s="311"/>
      <c r="AL192" s="311"/>
      <c r="AM192" s="311"/>
      <c r="AN192" s="311"/>
      <c r="AO192" s="311"/>
      <c r="AP192" s="311"/>
      <c r="AQ192" s="311"/>
      <c r="AR192" s="311"/>
      <c r="AS192" s="311"/>
      <c r="AT192" s="311"/>
      <c r="AU192" s="311"/>
      <c r="AV192" s="311"/>
      <c r="AW192" s="311"/>
      <c r="AX192" s="311"/>
      <c r="AY192" s="311"/>
      <c r="AZ192" s="311"/>
      <c r="BA192" s="311"/>
      <c r="BB192" s="311"/>
      <c r="BC192" s="311"/>
      <c r="BD192" s="311"/>
      <c r="BE192" s="311"/>
      <c r="BF192" s="311"/>
      <c r="BG192" s="311"/>
      <c r="BH192" s="311"/>
      <c r="BI192" s="311"/>
      <c r="BJ192" s="311"/>
      <c r="BK192" s="311"/>
      <c r="BL192" s="311"/>
      <c r="BM192" s="311"/>
      <c r="BN192" s="311"/>
      <c r="BO192" s="311"/>
      <c r="BP192" s="311"/>
      <c r="BQ192" s="311"/>
      <c r="BR192" s="311"/>
      <c r="BS192" s="311"/>
      <c r="BT192" s="311"/>
      <c r="BU192" s="311"/>
      <c r="BV192" s="311"/>
      <c r="BW192" s="311"/>
      <c r="BX192" s="311"/>
      <c r="BY192" s="222"/>
      <c r="BZ192" s="222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325"/>
      <c r="DX192" s="325"/>
      <c r="DY192" s="325"/>
      <c r="DZ192" s="325"/>
      <c r="EA192" s="325"/>
      <c r="EB192" s="325"/>
      <c r="EC192" s="325"/>
      <c r="ED192" s="325"/>
      <c r="EE192" s="325"/>
      <c r="EF192" s="325"/>
      <c r="EG192" s="325"/>
      <c r="EH192" s="325"/>
    </row>
    <row r="193" spans="1:138" hidden="1">
      <c r="A193" s="222"/>
      <c r="B193" s="318"/>
      <c r="C193" s="310" t="s">
        <v>296</v>
      </c>
      <c r="D193" s="319"/>
      <c r="E193" s="311">
        <f t="shared" ref="E193:BX193" si="63">-E58</f>
        <v>0</v>
      </c>
      <c r="F193" s="311">
        <f t="shared" si="63"/>
        <v>0</v>
      </c>
      <c r="G193" s="311">
        <f t="shared" si="63"/>
        <v>0</v>
      </c>
      <c r="H193" s="311">
        <f t="shared" si="63"/>
        <v>0</v>
      </c>
      <c r="I193" s="311">
        <f t="shared" si="63"/>
        <v>0</v>
      </c>
      <c r="J193" s="311">
        <f t="shared" si="63"/>
        <v>0</v>
      </c>
      <c r="K193" s="311">
        <f t="shared" si="63"/>
        <v>0</v>
      </c>
      <c r="L193" s="311">
        <f t="shared" si="63"/>
        <v>0</v>
      </c>
      <c r="M193" s="311">
        <f t="shared" si="63"/>
        <v>0</v>
      </c>
      <c r="N193" s="311">
        <f t="shared" si="63"/>
        <v>0</v>
      </c>
      <c r="O193" s="311">
        <f t="shared" si="63"/>
        <v>0</v>
      </c>
      <c r="P193" s="311">
        <f t="shared" si="63"/>
        <v>0</v>
      </c>
      <c r="Q193" s="311">
        <f t="shared" si="63"/>
        <v>0</v>
      </c>
      <c r="R193" s="311">
        <f t="shared" si="63"/>
        <v>0</v>
      </c>
      <c r="S193" s="311">
        <f t="shared" si="63"/>
        <v>0</v>
      </c>
      <c r="T193" s="311">
        <f t="shared" si="63"/>
        <v>0</v>
      </c>
      <c r="U193" s="311">
        <f t="shared" si="63"/>
        <v>0</v>
      </c>
      <c r="V193" s="311">
        <f t="shared" si="63"/>
        <v>0</v>
      </c>
      <c r="W193" s="311">
        <f t="shared" si="63"/>
        <v>0</v>
      </c>
      <c r="X193" s="311">
        <f t="shared" si="63"/>
        <v>0</v>
      </c>
      <c r="Y193" s="311">
        <f t="shared" si="63"/>
        <v>0</v>
      </c>
      <c r="Z193" s="311">
        <f t="shared" si="63"/>
        <v>0</v>
      </c>
      <c r="AA193" s="311">
        <f t="shared" si="63"/>
        <v>0</v>
      </c>
      <c r="AB193" s="311">
        <f t="shared" si="63"/>
        <v>0</v>
      </c>
      <c r="AC193" s="311">
        <f t="shared" si="63"/>
        <v>1485000</v>
      </c>
      <c r="AD193" s="311">
        <f t="shared" si="63"/>
        <v>0</v>
      </c>
      <c r="AE193" s="311">
        <f t="shared" si="63"/>
        <v>0</v>
      </c>
      <c r="AF193" s="311">
        <f t="shared" si="63"/>
        <v>0</v>
      </c>
      <c r="AG193" s="311">
        <f t="shared" si="63"/>
        <v>0</v>
      </c>
      <c r="AH193" s="311">
        <f t="shared" si="63"/>
        <v>0</v>
      </c>
      <c r="AI193" s="311">
        <f t="shared" si="63"/>
        <v>0</v>
      </c>
      <c r="AJ193" s="311">
        <f t="shared" si="63"/>
        <v>0</v>
      </c>
      <c r="AK193" s="311">
        <f t="shared" si="63"/>
        <v>0</v>
      </c>
      <c r="AL193" s="311">
        <f t="shared" si="63"/>
        <v>0</v>
      </c>
      <c r="AM193" s="311">
        <f t="shared" si="63"/>
        <v>0</v>
      </c>
      <c r="AN193" s="311">
        <f t="shared" si="63"/>
        <v>0</v>
      </c>
      <c r="AO193" s="311">
        <f t="shared" si="63"/>
        <v>0</v>
      </c>
      <c r="AP193" s="311">
        <f t="shared" si="63"/>
        <v>0</v>
      </c>
      <c r="AQ193" s="311">
        <f t="shared" si="63"/>
        <v>0</v>
      </c>
      <c r="AR193" s="311">
        <f t="shared" si="63"/>
        <v>0</v>
      </c>
      <c r="AS193" s="311">
        <f t="shared" si="63"/>
        <v>0</v>
      </c>
      <c r="AT193" s="311">
        <f t="shared" si="63"/>
        <v>0</v>
      </c>
      <c r="AU193" s="311">
        <f t="shared" si="63"/>
        <v>0</v>
      </c>
      <c r="AV193" s="311">
        <f t="shared" si="63"/>
        <v>0</v>
      </c>
      <c r="AW193" s="311">
        <f t="shared" si="63"/>
        <v>0</v>
      </c>
      <c r="AX193" s="311">
        <f t="shared" si="63"/>
        <v>0</v>
      </c>
      <c r="AY193" s="311">
        <f t="shared" si="63"/>
        <v>0</v>
      </c>
      <c r="AZ193" s="311">
        <f t="shared" si="63"/>
        <v>0</v>
      </c>
      <c r="BA193" s="311">
        <f t="shared" si="63"/>
        <v>0</v>
      </c>
      <c r="BB193" s="311">
        <f t="shared" si="63"/>
        <v>0</v>
      </c>
      <c r="BC193" s="311">
        <f t="shared" si="63"/>
        <v>0</v>
      </c>
      <c r="BD193" s="311">
        <f t="shared" si="63"/>
        <v>0</v>
      </c>
      <c r="BE193" s="311">
        <f t="shared" si="63"/>
        <v>0</v>
      </c>
      <c r="BF193" s="311">
        <f t="shared" si="63"/>
        <v>0</v>
      </c>
      <c r="BG193" s="311">
        <f t="shared" si="63"/>
        <v>0</v>
      </c>
      <c r="BH193" s="311">
        <f t="shared" si="63"/>
        <v>0</v>
      </c>
      <c r="BI193" s="311">
        <f t="shared" si="63"/>
        <v>0</v>
      </c>
      <c r="BJ193" s="311">
        <f t="shared" si="63"/>
        <v>0</v>
      </c>
      <c r="BK193" s="311">
        <f t="shared" si="63"/>
        <v>0</v>
      </c>
      <c r="BL193" s="311">
        <f t="shared" si="63"/>
        <v>0</v>
      </c>
      <c r="BM193" s="311">
        <f t="shared" si="63"/>
        <v>0</v>
      </c>
      <c r="BN193" s="311">
        <f t="shared" si="63"/>
        <v>0</v>
      </c>
      <c r="BO193" s="311">
        <f t="shared" si="63"/>
        <v>0</v>
      </c>
      <c r="BP193" s="311">
        <f t="shared" si="63"/>
        <v>0</v>
      </c>
      <c r="BQ193" s="311">
        <f t="shared" si="63"/>
        <v>0</v>
      </c>
      <c r="BR193" s="311">
        <f t="shared" si="63"/>
        <v>0</v>
      </c>
      <c r="BS193" s="311">
        <f t="shared" si="63"/>
        <v>0</v>
      </c>
      <c r="BT193" s="311">
        <f t="shared" si="63"/>
        <v>0</v>
      </c>
      <c r="BU193" s="311">
        <f t="shared" si="63"/>
        <v>0</v>
      </c>
      <c r="BV193" s="311">
        <f t="shared" si="63"/>
        <v>0</v>
      </c>
      <c r="BW193" s="311">
        <f t="shared" si="63"/>
        <v>0</v>
      </c>
      <c r="BX193" s="311">
        <f t="shared" si="63"/>
        <v>0</v>
      </c>
      <c r="BY193" s="222"/>
      <c r="BZ193" s="222"/>
      <c r="CA193" s="222"/>
      <c r="CB193" s="222"/>
      <c r="CC193" s="222"/>
      <c r="CD193" s="222"/>
      <c r="CE193" s="222"/>
      <c r="CF193" s="222"/>
      <c r="CG193" s="222"/>
      <c r="CH193" s="222"/>
      <c r="CI193" s="222"/>
      <c r="CJ193" s="222"/>
      <c r="CK193" s="222"/>
      <c r="CL193" s="222"/>
      <c r="CM193" s="222"/>
      <c r="CN193" s="222"/>
      <c r="CO193" s="222"/>
      <c r="CP193" s="222"/>
      <c r="CQ193" s="222"/>
      <c r="CR193" s="222"/>
      <c r="CS193" s="222"/>
      <c r="CT193" s="222"/>
      <c r="CU193" s="222"/>
      <c r="CV193" s="222"/>
      <c r="CW193" s="222"/>
      <c r="CX193" s="222"/>
      <c r="CY193" s="222"/>
      <c r="CZ193" s="222"/>
      <c r="DA193" s="222"/>
      <c r="DB193" s="222"/>
      <c r="DC193" s="222"/>
      <c r="DD193" s="222"/>
      <c r="DE193" s="222"/>
      <c r="DF193" s="222"/>
      <c r="DG193" s="222"/>
      <c r="DH193" s="222"/>
      <c r="DI193" s="222"/>
      <c r="DJ193" s="222"/>
      <c r="DK193" s="222"/>
      <c r="DL193" s="222"/>
      <c r="DM193" s="222"/>
      <c r="DN193" s="222"/>
      <c r="DO193" s="222"/>
      <c r="DP193" s="222"/>
      <c r="DQ193" s="222"/>
      <c r="DR193" s="222"/>
      <c r="DS193" s="222"/>
      <c r="DT193" s="222"/>
      <c r="DU193" s="222"/>
      <c r="DV193" s="222"/>
      <c r="DW193" s="325"/>
      <c r="DX193" s="325"/>
      <c r="DY193" s="325"/>
      <c r="DZ193" s="325"/>
      <c r="EA193" s="325"/>
      <c r="EB193" s="325"/>
      <c r="EC193" s="325"/>
      <c r="ED193" s="325"/>
      <c r="EE193" s="325"/>
      <c r="EF193" s="325"/>
      <c r="EG193" s="325"/>
      <c r="EH193" s="325"/>
    </row>
    <row r="194" spans="1:138" hidden="1">
      <c r="A194" s="222"/>
      <c r="B194" s="318"/>
      <c r="C194" s="310" t="s">
        <v>297</v>
      </c>
      <c r="D194" s="319"/>
      <c r="E194" s="311"/>
      <c r="F194" s="311"/>
      <c r="G194" s="311"/>
      <c r="H194" s="311"/>
      <c r="I194" s="311"/>
      <c r="J194" s="311"/>
      <c r="K194" s="311"/>
      <c r="L194" s="311"/>
      <c r="M194" s="311"/>
      <c r="N194" s="311"/>
      <c r="O194" s="311"/>
      <c r="P194" s="311"/>
      <c r="Q194" s="311"/>
      <c r="R194" s="311"/>
      <c r="S194" s="311"/>
      <c r="T194" s="311">
        <v>2750000</v>
      </c>
      <c r="U194" s="311"/>
      <c r="V194" s="311"/>
      <c r="W194" s="311"/>
      <c r="X194" s="311"/>
      <c r="Y194" s="311"/>
      <c r="Z194" s="311"/>
      <c r="AA194" s="311"/>
      <c r="AB194" s="311"/>
      <c r="AC194" s="311"/>
      <c r="AD194" s="311"/>
      <c r="AE194" s="311"/>
      <c r="AF194" s="311"/>
      <c r="AG194" s="311"/>
      <c r="AH194" s="311"/>
      <c r="AI194" s="311"/>
      <c r="AJ194" s="311"/>
      <c r="AK194" s="311"/>
      <c r="AL194" s="311"/>
      <c r="AM194" s="311"/>
      <c r="AN194" s="311"/>
      <c r="AO194" s="311"/>
      <c r="AP194" s="311"/>
      <c r="AQ194" s="311"/>
      <c r="AR194" s="311"/>
      <c r="AS194" s="311"/>
      <c r="AT194" s="311"/>
      <c r="AU194" s="311"/>
      <c r="AV194" s="311"/>
      <c r="AW194" s="311"/>
      <c r="AX194" s="311"/>
      <c r="AY194" s="311"/>
      <c r="AZ194" s="311"/>
      <c r="BA194" s="311"/>
      <c r="BB194" s="311"/>
      <c r="BC194" s="311"/>
      <c r="BD194" s="311"/>
      <c r="BE194" s="311"/>
      <c r="BF194" s="311"/>
      <c r="BG194" s="311"/>
      <c r="BH194" s="311"/>
      <c r="BI194" s="311"/>
      <c r="BJ194" s="311"/>
      <c r="BK194" s="311"/>
      <c r="BL194" s="311"/>
      <c r="BM194" s="311"/>
      <c r="BN194" s="311"/>
      <c r="BO194" s="311"/>
      <c r="BP194" s="311"/>
      <c r="BQ194" s="311"/>
      <c r="BR194" s="311"/>
      <c r="BS194" s="311"/>
      <c r="BT194" s="311"/>
      <c r="BU194" s="311"/>
      <c r="BV194" s="311"/>
      <c r="BW194" s="311"/>
      <c r="BX194" s="311">
        <f>IF(D105&gt;0.25,(BX100-BX108)*D195,BX100*D195)</f>
        <v>0</v>
      </c>
      <c r="BY194" s="222"/>
      <c r="BZ194" s="222"/>
      <c r="CA194" s="222"/>
      <c r="CB194" s="222"/>
      <c r="CC194" s="222"/>
      <c r="CD194" s="222"/>
      <c r="CE194" s="222"/>
      <c r="CF194" s="222"/>
      <c r="CG194" s="222"/>
      <c r="CH194" s="222"/>
      <c r="CI194" s="222"/>
      <c r="CJ194" s="222"/>
      <c r="CK194" s="222"/>
      <c r="CL194" s="222"/>
      <c r="CM194" s="222"/>
      <c r="CN194" s="222"/>
      <c r="CO194" s="222"/>
      <c r="CP194" s="222"/>
      <c r="CQ194" s="222"/>
      <c r="CR194" s="222"/>
      <c r="CS194" s="222"/>
      <c r="CT194" s="222"/>
      <c r="CU194" s="222"/>
      <c r="CV194" s="222"/>
      <c r="CW194" s="222"/>
      <c r="CX194" s="222"/>
      <c r="CY194" s="222"/>
      <c r="CZ194" s="222"/>
      <c r="DA194" s="222"/>
      <c r="DB194" s="222"/>
      <c r="DC194" s="222"/>
      <c r="DD194" s="222"/>
      <c r="DE194" s="222"/>
      <c r="DF194" s="222"/>
      <c r="DG194" s="222"/>
      <c r="DH194" s="222"/>
      <c r="DI194" s="222"/>
      <c r="DJ194" s="222"/>
      <c r="DK194" s="222"/>
      <c r="DL194" s="222"/>
      <c r="DM194" s="222"/>
      <c r="DN194" s="222"/>
      <c r="DO194" s="222"/>
      <c r="DP194" s="222"/>
      <c r="DQ194" s="222"/>
      <c r="DR194" s="222"/>
      <c r="DS194" s="222"/>
      <c r="DT194" s="222"/>
      <c r="DU194" s="222"/>
      <c r="DV194" s="222"/>
      <c r="DW194" s="325"/>
      <c r="DX194" s="325"/>
      <c r="DY194" s="325"/>
      <c r="DZ194" s="325"/>
      <c r="EA194" s="325"/>
      <c r="EB194" s="325"/>
      <c r="EC194" s="325"/>
      <c r="ED194" s="325"/>
      <c r="EE194" s="325"/>
      <c r="EF194" s="325"/>
      <c r="EG194" s="325"/>
      <c r="EH194" s="325"/>
    </row>
    <row r="195" spans="1:138" hidden="1">
      <c r="A195" s="222"/>
      <c r="B195" s="318"/>
      <c r="C195" s="313" t="s">
        <v>298</v>
      </c>
      <c r="D195" s="319">
        <v>0</v>
      </c>
      <c r="E195" s="242"/>
      <c r="F195" s="242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22"/>
      <c r="BZ195" s="222"/>
      <c r="CA195" s="222"/>
      <c r="CB195" s="222"/>
      <c r="CC195" s="222"/>
      <c r="CD195" s="222"/>
      <c r="CE195" s="222"/>
      <c r="CF195" s="222"/>
      <c r="CG195" s="222"/>
      <c r="CH195" s="222"/>
      <c r="CI195" s="222"/>
      <c r="CJ195" s="222"/>
      <c r="CK195" s="222"/>
      <c r="CL195" s="222"/>
      <c r="CM195" s="222"/>
      <c r="CN195" s="222"/>
      <c r="CO195" s="222"/>
      <c r="CP195" s="222"/>
      <c r="CQ195" s="222"/>
      <c r="CR195" s="222"/>
      <c r="CS195" s="222"/>
      <c r="CT195" s="222"/>
      <c r="CU195" s="222"/>
      <c r="CV195" s="222"/>
      <c r="CW195" s="222"/>
      <c r="CX195" s="222"/>
      <c r="CY195" s="222"/>
      <c r="CZ195" s="222"/>
      <c r="DA195" s="222"/>
      <c r="DB195" s="222"/>
      <c r="DC195" s="222"/>
      <c r="DD195" s="222"/>
      <c r="DE195" s="222"/>
      <c r="DF195" s="222"/>
      <c r="DG195" s="222"/>
      <c r="DH195" s="222"/>
      <c r="DI195" s="222"/>
      <c r="DJ195" s="222"/>
      <c r="DK195" s="222"/>
      <c r="DL195" s="222"/>
      <c r="DM195" s="222"/>
      <c r="DN195" s="222"/>
      <c r="DO195" s="222"/>
      <c r="DP195" s="222"/>
      <c r="DQ195" s="222"/>
      <c r="DR195" s="222"/>
      <c r="DS195" s="222"/>
      <c r="DT195" s="222"/>
      <c r="DU195" s="222"/>
      <c r="DV195" s="222"/>
      <c r="DW195" s="325"/>
      <c r="DX195" s="325"/>
      <c r="DY195" s="325"/>
      <c r="DZ195" s="325"/>
      <c r="EA195" s="325"/>
      <c r="EB195" s="325"/>
      <c r="EC195" s="325"/>
      <c r="ED195" s="325"/>
      <c r="EE195" s="325"/>
      <c r="EF195" s="325"/>
      <c r="EG195" s="325"/>
      <c r="EH195" s="325"/>
    </row>
    <row r="196" spans="1:138" hidden="1">
      <c r="A196" s="222"/>
      <c r="B196" s="318"/>
      <c r="C196" s="310" t="s">
        <v>299</v>
      </c>
      <c r="D196" s="311"/>
      <c r="E196" s="321">
        <f t="shared" ref="E196:BX196" si="64">E191+E192+E193+E194+E195</f>
        <v>0</v>
      </c>
      <c r="F196" s="321">
        <f t="shared" si="64"/>
        <v>0</v>
      </c>
      <c r="G196" s="321">
        <f t="shared" si="64"/>
        <v>0</v>
      </c>
      <c r="H196" s="321">
        <f t="shared" si="64"/>
        <v>-5341205.5</v>
      </c>
      <c r="I196" s="321">
        <f t="shared" si="64"/>
        <v>0</v>
      </c>
      <c r="J196" s="321">
        <f t="shared" si="64"/>
        <v>0</v>
      </c>
      <c r="K196" s="321">
        <f t="shared" si="64"/>
        <v>0</v>
      </c>
      <c r="L196" s="321">
        <f t="shared" si="64"/>
        <v>-9000000</v>
      </c>
      <c r="M196" s="321">
        <f t="shared" si="64"/>
        <v>0</v>
      </c>
      <c r="N196" s="321">
        <f t="shared" si="64"/>
        <v>0</v>
      </c>
      <c r="O196" s="321">
        <f t="shared" si="64"/>
        <v>0</v>
      </c>
      <c r="P196" s="321">
        <f t="shared" si="64"/>
        <v>0</v>
      </c>
      <c r="Q196" s="321">
        <f t="shared" si="64"/>
        <v>0</v>
      </c>
      <c r="R196" s="321">
        <f t="shared" si="64"/>
        <v>0</v>
      </c>
      <c r="S196" s="321">
        <f t="shared" si="64"/>
        <v>0</v>
      </c>
      <c r="T196" s="321">
        <f t="shared" si="64"/>
        <v>8091205.5</v>
      </c>
      <c r="U196" s="321">
        <f t="shared" si="64"/>
        <v>0</v>
      </c>
      <c r="V196" s="321">
        <f t="shared" si="64"/>
        <v>0</v>
      </c>
      <c r="W196" s="321">
        <f t="shared" si="64"/>
        <v>0</v>
      </c>
      <c r="X196" s="321">
        <f t="shared" si="64"/>
        <v>0</v>
      </c>
      <c r="Y196" s="321">
        <f t="shared" si="64"/>
        <v>0</v>
      </c>
      <c r="Z196" s="321">
        <f t="shared" si="64"/>
        <v>0</v>
      </c>
      <c r="AA196" s="321">
        <f t="shared" si="64"/>
        <v>0</v>
      </c>
      <c r="AB196" s="321">
        <f t="shared" si="64"/>
        <v>0</v>
      </c>
      <c r="AC196" s="321">
        <f t="shared" si="64"/>
        <v>10485000</v>
      </c>
      <c r="AD196" s="321">
        <f t="shared" si="64"/>
        <v>0</v>
      </c>
      <c r="AE196" s="321">
        <f t="shared" si="64"/>
        <v>0</v>
      </c>
      <c r="AF196" s="321">
        <f t="shared" si="64"/>
        <v>0</v>
      </c>
      <c r="AG196" s="321">
        <f t="shared" si="64"/>
        <v>0</v>
      </c>
      <c r="AH196" s="321">
        <f t="shared" si="64"/>
        <v>0</v>
      </c>
      <c r="AI196" s="321">
        <f t="shared" si="64"/>
        <v>0</v>
      </c>
      <c r="AJ196" s="321">
        <f t="shared" si="64"/>
        <v>0</v>
      </c>
      <c r="AK196" s="321">
        <f t="shared" si="64"/>
        <v>0</v>
      </c>
      <c r="AL196" s="321">
        <f t="shared" si="64"/>
        <v>0</v>
      </c>
      <c r="AM196" s="321">
        <f t="shared" si="64"/>
        <v>0</v>
      </c>
      <c r="AN196" s="321">
        <f t="shared" si="64"/>
        <v>0</v>
      </c>
      <c r="AO196" s="321">
        <f t="shared" si="64"/>
        <v>0</v>
      </c>
      <c r="AP196" s="321">
        <f t="shared" si="64"/>
        <v>0</v>
      </c>
      <c r="AQ196" s="321">
        <f t="shared" si="64"/>
        <v>0</v>
      </c>
      <c r="AR196" s="321">
        <f t="shared" si="64"/>
        <v>0</v>
      </c>
      <c r="AS196" s="321">
        <f t="shared" si="64"/>
        <v>0</v>
      </c>
      <c r="AT196" s="321">
        <f t="shared" si="64"/>
        <v>0</v>
      </c>
      <c r="AU196" s="321">
        <f t="shared" si="64"/>
        <v>0</v>
      </c>
      <c r="AV196" s="321">
        <f t="shared" si="64"/>
        <v>0</v>
      </c>
      <c r="AW196" s="321">
        <f t="shared" si="64"/>
        <v>0</v>
      </c>
      <c r="AX196" s="321">
        <f t="shared" si="64"/>
        <v>0</v>
      </c>
      <c r="AY196" s="321">
        <f t="shared" si="64"/>
        <v>0</v>
      </c>
      <c r="AZ196" s="321">
        <f t="shared" si="64"/>
        <v>0</v>
      </c>
      <c r="BA196" s="321">
        <f t="shared" si="64"/>
        <v>0</v>
      </c>
      <c r="BB196" s="321">
        <f t="shared" si="64"/>
        <v>0</v>
      </c>
      <c r="BC196" s="321">
        <f t="shared" si="64"/>
        <v>0</v>
      </c>
      <c r="BD196" s="321">
        <f t="shared" si="64"/>
        <v>0</v>
      </c>
      <c r="BE196" s="321">
        <f t="shared" si="64"/>
        <v>0</v>
      </c>
      <c r="BF196" s="321">
        <f t="shared" si="64"/>
        <v>0</v>
      </c>
      <c r="BG196" s="321">
        <f t="shared" si="64"/>
        <v>0</v>
      </c>
      <c r="BH196" s="321">
        <f t="shared" si="64"/>
        <v>0</v>
      </c>
      <c r="BI196" s="321">
        <f t="shared" si="64"/>
        <v>0</v>
      </c>
      <c r="BJ196" s="321">
        <f t="shared" si="64"/>
        <v>0</v>
      </c>
      <c r="BK196" s="321">
        <f t="shared" si="64"/>
        <v>0</v>
      </c>
      <c r="BL196" s="321">
        <f t="shared" si="64"/>
        <v>0</v>
      </c>
      <c r="BM196" s="321">
        <f t="shared" si="64"/>
        <v>0</v>
      </c>
      <c r="BN196" s="321">
        <f t="shared" si="64"/>
        <v>0</v>
      </c>
      <c r="BO196" s="321">
        <f t="shared" si="64"/>
        <v>0</v>
      </c>
      <c r="BP196" s="321">
        <f t="shared" si="64"/>
        <v>0</v>
      </c>
      <c r="BQ196" s="321">
        <f t="shared" si="64"/>
        <v>0</v>
      </c>
      <c r="BR196" s="321">
        <f t="shared" si="64"/>
        <v>0</v>
      </c>
      <c r="BS196" s="321">
        <f t="shared" si="64"/>
        <v>0</v>
      </c>
      <c r="BT196" s="321">
        <f t="shared" si="64"/>
        <v>0</v>
      </c>
      <c r="BU196" s="321">
        <f t="shared" si="64"/>
        <v>0</v>
      </c>
      <c r="BV196" s="321">
        <f t="shared" si="64"/>
        <v>0</v>
      </c>
      <c r="BW196" s="321">
        <f t="shared" si="64"/>
        <v>0</v>
      </c>
      <c r="BX196" s="321">
        <f t="shared" si="64"/>
        <v>0</v>
      </c>
      <c r="BY196" s="222"/>
      <c r="BZ196" s="222"/>
      <c r="CA196" s="222"/>
      <c r="CB196" s="222"/>
      <c r="CC196" s="222"/>
      <c r="CD196" s="222"/>
      <c r="CE196" s="222"/>
      <c r="CF196" s="222"/>
      <c r="CG196" s="222"/>
      <c r="CH196" s="222"/>
      <c r="CI196" s="222"/>
      <c r="CJ196" s="222"/>
      <c r="CK196" s="222"/>
      <c r="CL196" s="222"/>
      <c r="CM196" s="222"/>
      <c r="CN196" s="222"/>
      <c r="CO196" s="222"/>
      <c r="CP196" s="222"/>
      <c r="CQ196" s="222"/>
      <c r="CR196" s="222"/>
      <c r="CS196" s="222"/>
      <c r="CT196" s="222"/>
      <c r="CU196" s="222"/>
      <c r="CV196" s="222"/>
      <c r="CW196" s="222"/>
      <c r="CX196" s="222"/>
      <c r="CY196" s="222"/>
      <c r="CZ196" s="222"/>
      <c r="DA196" s="222"/>
      <c r="DB196" s="222"/>
      <c r="DC196" s="222"/>
      <c r="DD196" s="222"/>
      <c r="DE196" s="222"/>
      <c r="DF196" s="222"/>
      <c r="DG196" s="222"/>
      <c r="DH196" s="222"/>
      <c r="DI196" s="222"/>
      <c r="DJ196" s="222"/>
      <c r="DK196" s="222"/>
      <c r="DL196" s="222"/>
      <c r="DM196" s="222"/>
      <c r="DN196" s="222"/>
      <c r="DO196" s="222"/>
      <c r="DP196" s="222"/>
      <c r="DQ196" s="222"/>
      <c r="DR196" s="222"/>
      <c r="DS196" s="222"/>
      <c r="DT196" s="222"/>
      <c r="DU196" s="222"/>
      <c r="DV196" s="222"/>
      <c r="DW196" s="325"/>
      <c r="DX196" s="325"/>
      <c r="DY196" s="325"/>
      <c r="DZ196" s="325"/>
      <c r="EA196" s="325"/>
      <c r="EB196" s="325"/>
      <c r="EC196" s="325"/>
      <c r="ED196" s="325"/>
      <c r="EE196" s="325"/>
      <c r="EF196" s="325"/>
      <c r="EG196" s="325"/>
      <c r="EH196" s="325"/>
    </row>
    <row r="197" spans="1:138" hidden="1">
      <c r="A197" s="222"/>
      <c r="B197" s="318"/>
      <c r="C197" s="314"/>
      <c r="D197" s="322" t="s">
        <v>306</v>
      </c>
      <c r="E197" s="327">
        <f>E196</f>
        <v>0</v>
      </c>
      <c r="F197" s="327">
        <f t="shared" ref="F197:BX197" si="65">E197+F196</f>
        <v>0</v>
      </c>
      <c r="G197" s="327">
        <f t="shared" si="65"/>
        <v>0</v>
      </c>
      <c r="H197" s="327">
        <f t="shared" si="65"/>
        <v>-5341205.5</v>
      </c>
      <c r="I197" s="327">
        <f t="shared" si="65"/>
        <v>-5341205.5</v>
      </c>
      <c r="J197" s="327">
        <f t="shared" si="65"/>
        <v>-5341205.5</v>
      </c>
      <c r="K197" s="327">
        <f t="shared" si="65"/>
        <v>-5341205.5</v>
      </c>
      <c r="L197" s="327">
        <f t="shared" si="65"/>
        <v>-14341205.5</v>
      </c>
      <c r="M197" s="327">
        <f t="shared" si="65"/>
        <v>-14341205.5</v>
      </c>
      <c r="N197" s="327">
        <f t="shared" si="65"/>
        <v>-14341205.5</v>
      </c>
      <c r="O197" s="327">
        <f t="shared" si="65"/>
        <v>-14341205.5</v>
      </c>
      <c r="P197" s="327">
        <f t="shared" si="65"/>
        <v>-14341205.5</v>
      </c>
      <c r="Q197" s="327">
        <f t="shared" si="65"/>
        <v>-14341205.5</v>
      </c>
      <c r="R197" s="327">
        <f t="shared" si="65"/>
        <v>-14341205.5</v>
      </c>
      <c r="S197" s="327">
        <f t="shared" si="65"/>
        <v>-14341205.5</v>
      </c>
      <c r="T197" s="327">
        <f t="shared" si="65"/>
        <v>-6250000</v>
      </c>
      <c r="U197" s="327">
        <f t="shared" si="65"/>
        <v>-6250000</v>
      </c>
      <c r="V197" s="327">
        <f t="shared" si="65"/>
        <v>-6250000</v>
      </c>
      <c r="W197" s="327">
        <f t="shared" si="65"/>
        <v>-6250000</v>
      </c>
      <c r="X197" s="327">
        <f t="shared" si="65"/>
        <v>-6250000</v>
      </c>
      <c r="Y197" s="327">
        <f t="shared" si="65"/>
        <v>-6250000</v>
      </c>
      <c r="Z197" s="327">
        <f t="shared" si="65"/>
        <v>-6250000</v>
      </c>
      <c r="AA197" s="327">
        <f t="shared" si="65"/>
        <v>-6250000</v>
      </c>
      <c r="AB197" s="327">
        <f t="shared" si="65"/>
        <v>-6250000</v>
      </c>
      <c r="AC197" s="327">
        <f t="shared" si="65"/>
        <v>4235000</v>
      </c>
      <c r="AD197" s="327">
        <f t="shared" si="65"/>
        <v>4235000</v>
      </c>
      <c r="AE197" s="327">
        <f t="shared" si="65"/>
        <v>4235000</v>
      </c>
      <c r="AF197" s="327">
        <f t="shared" si="65"/>
        <v>4235000</v>
      </c>
      <c r="AG197" s="327">
        <f t="shared" si="65"/>
        <v>4235000</v>
      </c>
      <c r="AH197" s="327">
        <f t="shared" si="65"/>
        <v>4235000</v>
      </c>
      <c r="AI197" s="327">
        <f t="shared" si="65"/>
        <v>4235000</v>
      </c>
      <c r="AJ197" s="327">
        <f t="shared" si="65"/>
        <v>4235000</v>
      </c>
      <c r="AK197" s="327">
        <f t="shared" si="65"/>
        <v>4235000</v>
      </c>
      <c r="AL197" s="327">
        <f t="shared" si="65"/>
        <v>4235000</v>
      </c>
      <c r="AM197" s="327">
        <f t="shared" si="65"/>
        <v>4235000</v>
      </c>
      <c r="AN197" s="327">
        <f t="shared" si="65"/>
        <v>4235000</v>
      </c>
      <c r="AO197" s="327">
        <f t="shared" si="65"/>
        <v>4235000</v>
      </c>
      <c r="AP197" s="327">
        <f t="shared" si="65"/>
        <v>4235000</v>
      </c>
      <c r="AQ197" s="327">
        <f t="shared" si="65"/>
        <v>4235000</v>
      </c>
      <c r="AR197" s="327">
        <f t="shared" si="65"/>
        <v>4235000</v>
      </c>
      <c r="AS197" s="327">
        <f t="shared" si="65"/>
        <v>4235000</v>
      </c>
      <c r="AT197" s="327">
        <f t="shared" si="65"/>
        <v>4235000</v>
      </c>
      <c r="AU197" s="327">
        <f t="shared" si="65"/>
        <v>4235000</v>
      </c>
      <c r="AV197" s="327">
        <f t="shared" si="65"/>
        <v>4235000</v>
      </c>
      <c r="AW197" s="327">
        <f t="shared" si="65"/>
        <v>4235000</v>
      </c>
      <c r="AX197" s="327">
        <f t="shared" si="65"/>
        <v>4235000</v>
      </c>
      <c r="AY197" s="327">
        <f t="shared" si="65"/>
        <v>4235000</v>
      </c>
      <c r="AZ197" s="327">
        <f t="shared" si="65"/>
        <v>4235000</v>
      </c>
      <c r="BA197" s="327">
        <f t="shared" si="65"/>
        <v>4235000</v>
      </c>
      <c r="BB197" s="327">
        <f t="shared" si="65"/>
        <v>4235000</v>
      </c>
      <c r="BC197" s="327">
        <f t="shared" si="65"/>
        <v>4235000</v>
      </c>
      <c r="BD197" s="327">
        <f t="shared" si="65"/>
        <v>4235000</v>
      </c>
      <c r="BE197" s="327">
        <f t="shared" si="65"/>
        <v>4235000</v>
      </c>
      <c r="BF197" s="327">
        <f t="shared" si="65"/>
        <v>4235000</v>
      </c>
      <c r="BG197" s="327">
        <f t="shared" si="65"/>
        <v>4235000</v>
      </c>
      <c r="BH197" s="327">
        <f t="shared" si="65"/>
        <v>4235000</v>
      </c>
      <c r="BI197" s="327">
        <f t="shared" si="65"/>
        <v>4235000</v>
      </c>
      <c r="BJ197" s="327">
        <f t="shared" si="65"/>
        <v>4235000</v>
      </c>
      <c r="BK197" s="327">
        <f t="shared" si="65"/>
        <v>4235000</v>
      </c>
      <c r="BL197" s="327">
        <f t="shared" si="65"/>
        <v>4235000</v>
      </c>
      <c r="BM197" s="327">
        <f t="shared" si="65"/>
        <v>4235000</v>
      </c>
      <c r="BN197" s="327">
        <f t="shared" si="65"/>
        <v>4235000</v>
      </c>
      <c r="BO197" s="327">
        <f t="shared" si="65"/>
        <v>4235000</v>
      </c>
      <c r="BP197" s="327">
        <f t="shared" si="65"/>
        <v>4235000</v>
      </c>
      <c r="BQ197" s="327">
        <f t="shared" si="65"/>
        <v>4235000</v>
      </c>
      <c r="BR197" s="327">
        <f t="shared" si="65"/>
        <v>4235000</v>
      </c>
      <c r="BS197" s="327">
        <f t="shared" si="65"/>
        <v>4235000</v>
      </c>
      <c r="BT197" s="327">
        <f t="shared" si="65"/>
        <v>4235000</v>
      </c>
      <c r="BU197" s="327">
        <f t="shared" si="65"/>
        <v>4235000</v>
      </c>
      <c r="BV197" s="327">
        <f t="shared" si="65"/>
        <v>4235000</v>
      </c>
      <c r="BW197" s="327">
        <f t="shared" si="65"/>
        <v>4235000</v>
      </c>
      <c r="BX197" s="327">
        <f t="shared" si="65"/>
        <v>4235000</v>
      </c>
      <c r="BY197" s="222"/>
      <c r="BZ197" s="222"/>
      <c r="CA197" s="222"/>
      <c r="CB197" s="222"/>
      <c r="CC197" s="222"/>
      <c r="CD197" s="222"/>
      <c r="CE197" s="222"/>
      <c r="CF197" s="222"/>
      <c r="CG197" s="222"/>
      <c r="CH197" s="222"/>
      <c r="CI197" s="222"/>
      <c r="CJ197" s="222"/>
      <c r="CK197" s="222"/>
      <c r="CL197" s="222"/>
      <c r="CM197" s="222"/>
      <c r="CN197" s="222"/>
      <c r="CO197" s="222"/>
      <c r="CP197" s="222"/>
      <c r="CQ197" s="222"/>
      <c r="CR197" s="222"/>
      <c r="CS197" s="222"/>
      <c r="CT197" s="222"/>
      <c r="CU197" s="222"/>
      <c r="CV197" s="222"/>
      <c r="CW197" s="222"/>
      <c r="CX197" s="222"/>
      <c r="CY197" s="222"/>
      <c r="CZ197" s="222"/>
      <c r="DA197" s="222"/>
      <c r="DB197" s="222"/>
      <c r="DC197" s="222"/>
      <c r="DD197" s="222"/>
      <c r="DE197" s="222"/>
      <c r="DF197" s="222"/>
      <c r="DG197" s="222"/>
      <c r="DH197" s="222"/>
      <c r="DI197" s="222"/>
      <c r="DJ197" s="222"/>
      <c r="DK197" s="222"/>
      <c r="DL197" s="222"/>
      <c r="DM197" s="222"/>
      <c r="DN197" s="222"/>
      <c r="DO197" s="222"/>
      <c r="DP197" s="222"/>
      <c r="DQ197" s="222"/>
      <c r="DR197" s="222"/>
      <c r="DS197" s="222"/>
      <c r="DT197" s="222"/>
      <c r="DU197" s="222"/>
      <c r="DV197" s="222"/>
      <c r="DW197" s="325"/>
      <c r="DX197" s="325"/>
      <c r="DY197" s="325"/>
      <c r="DZ197" s="325"/>
      <c r="EA197" s="325"/>
      <c r="EB197" s="325"/>
      <c r="EC197" s="325"/>
      <c r="ED197" s="325"/>
      <c r="EE197" s="325"/>
      <c r="EF197" s="325"/>
      <c r="EG197" s="325"/>
      <c r="EH197" s="325"/>
    </row>
    <row r="198" spans="1:138" hidden="1">
      <c r="A198" s="222"/>
      <c r="B198" s="318"/>
      <c r="C198" s="313" t="s">
        <v>292</v>
      </c>
      <c r="D198" s="322">
        <f>IRR(E196:BX196)*12</f>
        <v>0.21720843533556611</v>
      </c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  <c r="AA198" s="222"/>
      <c r="AB198" s="222"/>
      <c r="AC198" s="222"/>
      <c r="AD198" s="222"/>
      <c r="AE198" s="222"/>
      <c r="AF198" s="222"/>
      <c r="AG198" s="222"/>
      <c r="AH198" s="222"/>
      <c r="AI198" s="222"/>
      <c r="AJ198" s="222"/>
      <c r="AK198" s="222"/>
      <c r="AL198" s="222"/>
      <c r="AM198" s="222"/>
      <c r="AN198" s="222"/>
      <c r="AO198" s="222"/>
      <c r="AP198" s="222"/>
      <c r="AQ198" s="222"/>
      <c r="AR198" s="222"/>
      <c r="AS198" s="222"/>
      <c r="AT198" s="222"/>
      <c r="AU198" s="222"/>
      <c r="AV198" s="222"/>
      <c r="AW198" s="222"/>
      <c r="AX198" s="222"/>
      <c r="AY198" s="222"/>
      <c r="AZ198" s="222"/>
      <c r="BA198" s="222"/>
      <c r="BB198" s="222"/>
      <c r="BC198" s="222"/>
      <c r="BD198" s="222"/>
      <c r="BE198" s="222"/>
      <c r="BF198" s="222"/>
      <c r="BG198" s="222"/>
      <c r="BH198" s="222"/>
      <c r="BI198" s="222"/>
      <c r="BJ198" s="222"/>
      <c r="BK198" s="222"/>
      <c r="BL198" s="222"/>
      <c r="BM198" s="222"/>
      <c r="BN198" s="222"/>
      <c r="BO198" s="222"/>
      <c r="BP198" s="222"/>
      <c r="BQ198" s="222"/>
      <c r="BR198" s="222"/>
      <c r="BS198" s="222"/>
      <c r="BT198" s="222"/>
      <c r="BU198" s="222"/>
      <c r="BV198" s="222"/>
      <c r="BW198" s="222"/>
      <c r="BX198" s="222"/>
      <c r="BY198" s="222"/>
      <c r="BZ198" s="222"/>
      <c r="CA198" s="222"/>
      <c r="CB198" s="222"/>
      <c r="CC198" s="222"/>
      <c r="CD198" s="222"/>
      <c r="CE198" s="222"/>
      <c r="CF198" s="222"/>
      <c r="CG198" s="222"/>
      <c r="CH198" s="222"/>
      <c r="CI198" s="222"/>
      <c r="CJ198" s="222"/>
      <c r="CK198" s="222"/>
      <c r="CL198" s="222"/>
      <c r="CM198" s="222"/>
      <c r="CN198" s="222"/>
      <c r="CO198" s="222"/>
      <c r="CP198" s="222"/>
      <c r="CQ198" s="222"/>
      <c r="CR198" s="222"/>
      <c r="CS198" s="222"/>
      <c r="CT198" s="222"/>
      <c r="CU198" s="222"/>
      <c r="CV198" s="222"/>
      <c r="CW198" s="222"/>
      <c r="CX198" s="222"/>
      <c r="CY198" s="222"/>
      <c r="CZ198" s="222"/>
      <c r="DA198" s="222"/>
      <c r="DB198" s="222"/>
      <c r="DC198" s="222"/>
      <c r="DD198" s="222"/>
      <c r="DE198" s="222"/>
      <c r="DF198" s="222"/>
      <c r="DG198" s="222"/>
      <c r="DH198" s="222"/>
      <c r="DI198" s="222"/>
      <c r="DJ198" s="222"/>
      <c r="DK198" s="222"/>
      <c r="DL198" s="222"/>
      <c r="DM198" s="222"/>
      <c r="DN198" s="222"/>
      <c r="DO198" s="222"/>
      <c r="DP198" s="222"/>
      <c r="DQ198" s="222"/>
      <c r="DR198" s="222"/>
      <c r="DS198" s="222"/>
      <c r="DT198" s="222"/>
      <c r="DU198" s="222"/>
      <c r="DV198" s="222"/>
      <c r="DW198" s="325"/>
      <c r="DX198" s="325"/>
      <c r="DY198" s="325"/>
      <c r="DZ198" s="325"/>
      <c r="EA198" s="325"/>
      <c r="EB198" s="325"/>
      <c r="EC198" s="325"/>
      <c r="ED198" s="325"/>
      <c r="EE198" s="325"/>
      <c r="EF198" s="325"/>
      <c r="EG198" s="325"/>
      <c r="EH198" s="325"/>
    </row>
    <row r="199" spans="1:138" hidden="1">
      <c r="A199" s="222"/>
      <c r="B199" s="318"/>
      <c r="C199" s="323" t="s">
        <v>300</v>
      </c>
      <c r="D199" s="324">
        <f>-MIN(M197:BL197)-D200</f>
        <v>14341205.5</v>
      </c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  <c r="AA199" s="222"/>
      <c r="AB199" s="222"/>
      <c r="AC199" s="222"/>
      <c r="AD199" s="222"/>
      <c r="AE199" s="222"/>
      <c r="AF199" s="222"/>
      <c r="AG199" s="222"/>
      <c r="AH199" s="222"/>
      <c r="AI199" s="222"/>
      <c r="AJ199" s="222"/>
      <c r="AK199" s="222"/>
      <c r="AL199" s="222"/>
      <c r="AM199" s="222"/>
      <c r="AN199" s="222"/>
      <c r="AO199" s="222"/>
      <c r="AP199" s="222"/>
      <c r="AQ199" s="222"/>
      <c r="AR199" s="222"/>
      <c r="AS199" s="222"/>
      <c r="AT199" s="222"/>
      <c r="AU199" s="222"/>
      <c r="AV199" s="222"/>
      <c r="AW199" s="222"/>
      <c r="AX199" s="222"/>
      <c r="AY199" s="222"/>
      <c r="AZ199" s="222"/>
      <c r="BA199" s="222"/>
      <c r="BB199" s="222"/>
      <c r="BC199" s="222"/>
      <c r="BD199" s="222"/>
      <c r="BE199" s="222"/>
      <c r="BF199" s="222"/>
      <c r="BG199" s="222"/>
      <c r="BH199" s="222"/>
      <c r="BI199" s="222"/>
      <c r="BJ199" s="222"/>
      <c r="BK199" s="222"/>
      <c r="BL199" s="222"/>
      <c r="BM199" s="222"/>
      <c r="BN199" s="222"/>
      <c r="BO199" s="222"/>
      <c r="BP199" s="222"/>
      <c r="BQ199" s="222"/>
      <c r="BR199" s="222"/>
      <c r="BS199" s="222"/>
      <c r="BT199" s="222"/>
      <c r="BU199" s="222"/>
      <c r="BV199" s="222"/>
      <c r="BW199" s="222"/>
      <c r="BX199" s="222"/>
      <c r="BY199" s="222"/>
      <c r="BZ199" s="222"/>
      <c r="CA199" s="222"/>
      <c r="CB199" s="222"/>
      <c r="CC199" s="222"/>
      <c r="CD199" s="222"/>
      <c r="CE199" s="222"/>
      <c r="CF199" s="222"/>
      <c r="CG199" s="222"/>
      <c r="CH199" s="222"/>
      <c r="CI199" s="222"/>
      <c r="CJ199" s="222"/>
      <c r="CK199" s="222"/>
      <c r="CL199" s="222"/>
      <c r="CM199" s="222"/>
      <c r="CN199" s="222"/>
      <c r="CO199" s="222"/>
      <c r="CP199" s="222"/>
      <c r="CQ199" s="222"/>
      <c r="CR199" s="222"/>
      <c r="CS199" s="222"/>
      <c r="CT199" s="222"/>
      <c r="CU199" s="222"/>
      <c r="CV199" s="222"/>
      <c r="CW199" s="222"/>
      <c r="CX199" s="222"/>
      <c r="CY199" s="222"/>
      <c r="CZ199" s="222"/>
      <c r="DA199" s="222"/>
      <c r="DB199" s="222"/>
      <c r="DC199" s="222"/>
      <c r="DD199" s="222"/>
      <c r="DE199" s="222"/>
      <c r="DF199" s="222"/>
      <c r="DG199" s="222"/>
      <c r="DH199" s="222"/>
      <c r="DI199" s="222"/>
      <c r="DJ199" s="222"/>
      <c r="DK199" s="222"/>
      <c r="DL199" s="222"/>
      <c r="DM199" s="222"/>
      <c r="DN199" s="222"/>
      <c r="DO199" s="222"/>
      <c r="DP199" s="222"/>
      <c r="DQ199" s="222"/>
      <c r="DR199" s="222"/>
      <c r="DS199" s="222"/>
      <c r="DT199" s="222"/>
      <c r="DU199" s="222"/>
      <c r="DV199" s="222"/>
      <c r="DW199" s="325"/>
      <c r="DX199" s="325"/>
      <c r="DY199" s="325"/>
      <c r="DZ199" s="325"/>
      <c r="EA199" s="325"/>
      <c r="EB199" s="325"/>
      <c r="EC199" s="325"/>
      <c r="ED199" s="325"/>
      <c r="EE199" s="325"/>
      <c r="EF199" s="325"/>
      <c r="EG199" s="325"/>
      <c r="EH199" s="325"/>
    </row>
    <row r="200" spans="1:138" hidden="1">
      <c r="A200" s="222"/>
      <c r="B200" s="318"/>
      <c r="C200" s="323" t="s">
        <v>301</v>
      </c>
      <c r="D200" s="324">
        <f>-SUM(M195:BB195)</f>
        <v>0</v>
      </c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  <c r="AA200" s="222"/>
      <c r="AB200" s="222"/>
      <c r="AC200" s="222"/>
      <c r="AD200" s="222"/>
      <c r="AE200" s="222"/>
      <c r="AF200" s="222"/>
      <c r="AG200" s="222"/>
      <c r="AH200" s="222"/>
      <c r="AI200" s="222"/>
      <c r="AJ200" s="222"/>
      <c r="AK200" s="222"/>
      <c r="AL200" s="222"/>
      <c r="AM200" s="222"/>
      <c r="AN200" s="222"/>
      <c r="AO200" s="222"/>
      <c r="AP200" s="222"/>
      <c r="AQ200" s="222"/>
      <c r="AR200" s="222"/>
      <c r="AS200" s="222"/>
      <c r="AT200" s="222"/>
      <c r="AU200" s="222"/>
      <c r="AV200" s="222"/>
      <c r="AW200" s="222"/>
      <c r="AX200" s="222"/>
      <c r="AY200" s="222"/>
      <c r="AZ200" s="222"/>
      <c r="BA200" s="222"/>
      <c r="BB200" s="222"/>
      <c r="BC200" s="222"/>
      <c r="BD200" s="222"/>
      <c r="BE200" s="222"/>
      <c r="BF200" s="222"/>
      <c r="BG200" s="222"/>
      <c r="BH200" s="222"/>
      <c r="BI200" s="222"/>
      <c r="BJ200" s="222"/>
      <c r="BK200" s="222"/>
      <c r="BL200" s="222"/>
      <c r="BM200" s="222"/>
      <c r="BN200" s="222"/>
      <c r="BO200" s="222"/>
      <c r="BP200" s="222"/>
      <c r="BQ200" s="222"/>
      <c r="BR200" s="222"/>
      <c r="BS200" s="222"/>
      <c r="BT200" s="222"/>
      <c r="BU200" s="222"/>
      <c r="BV200" s="222"/>
      <c r="BW200" s="222"/>
      <c r="BX200" s="222"/>
      <c r="BY200" s="222"/>
      <c r="BZ200" s="222"/>
      <c r="CA200" s="222"/>
      <c r="CB200" s="222"/>
      <c r="CC200" s="222"/>
      <c r="CD200" s="222"/>
      <c r="CE200" s="222"/>
      <c r="CF200" s="222"/>
      <c r="CG200" s="222"/>
      <c r="CH200" s="222"/>
      <c r="CI200" s="222"/>
      <c r="CJ200" s="222"/>
      <c r="CK200" s="222"/>
      <c r="CL200" s="222"/>
      <c r="CM200" s="222"/>
      <c r="CN200" s="222"/>
      <c r="CO200" s="222"/>
      <c r="CP200" s="222"/>
      <c r="CQ200" s="222"/>
      <c r="CR200" s="222"/>
      <c r="CS200" s="222"/>
      <c r="CT200" s="222"/>
      <c r="CU200" s="222"/>
      <c r="CV200" s="222"/>
      <c r="CW200" s="222"/>
      <c r="CX200" s="222"/>
      <c r="CY200" s="222"/>
      <c r="CZ200" s="222"/>
      <c r="DA200" s="222"/>
      <c r="DB200" s="222"/>
      <c r="DC200" s="222"/>
      <c r="DD200" s="222"/>
      <c r="DE200" s="222"/>
      <c r="DF200" s="222"/>
      <c r="DG200" s="222"/>
      <c r="DH200" s="222"/>
      <c r="DI200" s="222"/>
      <c r="DJ200" s="222"/>
      <c r="DK200" s="222"/>
      <c r="DL200" s="222"/>
      <c r="DM200" s="222"/>
      <c r="DN200" s="222"/>
      <c r="DO200" s="222"/>
      <c r="DP200" s="222"/>
      <c r="DQ200" s="222"/>
      <c r="DR200" s="222"/>
      <c r="DS200" s="222"/>
      <c r="DT200" s="222"/>
      <c r="DU200" s="222"/>
      <c r="DV200" s="222"/>
      <c r="DW200" s="325"/>
      <c r="DX200" s="325"/>
      <c r="DY200" s="325"/>
      <c r="DZ200" s="325"/>
      <c r="EA200" s="325"/>
      <c r="EB200" s="325"/>
      <c r="EC200" s="325"/>
      <c r="ED200" s="325"/>
      <c r="EE200" s="325"/>
      <c r="EF200" s="325"/>
      <c r="EG200" s="325"/>
      <c r="EH200" s="325"/>
    </row>
    <row r="201" spans="1:138" hidden="1">
      <c r="A201" s="222"/>
      <c r="B201" s="318"/>
      <c r="C201" s="313" t="s">
        <v>302</v>
      </c>
      <c r="D201" s="326">
        <f>D200+D199</f>
        <v>14341205.5</v>
      </c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  <c r="AA201" s="222"/>
      <c r="AB201" s="222"/>
      <c r="AC201" s="222"/>
      <c r="AD201" s="222"/>
      <c r="AE201" s="222"/>
      <c r="AF201" s="222"/>
      <c r="AG201" s="222"/>
      <c r="AH201" s="222"/>
      <c r="AI201" s="222"/>
      <c r="AJ201" s="222"/>
      <c r="AK201" s="222"/>
      <c r="AL201" s="222"/>
      <c r="AM201" s="222"/>
      <c r="AN201" s="222"/>
      <c r="AO201" s="222"/>
      <c r="AP201" s="222"/>
      <c r="AQ201" s="222"/>
      <c r="AR201" s="222"/>
      <c r="AS201" s="222"/>
      <c r="AT201" s="222"/>
      <c r="AU201" s="222"/>
      <c r="AV201" s="222"/>
      <c r="AW201" s="222"/>
      <c r="AX201" s="222"/>
      <c r="AY201" s="222"/>
      <c r="AZ201" s="222"/>
      <c r="BA201" s="222"/>
      <c r="BB201" s="222"/>
      <c r="BC201" s="222"/>
      <c r="BD201" s="222"/>
      <c r="BE201" s="222"/>
      <c r="BF201" s="222"/>
      <c r="BG201" s="222"/>
      <c r="BH201" s="222"/>
      <c r="BI201" s="222"/>
      <c r="BJ201" s="222"/>
      <c r="BK201" s="222"/>
      <c r="BL201" s="222"/>
      <c r="BM201" s="222"/>
      <c r="BN201" s="222"/>
      <c r="BO201" s="222"/>
      <c r="BP201" s="222"/>
      <c r="BQ201" s="222"/>
      <c r="BR201" s="222"/>
      <c r="BS201" s="222"/>
      <c r="BT201" s="222"/>
      <c r="BU201" s="222"/>
      <c r="BV201" s="222"/>
      <c r="BW201" s="222"/>
      <c r="BX201" s="222"/>
      <c r="BY201" s="222"/>
      <c r="BZ201" s="222"/>
      <c r="CA201" s="222"/>
      <c r="CB201" s="222"/>
      <c r="CC201" s="222"/>
      <c r="CD201" s="222"/>
      <c r="CE201" s="222"/>
      <c r="CF201" s="222"/>
      <c r="CG201" s="222"/>
      <c r="CH201" s="222"/>
      <c r="CI201" s="222"/>
      <c r="CJ201" s="222"/>
      <c r="CK201" s="222"/>
      <c r="CL201" s="222"/>
      <c r="CM201" s="222"/>
      <c r="CN201" s="222"/>
      <c r="CO201" s="222"/>
      <c r="CP201" s="222"/>
      <c r="CQ201" s="222"/>
      <c r="CR201" s="222"/>
      <c r="CS201" s="222"/>
      <c r="CT201" s="222"/>
      <c r="CU201" s="222"/>
      <c r="CV201" s="222"/>
      <c r="CW201" s="222"/>
      <c r="CX201" s="222"/>
      <c r="CY201" s="222"/>
      <c r="CZ201" s="222"/>
      <c r="DA201" s="222"/>
      <c r="DB201" s="222"/>
      <c r="DC201" s="222"/>
      <c r="DD201" s="222"/>
      <c r="DE201" s="222"/>
      <c r="DF201" s="222"/>
      <c r="DG201" s="222"/>
      <c r="DH201" s="222"/>
      <c r="DI201" s="222"/>
      <c r="DJ201" s="222"/>
      <c r="DK201" s="222"/>
      <c r="DL201" s="222"/>
      <c r="DM201" s="222"/>
      <c r="DN201" s="222"/>
      <c r="DO201" s="222"/>
      <c r="DP201" s="222"/>
      <c r="DQ201" s="222"/>
      <c r="DR201" s="222"/>
      <c r="DS201" s="222"/>
      <c r="DT201" s="222"/>
      <c r="DU201" s="222"/>
      <c r="DV201" s="222"/>
      <c r="DW201" s="325"/>
      <c r="DX201" s="325"/>
      <c r="DY201" s="325"/>
      <c r="DZ201" s="325"/>
      <c r="EA201" s="325"/>
      <c r="EB201" s="325"/>
      <c r="EC201" s="325"/>
      <c r="ED201" s="325"/>
      <c r="EE201" s="325"/>
      <c r="EF201" s="325"/>
      <c r="EG201" s="325"/>
      <c r="EH201" s="325"/>
    </row>
    <row r="202" spans="1:138" hidden="1">
      <c r="A202" s="222"/>
      <c r="B202" s="318"/>
      <c r="C202" s="313" t="s">
        <v>303</v>
      </c>
      <c r="D202" s="326">
        <f>BX193+BX194</f>
        <v>0</v>
      </c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222"/>
      <c r="AF202" s="222"/>
      <c r="AG202" s="222"/>
      <c r="AH202" s="222"/>
      <c r="AI202" s="222"/>
      <c r="AJ202" s="222"/>
      <c r="AK202" s="222"/>
      <c r="AL202" s="222"/>
      <c r="AM202" s="222"/>
      <c r="AN202" s="222"/>
      <c r="AO202" s="222"/>
      <c r="AP202" s="222"/>
      <c r="AQ202" s="222"/>
      <c r="AR202" s="222"/>
      <c r="AS202" s="222"/>
      <c r="AT202" s="222"/>
      <c r="AU202" s="222"/>
      <c r="AV202" s="222"/>
      <c r="AW202" s="222"/>
      <c r="AX202" s="222"/>
      <c r="AY202" s="222"/>
      <c r="AZ202" s="222"/>
      <c r="BA202" s="222"/>
      <c r="BB202" s="222"/>
      <c r="BC202" s="222"/>
      <c r="BD202" s="222"/>
      <c r="BE202" s="222"/>
      <c r="BF202" s="222"/>
      <c r="BG202" s="222"/>
      <c r="BH202" s="222"/>
      <c r="BI202" s="222"/>
      <c r="BJ202" s="222"/>
      <c r="BK202" s="222"/>
      <c r="BL202" s="222"/>
      <c r="BM202" s="222"/>
      <c r="BN202" s="222"/>
      <c r="BO202" s="222"/>
      <c r="BP202" s="222"/>
      <c r="BQ202" s="222"/>
      <c r="BR202" s="222"/>
      <c r="BS202" s="222"/>
      <c r="BT202" s="222"/>
      <c r="BU202" s="222"/>
      <c r="BV202" s="222"/>
      <c r="BW202" s="222"/>
      <c r="BX202" s="222"/>
      <c r="BY202" s="222"/>
      <c r="BZ202" s="222"/>
      <c r="CA202" s="222"/>
      <c r="CB202" s="222"/>
      <c r="CC202" s="222"/>
      <c r="CD202" s="222"/>
      <c r="CE202" s="222"/>
      <c r="CF202" s="222"/>
      <c r="CG202" s="222"/>
      <c r="CH202" s="222"/>
      <c r="CI202" s="222"/>
      <c r="CJ202" s="222"/>
      <c r="CK202" s="222"/>
      <c r="CL202" s="222"/>
      <c r="CM202" s="222"/>
      <c r="CN202" s="222"/>
      <c r="CO202" s="222"/>
      <c r="CP202" s="222"/>
      <c r="CQ202" s="222"/>
      <c r="CR202" s="222"/>
      <c r="CS202" s="222"/>
      <c r="CT202" s="222"/>
      <c r="CU202" s="222"/>
      <c r="CV202" s="222"/>
      <c r="CW202" s="222"/>
      <c r="CX202" s="222"/>
      <c r="CY202" s="222"/>
      <c r="CZ202" s="222"/>
      <c r="DA202" s="222"/>
      <c r="DB202" s="222"/>
      <c r="DC202" s="222"/>
      <c r="DD202" s="222"/>
      <c r="DE202" s="222"/>
      <c r="DF202" s="222"/>
      <c r="DG202" s="222"/>
      <c r="DH202" s="222"/>
      <c r="DI202" s="222"/>
      <c r="DJ202" s="222"/>
      <c r="DK202" s="222"/>
      <c r="DL202" s="222"/>
      <c r="DM202" s="222"/>
      <c r="DN202" s="222"/>
      <c r="DO202" s="222"/>
      <c r="DP202" s="222"/>
      <c r="DQ202" s="222"/>
      <c r="DR202" s="222"/>
      <c r="DS202" s="222"/>
      <c r="DT202" s="222"/>
      <c r="DU202" s="222"/>
      <c r="DV202" s="222"/>
      <c r="DW202" s="325"/>
      <c r="DX202" s="325"/>
      <c r="DY202" s="325"/>
      <c r="DZ202" s="325"/>
      <c r="EA202" s="325"/>
      <c r="EB202" s="325"/>
      <c r="EC202" s="325"/>
      <c r="ED202" s="325"/>
      <c r="EE202" s="325"/>
      <c r="EF202" s="325"/>
      <c r="EG202" s="325"/>
      <c r="EH202" s="325"/>
    </row>
    <row r="203" spans="1:138" hidden="1">
      <c r="A203" s="222"/>
      <c r="B203" s="318"/>
      <c r="C203" s="313" t="s">
        <v>147</v>
      </c>
      <c r="D203" s="322">
        <f>T194/T191</f>
        <v>0.51486504310684167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222"/>
      <c r="AF203" s="222"/>
      <c r="AG203" s="222"/>
      <c r="AH203" s="222"/>
      <c r="AI203" s="222"/>
      <c r="AJ203" s="222"/>
      <c r="AK203" s="222"/>
      <c r="AL203" s="222"/>
      <c r="AM203" s="222"/>
      <c r="AN203" s="222"/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2"/>
      <c r="BK203" s="222"/>
      <c r="BL203" s="222"/>
      <c r="BM203" s="222"/>
      <c r="BN203" s="222"/>
      <c r="BO203" s="222"/>
      <c r="BP203" s="222"/>
      <c r="BQ203" s="222"/>
      <c r="BR203" s="222"/>
      <c r="BS203" s="222"/>
      <c r="BT203" s="222"/>
      <c r="BU203" s="222"/>
      <c r="BV203" s="222"/>
      <c r="BW203" s="222"/>
      <c r="BX203" s="222"/>
      <c r="BY203" s="222"/>
      <c r="BZ203" s="222"/>
      <c r="CA203" s="222"/>
      <c r="CB203" s="222"/>
      <c r="CC203" s="222"/>
      <c r="CD203" s="222"/>
      <c r="CE203" s="222"/>
      <c r="CF203" s="222"/>
      <c r="CG203" s="222"/>
      <c r="CH203" s="222"/>
      <c r="CI203" s="222"/>
      <c r="CJ203" s="222"/>
      <c r="CK203" s="222"/>
      <c r="CL203" s="222"/>
      <c r="CM203" s="222"/>
      <c r="CN203" s="222"/>
      <c r="CO203" s="222"/>
      <c r="CP203" s="222"/>
      <c r="CQ203" s="222"/>
      <c r="CR203" s="222"/>
      <c r="CS203" s="222"/>
      <c r="CT203" s="222"/>
      <c r="CU203" s="222"/>
      <c r="CV203" s="222"/>
      <c r="CW203" s="222"/>
      <c r="CX203" s="222"/>
      <c r="CY203" s="222"/>
      <c r="CZ203" s="222"/>
      <c r="DA203" s="222"/>
      <c r="DB203" s="222"/>
      <c r="DC203" s="222"/>
      <c r="DD203" s="222"/>
      <c r="DE203" s="222"/>
      <c r="DF203" s="222"/>
      <c r="DG203" s="222"/>
      <c r="DH203" s="222"/>
      <c r="DI203" s="222"/>
      <c r="DJ203" s="222"/>
      <c r="DK203" s="222"/>
      <c r="DL203" s="222"/>
      <c r="DM203" s="222"/>
      <c r="DN203" s="222"/>
      <c r="DO203" s="222"/>
      <c r="DP203" s="222"/>
      <c r="DQ203" s="222"/>
      <c r="DR203" s="222"/>
      <c r="DS203" s="222"/>
      <c r="DT203" s="222"/>
      <c r="DU203" s="222"/>
      <c r="DV203" s="222"/>
      <c r="DW203" s="325"/>
      <c r="DX203" s="325"/>
      <c r="DY203" s="325"/>
      <c r="DZ203" s="325"/>
      <c r="EA203" s="325"/>
      <c r="EB203" s="325"/>
      <c r="EC203" s="325"/>
      <c r="ED203" s="325"/>
      <c r="EE203" s="325"/>
      <c r="EF203" s="325"/>
      <c r="EG203" s="325"/>
      <c r="EH203" s="325"/>
    </row>
    <row r="204" spans="1:138" hidden="1">
      <c r="A204" s="222"/>
      <c r="B204" s="318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222"/>
      <c r="AF204" s="222"/>
      <c r="AG204" s="222"/>
      <c r="AH204" s="222"/>
      <c r="AI204" s="222"/>
      <c r="AJ204" s="222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222"/>
      <c r="AU204" s="222"/>
      <c r="AV204" s="222"/>
      <c r="AW204" s="222"/>
      <c r="AX204" s="222"/>
      <c r="AY204" s="222"/>
      <c r="AZ204" s="222"/>
      <c r="BA204" s="222"/>
      <c r="BB204" s="222"/>
      <c r="BC204" s="222"/>
      <c r="BD204" s="222"/>
      <c r="BE204" s="222"/>
      <c r="BF204" s="222"/>
      <c r="BG204" s="222"/>
      <c r="BH204" s="222"/>
      <c r="BI204" s="222"/>
      <c r="BJ204" s="222"/>
      <c r="BK204" s="222"/>
      <c r="BL204" s="222"/>
      <c r="BM204" s="222"/>
      <c r="BN204" s="222"/>
      <c r="BO204" s="222"/>
      <c r="BP204" s="222"/>
      <c r="BQ204" s="222"/>
      <c r="BR204" s="222"/>
      <c r="BS204" s="222"/>
      <c r="BT204" s="222"/>
      <c r="BU204" s="222"/>
      <c r="BV204" s="222"/>
      <c r="BW204" s="222"/>
      <c r="BX204" s="222"/>
      <c r="BY204" s="222"/>
      <c r="BZ204" s="222"/>
      <c r="CA204" s="222"/>
      <c r="CB204" s="222"/>
      <c r="CC204" s="222"/>
      <c r="CD204" s="222"/>
      <c r="CE204" s="222"/>
      <c r="CF204" s="222"/>
      <c r="CG204" s="222"/>
      <c r="CH204" s="222"/>
      <c r="CI204" s="222"/>
      <c r="CJ204" s="222"/>
      <c r="CK204" s="222"/>
      <c r="CL204" s="222"/>
      <c r="CM204" s="222"/>
      <c r="CN204" s="222"/>
      <c r="CO204" s="222"/>
      <c r="CP204" s="222"/>
      <c r="CQ204" s="222"/>
      <c r="CR204" s="222"/>
      <c r="CS204" s="222"/>
      <c r="CT204" s="222"/>
      <c r="CU204" s="222"/>
      <c r="CV204" s="222"/>
      <c r="CW204" s="222"/>
      <c r="CX204" s="222"/>
      <c r="CY204" s="222"/>
      <c r="CZ204" s="222"/>
      <c r="DA204" s="222"/>
      <c r="DB204" s="222"/>
      <c r="DC204" s="222"/>
      <c r="DD204" s="222"/>
      <c r="DE204" s="222"/>
      <c r="DF204" s="222"/>
      <c r="DG204" s="222"/>
      <c r="DH204" s="222"/>
      <c r="DI204" s="222"/>
      <c r="DJ204" s="222"/>
      <c r="DK204" s="222"/>
      <c r="DL204" s="222"/>
      <c r="DM204" s="222"/>
      <c r="DN204" s="222"/>
      <c r="DO204" s="222"/>
      <c r="DP204" s="222"/>
      <c r="DQ204" s="222"/>
      <c r="DR204" s="222"/>
      <c r="DS204" s="222"/>
      <c r="DT204" s="222"/>
      <c r="DU204" s="222"/>
      <c r="DV204" s="222"/>
      <c r="DW204" s="325"/>
      <c r="DX204" s="325"/>
      <c r="DY204" s="325"/>
      <c r="DZ204" s="325"/>
      <c r="EA204" s="325"/>
      <c r="EB204" s="325"/>
      <c r="EC204" s="325"/>
      <c r="ED204" s="325"/>
      <c r="EE204" s="325"/>
      <c r="EF204" s="325"/>
      <c r="EG204" s="325"/>
      <c r="EH204" s="325"/>
    </row>
    <row r="205" spans="1:138" hidden="1">
      <c r="A205" s="222"/>
      <c r="B205" s="318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222"/>
      <c r="AF205" s="222"/>
      <c r="AG205" s="222"/>
      <c r="AH205" s="222"/>
      <c r="AI205" s="222"/>
      <c r="AJ205" s="222"/>
      <c r="AK205" s="222"/>
      <c r="AL205" s="222"/>
      <c r="AM205" s="222"/>
      <c r="AN205" s="222"/>
      <c r="AO205" s="222"/>
      <c r="AP205" s="222"/>
      <c r="AQ205" s="222"/>
      <c r="AR205" s="222"/>
      <c r="AS205" s="222"/>
      <c r="AT205" s="222"/>
      <c r="AU205" s="222"/>
      <c r="AV205" s="222"/>
      <c r="AW205" s="222"/>
      <c r="AX205" s="222"/>
      <c r="AY205" s="222"/>
      <c r="AZ205" s="222"/>
      <c r="BA205" s="222"/>
      <c r="BB205" s="222"/>
      <c r="BC205" s="222"/>
      <c r="BD205" s="222"/>
      <c r="BE205" s="222"/>
      <c r="BF205" s="222"/>
      <c r="BG205" s="222"/>
      <c r="BH205" s="222"/>
      <c r="BI205" s="222"/>
      <c r="BJ205" s="222"/>
      <c r="BK205" s="222"/>
      <c r="BL205" s="222"/>
      <c r="BM205" s="222"/>
      <c r="BN205" s="222"/>
      <c r="BO205" s="222"/>
      <c r="BP205" s="222"/>
      <c r="BQ205" s="222"/>
      <c r="BR205" s="222"/>
      <c r="BS205" s="222"/>
      <c r="BT205" s="222"/>
      <c r="BU205" s="222"/>
      <c r="BV205" s="222"/>
      <c r="BW205" s="222"/>
      <c r="BX205" s="222"/>
      <c r="BY205" s="222"/>
      <c r="BZ205" s="222"/>
      <c r="CA205" s="222"/>
      <c r="CB205" s="222"/>
      <c r="CC205" s="222"/>
      <c r="CD205" s="222"/>
      <c r="CE205" s="222"/>
      <c r="CF205" s="222"/>
      <c r="CG205" s="222"/>
      <c r="CH205" s="222"/>
      <c r="CI205" s="222"/>
      <c r="CJ205" s="222"/>
      <c r="CK205" s="222"/>
      <c r="CL205" s="222"/>
      <c r="CM205" s="222"/>
      <c r="CN205" s="222"/>
      <c r="CO205" s="222"/>
      <c r="CP205" s="222"/>
      <c r="CQ205" s="222"/>
      <c r="CR205" s="222"/>
      <c r="CS205" s="222"/>
      <c r="CT205" s="222"/>
      <c r="CU205" s="222"/>
      <c r="CV205" s="222"/>
      <c r="CW205" s="222"/>
      <c r="CX205" s="222"/>
      <c r="CY205" s="222"/>
      <c r="CZ205" s="222"/>
      <c r="DA205" s="222"/>
      <c r="DB205" s="222"/>
      <c r="DC205" s="222"/>
      <c r="DD205" s="222"/>
      <c r="DE205" s="222"/>
      <c r="DF205" s="222"/>
      <c r="DG205" s="222"/>
      <c r="DH205" s="222"/>
      <c r="DI205" s="222"/>
      <c r="DJ205" s="222"/>
      <c r="DK205" s="222"/>
      <c r="DL205" s="222"/>
      <c r="DM205" s="222"/>
      <c r="DN205" s="222"/>
      <c r="DO205" s="222"/>
      <c r="DP205" s="222"/>
      <c r="DQ205" s="222"/>
      <c r="DR205" s="222"/>
      <c r="DS205" s="222"/>
      <c r="DT205" s="222"/>
      <c r="DU205" s="222"/>
      <c r="DV205" s="222"/>
      <c r="DW205" s="325"/>
      <c r="DX205" s="325"/>
      <c r="DY205" s="325"/>
      <c r="DZ205" s="325"/>
      <c r="EA205" s="325"/>
      <c r="EB205" s="325"/>
      <c r="EC205" s="325"/>
      <c r="ED205" s="325"/>
      <c r="EE205" s="325"/>
      <c r="EF205" s="325"/>
      <c r="EG205" s="325"/>
      <c r="EH205" s="325"/>
    </row>
    <row r="206" spans="1:138" hidden="1">
      <c r="A206" s="222"/>
      <c r="B206" s="318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222"/>
      <c r="AF206" s="222"/>
      <c r="AG206" s="222"/>
      <c r="AH206" s="222"/>
      <c r="AI206" s="222"/>
      <c r="AJ206" s="222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  <c r="BL206" s="222"/>
      <c r="BM206" s="222"/>
      <c r="BN206" s="222"/>
      <c r="BO206" s="222"/>
      <c r="BP206" s="222"/>
      <c r="BQ206" s="222"/>
      <c r="BR206" s="222"/>
      <c r="BS206" s="222"/>
      <c r="BT206" s="222"/>
      <c r="BU206" s="222"/>
      <c r="BV206" s="222"/>
      <c r="BW206" s="222"/>
      <c r="BX206" s="222"/>
      <c r="BY206" s="222"/>
      <c r="BZ206" s="222"/>
      <c r="CA206" s="222"/>
      <c r="CB206" s="222"/>
      <c r="CC206" s="222"/>
      <c r="CD206" s="222"/>
      <c r="CE206" s="222"/>
      <c r="CF206" s="222"/>
      <c r="CG206" s="222"/>
      <c r="CH206" s="222"/>
      <c r="CI206" s="222"/>
      <c r="CJ206" s="222"/>
      <c r="CK206" s="222"/>
      <c r="CL206" s="222"/>
      <c r="CM206" s="222"/>
      <c r="CN206" s="222"/>
      <c r="CO206" s="222"/>
      <c r="CP206" s="222"/>
      <c r="CQ206" s="222"/>
      <c r="CR206" s="222"/>
      <c r="CS206" s="222"/>
      <c r="CT206" s="222"/>
      <c r="CU206" s="222"/>
      <c r="CV206" s="222"/>
      <c r="CW206" s="222"/>
      <c r="CX206" s="222"/>
      <c r="CY206" s="222"/>
      <c r="CZ206" s="222"/>
      <c r="DA206" s="222"/>
      <c r="DB206" s="222"/>
      <c r="DC206" s="222"/>
      <c r="DD206" s="222"/>
      <c r="DE206" s="222"/>
      <c r="DF206" s="222"/>
      <c r="DG206" s="222"/>
      <c r="DH206" s="222"/>
      <c r="DI206" s="222"/>
      <c r="DJ206" s="222"/>
      <c r="DK206" s="222"/>
      <c r="DL206" s="222"/>
      <c r="DM206" s="222"/>
      <c r="DN206" s="222"/>
      <c r="DO206" s="222"/>
      <c r="DP206" s="222"/>
      <c r="DQ206" s="222"/>
      <c r="DR206" s="222"/>
      <c r="DS206" s="222"/>
      <c r="DT206" s="222"/>
      <c r="DU206" s="222"/>
      <c r="DV206" s="222"/>
      <c r="DW206" s="325"/>
      <c r="DX206" s="325"/>
      <c r="DY206" s="325"/>
      <c r="DZ206" s="325"/>
      <c r="EA206" s="325"/>
      <c r="EB206" s="325"/>
      <c r="EC206" s="325"/>
      <c r="ED206" s="325"/>
      <c r="EE206" s="325"/>
      <c r="EF206" s="325"/>
      <c r="EG206" s="325"/>
      <c r="EH206" s="325"/>
    </row>
    <row r="207" spans="1:138" hidden="1">
      <c r="A207" s="222"/>
      <c r="B207" s="318"/>
      <c r="C207" s="310" t="s">
        <v>309</v>
      </c>
      <c r="D207" s="311"/>
      <c r="E207" s="312">
        <f t="shared" ref="E207:G207" si="66">-(E8+E94)</f>
        <v>0</v>
      </c>
      <c r="F207" s="312">
        <f t="shared" si="66"/>
        <v>0</v>
      </c>
      <c r="G207" s="312">
        <f t="shared" si="66"/>
        <v>0</v>
      </c>
      <c r="H207" s="311">
        <f>-5341205.5</f>
        <v>-5341205.5</v>
      </c>
      <c r="I207" s="311">
        <v>0</v>
      </c>
      <c r="J207" s="311">
        <v>0</v>
      </c>
      <c r="K207" s="311">
        <v>0</v>
      </c>
      <c r="L207" s="311">
        <v>0</v>
      </c>
      <c r="M207" s="311">
        <v>0</v>
      </c>
      <c r="N207" s="311">
        <v>0</v>
      </c>
      <c r="O207" s="311">
        <v>0</v>
      </c>
      <c r="P207" s="311">
        <v>0</v>
      </c>
      <c r="Q207" s="311">
        <v>0</v>
      </c>
      <c r="R207" s="311">
        <v>0</v>
      </c>
      <c r="S207" s="311">
        <v>0</v>
      </c>
      <c r="T207" s="311">
        <f>5341205.5</f>
        <v>5341205.5</v>
      </c>
      <c r="U207" s="312">
        <f t="shared" ref="U207:BX207" si="67">-(U8+U94)</f>
        <v>0</v>
      </c>
      <c r="V207" s="312">
        <f t="shared" si="67"/>
        <v>0</v>
      </c>
      <c r="W207" s="312">
        <f t="shared" si="67"/>
        <v>0</v>
      </c>
      <c r="X207" s="312">
        <f t="shared" si="67"/>
        <v>0</v>
      </c>
      <c r="Y207" s="312">
        <f t="shared" si="67"/>
        <v>0</v>
      </c>
      <c r="Z207" s="312">
        <f t="shared" si="67"/>
        <v>0</v>
      </c>
      <c r="AA207" s="312">
        <f t="shared" si="67"/>
        <v>0</v>
      </c>
      <c r="AB207" s="312">
        <f t="shared" si="67"/>
        <v>0</v>
      </c>
      <c r="AC207" s="312">
        <f t="shared" si="67"/>
        <v>0</v>
      </c>
      <c r="AD207" s="312">
        <f t="shared" si="67"/>
        <v>0</v>
      </c>
      <c r="AE207" s="312">
        <f t="shared" si="67"/>
        <v>0</v>
      </c>
      <c r="AF207" s="312">
        <f t="shared" si="67"/>
        <v>0</v>
      </c>
      <c r="AG207" s="312">
        <f t="shared" si="67"/>
        <v>0</v>
      </c>
      <c r="AH207" s="312">
        <f t="shared" si="67"/>
        <v>0</v>
      </c>
      <c r="AI207" s="312">
        <f t="shared" si="67"/>
        <v>0</v>
      </c>
      <c r="AJ207" s="312">
        <f t="shared" si="67"/>
        <v>0</v>
      </c>
      <c r="AK207" s="312">
        <f t="shared" si="67"/>
        <v>0</v>
      </c>
      <c r="AL207" s="312">
        <f t="shared" si="67"/>
        <v>0</v>
      </c>
      <c r="AM207" s="312">
        <f t="shared" si="67"/>
        <v>0</v>
      </c>
      <c r="AN207" s="312">
        <f t="shared" si="67"/>
        <v>0</v>
      </c>
      <c r="AO207" s="312">
        <f t="shared" si="67"/>
        <v>0</v>
      </c>
      <c r="AP207" s="312">
        <f t="shared" si="67"/>
        <v>0</v>
      </c>
      <c r="AQ207" s="312">
        <f t="shared" si="67"/>
        <v>0</v>
      </c>
      <c r="AR207" s="312">
        <f t="shared" si="67"/>
        <v>0</v>
      </c>
      <c r="AS207" s="312">
        <f t="shared" si="67"/>
        <v>0</v>
      </c>
      <c r="AT207" s="312">
        <f t="shared" si="67"/>
        <v>0</v>
      </c>
      <c r="AU207" s="312">
        <f t="shared" si="67"/>
        <v>0</v>
      </c>
      <c r="AV207" s="312">
        <f t="shared" si="67"/>
        <v>0</v>
      </c>
      <c r="AW207" s="312">
        <f t="shared" si="67"/>
        <v>0</v>
      </c>
      <c r="AX207" s="312">
        <f t="shared" si="67"/>
        <v>0</v>
      </c>
      <c r="AY207" s="312">
        <f t="shared" si="67"/>
        <v>0</v>
      </c>
      <c r="AZ207" s="312">
        <f t="shared" si="67"/>
        <v>0</v>
      </c>
      <c r="BA207" s="312">
        <f t="shared" si="67"/>
        <v>0</v>
      </c>
      <c r="BB207" s="312">
        <f t="shared" si="67"/>
        <v>0</v>
      </c>
      <c r="BC207" s="312">
        <f t="shared" si="67"/>
        <v>0</v>
      </c>
      <c r="BD207" s="312">
        <f t="shared" si="67"/>
        <v>0</v>
      </c>
      <c r="BE207" s="312">
        <f t="shared" si="67"/>
        <v>0</v>
      </c>
      <c r="BF207" s="312">
        <f t="shared" si="67"/>
        <v>0</v>
      </c>
      <c r="BG207" s="312">
        <f t="shared" si="67"/>
        <v>0</v>
      </c>
      <c r="BH207" s="312">
        <f t="shared" si="67"/>
        <v>0</v>
      </c>
      <c r="BI207" s="312">
        <f t="shared" si="67"/>
        <v>0</v>
      </c>
      <c r="BJ207" s="312">
        <f t="shared" si="67"/>
        <v>0</v>
      </c>
      <c r="BK207" s="312">
        <f t="shared" si="67"/>
        <v>0</v>
      </c>
      <c r="BL207" s="312">
        <f t="shared" si="67"/>
        <v>0</v>
      </c>
      <c r="BM207" s="312">
        <f t="shared" si="67"/>
        <v>0</v>
      </c>
      <c r="BN207" s="312">
        <f t="shared" si="67"/>
        <v>0</v>
      </c>
      <c r="BO207" s="312">
        <f t="shared" si="67"/>
        <v>0</v>
      </c>
      <c r="BP207" s="312">
        <f t="shared" si="67"/>
        <v>0</v>
      </c>
      <c r="BQ207" s="312">
        <f t="shared" si="67"/>
        <v>0</v>
      </c>
      <c r="BR207" s="312">
        <f t="shared" si="67"/>
        <v>0</v>
      </c>
      <c r="BS207" s="312">
        <f t="shared" si="67"/>
        <v>0</v>
      </c>
      <c r="BT207" s="312">
        <f t="shared" si="67"/>
        <v>0</v>
      </c>
      <c r="BU207" s="312">
        <f t="shared" si="67"/>
        <v>0</v>
      </c>
      <c r="BV207" s="312">
        <f t="shared" si="67"/>
        <v>0</v>
      </c>
      <c r="BW207" s="312">
        <f t="shared" si="67"/>
        <v>0</v>
      </c>
      <c r="BX207" s="312">
        <f t="shared" si="67"/>
        <v>0</v>
      </c>
      <c r="BY207" s="222"/>
      <c r="BZ207" s="222"/>
      <c r="CA207" s="222"/>
      <c r="CB207" s="222"/>
      <c r="CC207" s="222"/>
      <c r="CD207" s="222"/>
      <c r="CE207" s="222"/>
      <c r="CF207" s="222"/>
      <c r="CG207" s="222"/>
      <c r="CH207" s="222"/>
      <c r="CI207" s="222"/>
      <c r="CJ207" s="222"/>
      <c r="CK207" s="222"/>
      <c r="CL207" s="222"/>
      <c r="CM207" s="222"/>
      <c r="CN207" s="222"/>
      <c r="CO207" s="222"/>
      <c r="CP207" s="222"/>
      <c r="CQ207" s="222"/>
      <c r="CR207" s="222"/>
      <c r="CS207" s="222"/>
      <c r="CT207" s="222"/>
      <c r="CU207" s="222"/>
      <c r="CV207" s="222"/>
      <c r="CW207" s="222"/>
      <c r="CX207" s="222"/>
      <c r="CY207" s="222"/>
      <c r="CZ207" s="222"/>
      <c r="DA207" s="222"/>
      <c r="DB207" s="222"/>
      <c r="DC207" s="222"/>
      <c r="DD207" s="222"/>
      <c r="DE207" s="222"/>
      <c r="DF207" s="222"/>
      <c r="DG207" s="222"/>
      <c r="DH207" s="222"/>
      <c r="DI207" s="222"/>
      <c r="DJ207" s="222"/>
      <c r="DK207" s="222"/>
      <c r="DL207" s="222"/>
      <c r="DM207" s="222"/>
      <c r="DN207" s="222"/>
      <c r="DO207" s="222"/>
      <c r="DP207" s="222"/>
      <c r="DQ207" s="222"/>
      <c r="DR207" s="222"/>
      <c r="DS207" s="222"/>
      <c r="DT207" s="222"/>
      <c r="DU207" s="222"/>
      <c r="DV207" s="222"/>
      <c r="DW207" s="222"/>
      <c r="DX207" s="222"/>
      <c r="DY207" s="222"/>
      <c r="DZ207" s="222"/>
      <c r="EA207" s="222"/>
      <c r="EB207" s="222"/>
      <c r="EC207" s="222"/>
      <c r="ED207" s="222"/>
      <c r="EE207" s="222"/>
      <c r="EF207" s="222"/>
      <c r="EG207" s="222"/>
      <c r="EH207" s="222"/>
    </row>
    <row r="208" spans="1:138" hidden="1">
      <c r="A208" s="222"/>
      <c r="B208" s="318"/>
      <c r="C208" s="310" t="s">
        <v>305</v>
      </c>
      <c r="D208" s="319"/>
      <c r="E208" s="311"/>
      <c r="F208" s="311"/>
      <c r="G208" s="311"/>
      <c r="H208" s="311"/>
      <c r="I208" s="311"/>
      <c r="J208" s="311"/>
      <c r="K208" s="311"/>
      <c r="L208" s="311"/>
      <c r="M208" s="311"/>
      <c r="N208" s="311"/>
      <c r="O208" s="311"/>
      <c r="P208" s="311"/>
      <c r="Q208" s="311"/>
      <c r="R208" s="311"/>
      <c r="S208" s="311"/>
      <c r="T208" s="311"/>
      <c r="U208" s="311"/>
      <c r="V208" s="311"/>
      <c r="W208" s="311"/>
      <c r="X208" s="311"/>
      <c r="Y208" s="311"/>
      <c r="Z208" s="311"/>
      <c r="AA208" s="311"/>
      <c r="AB208" s="311"/>
      <c r="AC208" s="311"/>
      <c r="AD208" s="311"/>
      <c r="AE208" s="311"/>
      <c r="AF208" s="311"/>
      <c r="AG208" s="311"/>
      <c r="AH208" s="311"/>
      <c r="AI208" s="311"/>
      <c r="AJ208" s="311"/>
      <c r="AK208" s="311"/>
      <c r="AL208" s="311"/>
      <c r="AM208" s="311"/>
      <c r="AN208" s="311"/>
      <c r="AO208" s="311"/>
      <c r="AP208" s="311"/>
      <c r="AQ208" s="311"/>
      <c r="AR208" s="311"/>
      <c r="AS208" s="311"/>
      <c r="AT208" s="311"/>
      <c r="AU208" s="311"/>
      <c r="AV208" s="311"/>
      <c r="AW208" s="311"/>
      <c r="AX208" s="311"/>
      <c r="AY208" s="311"/>
      <c r="AZ208" s="311"/>
      <c r="BA208" s="311"/>
      <c r="BB208" s="311"/>
      <c r="BC208" s="312"/>
      <c r="BD208" s="311"/>
      <c r="BE208" s="311"/>
      <c r="BF208" s="311"/>
      <c r="BG208" s="311"/>
      <c r="BH208" s="311"/>
      <c r="BI208" s="311"/>
      <c r="BJ208" s="311"/>
      <c r="BK208" s="311"/>
      <c r="BL208" s="311"/>
      <c r="BM208" s="311"/>
      <c r="BN208" s="311"/>
      <c r="BO208" s="311"/>
      <c r="BP208" s="311"/>
      <c r="BQ208" s="311"/>
      <c r="BR208" s="311"/>
      <c r="BS208" s="311"/>
      <c r="BT208" s="311"/>
      <c r="BU208" s="311"/>
      <c r="BV208" s="311"/>
      <c r="BW208" s="311"/>
      <c r="BX208" s="311"/>
      <c r="BY208" s="307"/>
      <c r="BZ208" s="307"/>
      <c r="CA208" s="222"/>
      <c r="CB208" s="222"/>
      <c r="CC208" s="222"/>
      <c r="CD208" s="222"/>
      <c r="CE208" s="222"/>
      <c r="CF208" s="222"/>
      <c r="CG208" s="222"/>
      <c r="CH208" s="222"/>
      <c r="CI208" s="222"/>
      <c r="CJ208" s="222"/>
      <c r="CK208" s="222"/>
      <c r="CL208" s="222"/>
      <c r="CM208" s="222"/>
      <c r="CN208" s="222"/>
      <c r="CO208" s="222"/>
      <c r="CP208" s="222"/>
      <c r="CQ208" s="222"/>
      <c r="CR208" s="222"/>
      <c r="CS208" s="222"/>
      <c r="CT208" s="222"/>
      <c r="CU208" s="222"/>
      <c r="CV208" s="222"/>
      <c r="CW208" s="222"/>
      <c r="CX208" s="222"/>
      <c r="CY208" s="222"/>
      <c r="CZ208" s="222"/>
      <c r="DA208" s="222"/>
      <c r="DB208" s="222"/>
      <c r="DC208" s="222"/>
      <c r="DD208" s="222"/>
      <c r="DE208" s="222"/>
      <c r="DF208" s="222"/>
      <c r="DG208" s="222"/>
      <c r="DH208" s="222"/>
      <c r="DI208" s="222"/>
      <c r="DJ208" s="222"/>
      <c r="DK208" s="222"/>
      <c r="DL208" s="222"/>
      <c r="DM208" s="222"/>
      <c r="DN208" s="222"/>
      <c r="DO208" s="222"/>
      <c r="DP208" s="222"/>
      <c r="DQ208" s="222"/>
      <c r="DR208" s="222"/>
      <c r="DS208" s="222"/>
      <c r="DT208" s="222"/>
      <c r="DU208" s="222"/>
      <c r="DV208" s="222"/>
      <c r="DW208" s="222"/>
      <c r="DX208" s="222"/>
      <c r="DY208" s="222"/>
      <c r="DZ208" s="222"/>
      <c r="EA208" s="222"/>
      <c r="EB208" s="222"/>
      <c r="EC208" s="222"/>
      <c r="ED208" s="222"/>
      <c r="EE208" s="222"/>
      <c r="EF208" s="222"/>
      <c r="EG208" s="222"/>
      <c r="EH208" s="222"/>
    </row>
    <row r="209" spans="1:138" hidden="1">
      <c r="A209" s="222"/>
      <c r="B209" s="318"/>
      <c r="C209" s="310" t="s">
        <v>296</v>
      </c>
      <c r="D209" s="319"/>
      <c r="E209" s="311">
        <f t="shared" ref="E209:G209" si="68">-E59</f>
        <v>0</v>
      </c>
      <c r="F209" s="311">
        <f t="shared" si="68"/>
        <v>0</v>
      </c>
      <c r="G209" s="311">
        <f t="shared" si="68"/>
        <v>0</v>
      </c>
      <c r="H209" s="311">
        <f t="shared" ref="H209:T209" si="69">-H74</f>
        <v>0</v>
      </c>
      <c r="I209" s="311">
        <f t="shared" si="69"/>
        <v>0</v>
      </c>
      <c r="J209" s="311">
        <f t="shared" si="69"/>
        <v>0</v>
      </c>
      <c r="K209" s="311">
        <f t="shared" si="69"/>
        <v>0</v>
      </c>
      <c r="L209" s="311">
        <f t="shared" si="69"/>
        <v>0</v>
      </c>
      <c r="M209" s="311">
        <f t="shared" si="69"/>
        <v>0</v>
      </c>
      <c r="N209" s="311">
        <f t="shared" si="69"/>
        <v>0</v>
      </c>
      <c r="O209" s="311">
        <f t="shared" si="69"/>
        <v>0</v>
      </c>
      <c r="P209" s="311">
        <f t="shared" si="69"/>
        <v>0</v>
      </c>
      <c r="Q209" s="311">
        <f t="shared" si="69"/>
        <v>0</v>
      </c>
      <c r="R209" s="311">
        <f t="shared" si="69"/>
        <v>0</v>
      </c>
      <c r="S209" s="311">
        <f t="shared" si="69"/>
        <v>0</v>
      </c>
      <c r="T209" s="311">
        <f t="shared" si="69"/>
        <v>0</v>
      </c>
      <c r="U209" s="311">
        <f t="shared" ref="U209:BX209" si="70">-U59</f>
        <v>0</v>
      </c>
      <c r="V209" s="311">
        <f t="shared" si="70"/>
        <v>0</v>
      </c>
      <c r="W209" s="311">
        <f t="shared" si="70"/>
        <v>0</v>
      </c>
      <c r="X209" s="311">
        <f t="shared" si="70"/>
        <v>0</v>
      </c>
      <c r="Y209" s="311">
        <f t="shared" si="70"/>
        <v>0</v>
      </c>
      <c r="Z209" s="311">
        <f t="shared" si="70"/>
        <v>0</v>
      </c>
      <c r="AA209" s="311">
        <f t="shared" si="70"/>
        <v>0</v>
      </c>
      <c r="AB209" s="311">
        <f t="shared" si="70"/>
        <v>0</v>
      </c>
      <c r="AC209" s="311">
        <f t="shared" si="70"/>
        <v>0</v>
      </c>
      <c r="AD209" s="311">
        <f t="shared" si="70"/>
        <v>0</v>
      </c>
      <c r="AE209" s="311">
        <f t="shared" si="70"/>
        <v>0</v>
      </c>
      <c r="AF209" s="311">
        <f t="shared" si="70"/>
        <v>0</v>
      </c>
      <c r="AG209" s="311">
        <f t="shared" si="70"/>
        <v>0</v>
      </c>
      <c r="AH209" s="311">
        <f t="shared" si="70"/>
        <v>0</v>
      </c>
      <c r="AI209" s="311">
        <f t="shared" si="70"/>
        <v>0</v>
      </c>
      <c r="AJ209" s="311">
        <f t="shared" si="70"/>
        <v>0</v>
      </c>
      <c r="AK209" s="311">
        <f t="shared" si="70"/>
        <v>0</v>
      </c>
      <c r="AL209" s="311">
        <f t="shared" si="70"/>
        <v>0</v>
      </c>
      <c r="AM209" s="311">
        <f t="shared" si="70"/>
        <v>0</v>
      </c>
      <c r="AN209" s="311">
        <f t="shared" si="70"/>
        <v>0</v>
      </c>
      <c r="AO209" s="311">
        <f t="shared" si="70"/>
        <v>0</v>
      </c>
      <c r="AP209" s="311">
        <f t="shared" si="70"/>
        <v>0</v>
      </c>
      <c r="AQ209" s="311">
        <f t="shared" si="70"/>
        <v>0</v>
      </c>
      <c r="AR209" s="311">
        <f t="shared" si="70"/>
        <v>0</v>
      </c>
      <c r="AS209" s="311">
        <f t="shared" si="70"/>
        <v>0</v>
      </c>
      <c r="AT209" s="311">
        <f t="shared" si="70"/>
        <v>0</v>
      </c>
      <c r="AU209" s="311">
        <f t="shared" si="70"/>
        <v>0</v>
      </c>
      <c r="AV209" s="311">
        <f t="shared" si="70"/>
        <v>0</v>
      </c>
      <c r="AW209" s="311">
        <f t="shared" si="70"/>
        <v>0</v>
      </c>
      <c r="AX209" s="311">
        <f t="shared" si="70"/>
        <v>0</v>
      </c>
      <c r="AY209" s="311">
        <f t="shared" si="70"/>
        <v>0</v>
      </c>
      <c r="AZ209" s="311">
        <f t="shared" si="70"/>
        <v>0</v>
      </c>
      <c r="BA209" s="311">
        <f t="shared" si="70"/>
        <v>0</v>
      </c>
      <c r="BB209" s="311">
        <f t="shared" si="70"/>
        <v>0</v>
      </c>
      <c r="BC209" s="311">
        <f t="shared" si="70"/>
        <v>0</v>
      </c>
      <c r="BD209" s="311">
        <f t="shared" si="70"/>
        <v>0</v>
      </c>
      <c r="BE209" s="311">
        <f t="shared" si="70"/>
        <v>0</v>
      </c>
      <c r="BF209" s="311">
        <f t="shared" si="70"/>
        <v>0</v>
      </c>
      <c r="BG209" s="311">
        <f t="shared" si="70"/>
        <v>0</v>
      </c>
      <c r="BH209" s="311">
        <f t="shared" si="70"/>
        <v>0</v>
      </c>
      <c r="BI209" s="311">
        <f t="shared" si="70"/>
        <v>0</v>
      </c>
      <c r="BJ209" s="311">
        <f t="shared" si="70"/>
        <v>0</v>
      </c>
      <c r="BK209" s="311">
        <f t="shared" si="70"/>
        <v>0</v>
      </c>
      <c r="BL209" s="311">
        <f t="shared" si="70"/>
        <v>0</v>
      </c>
      <c r="BM209" s="311">
        <f t="shared" si="70"/>
        <v>0</v>
      </c>
      <c r="BN209" s="311">
        <f t="shared" si="70"/>
        <v>0</v>
      </c>
      <c r="BO209" s="311">
        <f t="shared" si="70"/>
        <v>0</v>
      </c>
      <c r="BP209" s="311">
        <f t="shared" si="70"/>
        <v>0</v>
      </c>
      <c r="BQ209" s="311">
        <f t="shared" si="70"/>
        <v>0</v>
      </c>
      <c r="BR209" s="311">
        <f t="shared" si="70"/>
        <v>0</v>
      </c>
      <c r="BS209" s="311">
        <f t="shared" si="70"/>
        <v>0</v>
      </c>
      <c r="BT209" s="311">
        <f t="shared" si="70"/>
        <v>0</v>
      </c>
      <c r="BU209" s="311">
        <f t="shared" si="70"/>
        <v>0</v>
      </c>
      <c r="BV209" s="311">
        <f t="shared" si="70"/>
        <v>0</v>
      </c>
      <c r="BW209" s="311">
        <f t="shared" si="70"/>
        <v>0</v>
      </c>
      <c r="BX209" s="311">
        <f t="shared" si="70"/>
        <v>0</v>
      </c>
      <c r="BY209" s="307"/>
      <c r="BZ209" s="307"/>
      <c r="CA209" s="222"/>
      <c r="CB209" s="222"/>
      <c r="CC209" s="222"/>
      <c r="CD209" s="222"/>
      <c r="CE209" s="222"/>
      <c r="CF209" s="222"/>
      <c r="CG209" s="222"/>
      <c r="CH209" s="222"/>
      <c r="CI209" s="222"/>
      <c r="CJ209" s="222"/>
      <c r="CK209" s="222"/>
      <c r="CL209" s="222"/>
      <c r="CM209" s="222"/>
      <c r="CN209" s="222"/>
      <c r="CO209" s="222"/>
      <c r="CP209" s="222"/>
      <c r="CQ209" s="222"/>
      <c r="CR209" s="222"/>
      <c r="CS209" s="222"/>
      <c r="CT209" s="222"/>
      <c r="CU209" s="222"/>
      <c r="CV209" s="222"/>
      <c r="CW209" s="222"/>
      <c r="CX209" s="222"/>
      <c r="CY209" s="222"/>
      <c r="CZ209" s="222"/>
      <c r="DA209" s="222"/>
      <c r="DB209" s="222"/>
      <c r="DC209" s="222"/>
      <c r="DD209" s="222"/>
      <c r="DE209" s="222"/>
      <c r="DF209" s="222"/>
      <c r="DG209" s="222"/>
      <c r="DH209" s="222"/>
      <c r="DI209" s="222"/>
      <c r="DJ209" s="222"/>
      <c r="DK209" s="222"/>
      <c r="DL209" s="222"/>
      <c r="DM209" s="222"/>
      <c r="DN209" s="222"/>
      <c r="DO209" s="222"/>
      <c r="DP209" s="222"/>
      <c r="DQ209" s="222"/>
      <c r="DR209" s="222"/>
      <c r="DS209" s="222"/>
      <c r="DT209" s="222"/>
      <c r="DU209" s="222"/>
      <c r="DV209" s="222"/>
      <c r="DW209" s="222"/>
      <c r="DX209" s="222"/>
      <c r="DY209" s="222"/>
      <c r="DZ209" s="222"/>
      <c r="EA209" s="222"/>
      <c r="EB209" s="222"/>
      <c r="EC209" s="222"/>
      <c r="ED209" s="222"/>
      <c r="EE209" s="222"/>
      <c r="EF209" s="222"/>
      <c r="EG209" s="222"/>
      <c r="EH209" s="222"/>
    </row>
    <row r="210" spans="1:138" hidden="1">
      <c r="A210" s="222"/>
      <c r="B210" s="318"/>
      <c r="C210" s="310" t="s">
        <v>297</v>
      </c>
      <c r="D210" s="319"/>
      <c r="E210" s="311"/>
      <c r="F210" s="311"/>
      <c r="G210" s="311"/>
      <c r="H210" s="311"/>
      <c r="I210" s="311"/>
      <c r="J210" s="311"/>
      <c r="K210" s="311"/>
      <c r="L210" s="311"/>
      <c r="M210" s="311"/>
      <c r="N210" s="311"/>
      <c r="O210" s="311"/>
      <c r="P210" s="311"/>
      <c r="Q210" s="311"/>
      <c r="R210" s="311"/>
      <c r="S210" s="311"/>
      <c r="T210" s="311">
        <v>2750000</v>
      </c>
      <c r="U210" s="311"/>
      <c r="V210" s="311"/>
      <c r="W210" s="311"/>
      <c r="X210" s="311"/>
      <c r="Y210" s="311"/>
      <c r="Z210" s="311"/>
      <c r="AA210" s="311"/>
      <c r="AB210" s="311"/>
      <c r="AC210" s="311"/>
      <c r="AD210" s="311"/>
      <c r="AE210" s="311"/>
      <c r="AF210" s="311"/>
      <c r="AG210" s="311"/>
      <c r="AH210" s="311"/>
      <c r="AI210" s="311"/>
      <c r="AJ210" s="311"/>
      <c r="AK210" s="311"/>
      <c r="AL210" s="311"/>
      <c r="AM210" s="311"/>
      <c r="AN210" s="311"/>
      <c r="AO210" s="311"/>
      <c r="AP210" s="311"/>
      <c r="AQ210" s="311"/>
      <c r="AR210" s="311"/>
      <c r="AS210" s="311"/>
      <c r="AT210" s="311"/>
      <c r="AU210" s="311"/>
      <c r="AV210" s="311"/>
      <c r="AW210" s="311"/>
      <c r="AX210" s="311"/>
      <c r="AY210" s="311"/>
      <c r="AZ210" s="311"/>
      <c r="BA210" s="311"/>
      <c r="BB210" s="311"/>
      <c r="BC210" s="312"/>
      <c r="BD210" s="311"/>
      <c r="BE210" s="311"/>
      <c r="BF210" s="311"/>
      <c r="BG210" s="311"/>
      <c r="BH210" s="311"/>
      <c r="BI210" s="311"/>
      <c r="BJ210" s="311"/>
      <c r="BK210" s="311"/>
      <c r="BL210" s="311"/>
      <c r="BM210" s="311"/>
      <c r="BN210" s="311"/>
      <c r="BO210" s="311"/>
      <c r="BP210" s="311"/>
      <c r="BQ210" s="311"/>
      <c r="BR210" s="311"/>
      <c r="BS210" s="311"/>
      <c r="BT210" s="311"/>
      <c r="BU210" s="311"/>
      <c r="BV210" s="311"/>
      <c r="BW210" s="311"/>
      <c r="BX210" s="311">
        <f>IF(D105&gt;0.25,(BX100-BX108)*D211,BX100*D211)</f>
        <v>0</v>
      </c>
      <c r="BY210" s="307"/>
      <c r="BZ210" s="307"/>
      <c r="CA210" s="222"/>
      <c r="CB210" s="222"/>
      <c r="CC210" s="222"/>
      <c r="CD210" s="222"/>
      <c r="CE210" s="222"/>
      <c r="CF210" s="222"/>
      <c r="CG210" s="222"/>
      <c r="CH210" s="222"/>
      <c r="CI210" s="222"/>
      <c r="CJ210" s="222"/>
      <c r="CK210" s="222"/>
      <c r="CL210" s="222"/>
      <c r="CM210" s="222"/>
      <c r="CN210" s="222"/>
      <c r="CO210" s="222"/>
      <c r="CP210" s="222"/>
      <c r="CQ210" s="222"/>
      <c r="CR210" s="222"/>
      <c r="CS210" s="222"/>
      <c r="CT210" s="222"/>
      <c r="CU210" s="222"/>
      <c r="CV210" s="222"/>
      <c r="CW210" s="222"/>
      <c r="CX210" s="222"/>
      <c r="CY210" s="222"/>
      <c r="CZ210" s="222"/>
      <c r="DA210" s="222"/>
      <c r="DB210" s="222"/>
      <c r="DC210" s="222"/>
      <c r="DD210" s="222"/>
      <c r="DE210" s="222"/>
      <c r="DF210" s="222"/>
      <c r="DG210" s="222"/>
      <c r="DH210" s="222"/>
      <c r="DI210" s="222"/>
      <c r="DJ210" s="222"/>
      <c r="DK210" s="222"/>
      <c r="DL210" s="222"/>
      <c r="DM210" s="222"/>
      <c r="DN210" s="222"/>
      <c r="DO210" s="222"/>
      <c r="DP210" s="222"/>
      <c r="DQ210" s="222"/>
      <c r="DR210" s="222"/>
      <c r="DS210" s="222"/>
      <c r="DT210" s="222"/>
      <c r="DU210" s="222"/>
      <c r="DV210" s="222"/>
      <c r="DW210" s="222"/>
      <c r="DX210" s="222"/>
      <c r="DY210" s="222"/>
      <c r="DZ210" s="222"/>
      <c r="EA210" s="222"/>
      <c r="EB210" s="222"/>
      <c r="EC210" s="222"/>
      <c r="ED210" s="222"/>
      <c r="EE210" s="222"/>
      <c r="EF210" s="222"/>
      <c r="EG210" s="222"/>
      <c r="EH210" s="222"/>
    </row>
    <row r="211" spans="1:138" hidden="1">
      <c r="A211" s="222"/>
      <c r="B211" s="318"/>
      <c r="C211" s="313" t="s">
        <v>298</v>
      </c>
      <c r="D211" s="319">
        <v>0</v>
      </c>
      <c r="E211" s="311"/>
      <c r="F211" s="311"/>
      <c r="G211" s="311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311"/>
      <c r="V211" s="311"/>
      <c r="W211" s="311"/>
      <c r="X211" s="311"/>
      <c r="Y211" s="311"/>
      <c r="Z211" s="311"/>
      <c r="AA211" s="311"/>
      <c r="AB211" s="311"/>
      <c r="AC211" s="311"/>
      <c r="AD211" s="311"/>
      <c r="AE211" s="311"/>
      <c r="AF211" s="311"/>
      <c r="AG211" s="311"/>
      <c r="AH211" s="311"/>
      <c r="AI211" s="311"/>
      <c r="AJ211" s="311"/>
      <c r="AK211" s="311"/>
      <c r="AL211" s="311"/>
      <c r="AM211" s="311"/>
      <c r="AN211" s="311"/>
      <c r="AO211" s="311"/>
      <c r="AP211" s="311"/>
      <c r="AQ211" s="311"/>
      <c r="AR211" s="311"/>
      <c r="AS211" s="311"/>
      <c r="AT211" s="311"/>
      <c r="AU211" s="311"/>
      <c r="AV211" s="311"/>
      <c r="AW211" s="311"/>
      <c r="AX211" s="311"/>
      <c r="AY211" s="311"/>
      <c r="AZ211" s="311"/>
      <c r="BA211" s="311"/>
      <c r="BB211" s="311"/>
      <c r="BC211" s="312"/>
      <c r="BD211" s="311"/>
      <c r="BE211" s="311"/>
      <c r="BF211" s="311"/>
      <c r="BG211" s="311"/>
      <c r="BH211" s="311"/>
      <c r="BI211" s="311"/>
      <c r="BJ211" s="311"/>
      <c r="BK211" s="311"/>
      <c r="BL211" s="311"/>
      <c r="BM211" s="311"/>
      <c r="BN211" s="311"/>
      <c r="BO211" s="311"/>
      <c r="BP211" s="311"/>
      <c r="BQ211" s="311"/>
      <c r="BR211" s="311"/>
      <c r="BS211" s="311"/>
      <c r="BT211" s="311"/>
      <c r="BU211" s="311"/>
      <c r="BV211" s="311"/>
      <c r="BW211" s="311"/>
      <c r="BX211" s="311"/>
      <c r="BY211" s="307"/>
      <c r="BZ211" s="307"/>
      <c r="CA211" s="222"/>
      <c r="CB211" s="222"/>
      <c r="CC211" s="222"/>
      <c r="CD211" s="222"/>
      <c r="CE211" s="222"/>
      <c r="CF211" s="222"/>
      <c r="CG211" s="222"/>
      <c r="CH211" s="222"/>
      <c r="CI211" s="222"/>
      <c r="CJ211" s="222"/>
      <c r="CK211" s="222"/>
      <c r="CL211" s="222"/>
      <c r="CM211" s="222"/>
      <c r="CN211" s="222"/>
      <c r="CO211" s="222"/>
      <c r="CP211" s="222"/>
      <c r="CQ211" s="222"/>
      <c r="CR211" s="222"/>
      <c r="CS211" s="222"/>
      <c r="CT211" s="222"/>
      <c r="CU211" s="222"/>
      <c r="CV211" s="222"/>
      <c r="CW211" s="222"/>
      <c r="CX211" s="222"/>
      <c r="CY211" s="222"/>
      <c r="CZ211" s="222"/>
      <c r="DA211" s="222"/>
      <c r="DB211" s="222"/>
      <c r="DC211" s="222"/>
      <c r="DD211" s="222"/>
      <c r="DE211" s="222"/>
      <c r="DF211" s="222"/>
      <c r="DG211" s="222"/>
      <c r="DH211" s="222"/>
      <c r="DI211" s="222"/>
      <c r="DJ211" s="222"/>
      <c r="DK211" s="222"/>
      <c r="DL211" s="222"/>
      <c r="DM211" s="222"/>
      <c r="DN211" s="222"/>
      <c r="DO211" s="222"/>
      <c r="DP211" s="222"/>
      <c r="DQ211" s="222"/>
      <c r="DR211" s="222"/>
      <c r="DS211" s="222"/>
      <c r="DT211" s="222"/>
      <c r="DU211" s="222"/>
      <c r="DV211" s="222"/>
      <c r="DW211" s="222"/>
      <c r="DX211" s="222"/>
      <c r="DY211" s="222"/>
      <c r="DZ211" s="222"/>
      <c r="EA211" s="222"/>
      <c r="EB211" s="222"/>
      <c r="EC211" s="222"/>
      <c r="ED211" s="222"/>
      <c r="EE211" s="222"/>
      <c r="EF211" s="222"/>
      <c r="EG211" s="222"/>
      <c r="EH211" s="222"/>
    </row>
    <row r="212" spans="1:138" hidden="1">
      <c r="A212" s="222"/>
      <c r="B212" s="318"/>
      <c r="C212" s="310" t="s">
        <v>299</v>
      </c>
      <c r="D212" s="311"/>
      <c r="E212" s="321">
        <f t="shared" ref="E212:BX212" si="71">E207+E208+E209+E210+E211</f>
        <v>0</v>
      </c>
      <c r="F212" s="321">
        <f t="shared" si="71"/>
        <v>0</v>
      </c>
      <c r="G212" s="321">
        <f t="shared" si="71"/>
        <v>0</v>
      </c>
      <c r="H212" s="321">
        <f t="shared" si="71"/>
        <v>-5341205.5</v>
      </c>
      <c r="I212" s="321">
        <f t="shared" si="71"/>
        <v>0</v>
      </c>
      <c r="J212" s="321">
        <f t="shared" si="71"/>
        <v>0</v>
      </c>
      <c r="K212" s="321">
        <f t="shared" si="71"/>
        <v>0</v>
      </c>
      <c r="L212" s="321">
        <f t="shared" si="71"/>
        <v>0</v>
      </c>
      <c r="M212" s="321">
        <f t="shared" si="71"/>
        <v>0</v>
      </c>
      <c r="N212" s="321">
        <f t="shared" si="71"/>
        <v>0</v>
      </c>
      <c r="O212" s="321">
        <f t="shared" si="71"/>
        <v>0</v>
      </c>
      <c r="P212" s="321">
        <f t="shared" si="71"/>
        <v>0</v>
      </c>
      <c r="Q212" s="321">
        <f t="shared" si="71"/>
        <v>0</v>
      </c>
      <c r="R212" s="321">
        <f t="shared" si="71"/>
        <v>0</v>
      </c>
      <c r="S212" s="321">
        <f t="shared" si="71"/>
        <v>0</v>
      </c>
      <c r="T212" s="321">
        <f t="shared" si="71"/>
        <v>8091205.5</v>
      </c>
      <c r="U212" s="321">
        <f t="shared" si="71"/>
        <v>0</v>
      </c>
      <c r="V212" s="321">
        <f t="shared" si="71"/>
        <v>0</v>
      </c>
      <c r="W212" s="321">
        <f t="shared" si="71"/>
        <v>0</v>
      </c>
      <c r="X212" s="321">
        <f t="shared" si="71"/>
        <v>0</v>
      </c>
      <c r="Y212" s="321">
        <f t="shared" si="71"/>
        <v>0</v>
      </c>
      <c r="Z212" s="321">
        <f t="shared" si="71"/>
        <v>0</v>
      </c>
      <c r="AA212" s="321">
        <f t="shared" si="71"/>
        <v>0</v>
      </c>
      <c r="AB212" s="321">
        <f t="shared" si="71"/>
        <v>0</v>
      </c>
      <c r="AC212" s="321">
        <f t="shared" si="71"/>
        <v>0</v>
      </c>
      <c r="AD212" s="321">
        <f t="shared" si="71"/>
        <v>0</v>
      </c>
      <c r="AE212" s="321">
        <f t="shared" si="71"/>
        <v>0</v>
      </c>
      <c r="AF212" s="321">
        <f t="shared" si="71"/>
        <v>0</v>
      </c>
      <c r="AG212" s="321">
        <f t="shared" si="71"/>
        <v>0</v>
      </c>
      <c r="AH212" s="321">
        <f t="shared" si="71"/>
        <v>0</v>
      </c>
      <c r="AI212" s="321">
        <f t="shared" si="71"/>
        <v>0</v>
      </c>
      <c r="AJ212" s="321">
        <f t="shared" si="71"/>
        <v>0</v>
      </c>
      <c r="AK212" s="321">
        <f t="shared" si="71"/>
        <v>0</v>
      </c>
      <c r="AL212" s="321">
        <f t="shared" si="71"/>
        <v>0</v>
      </c>
      <c r="AM212" s="321">
        <f t="shared" si="71"/>
        <v>0</v>
      </c>
      <c r="AN212" s="321">
        <f t="shared" si="71"/>
        <v>0</v>
      </c>
      <c r="AO212" s="321">
        <f t="shared" si="71"/>
        <v>0</v>
      </c>
      <c r="AP212" s="321">
        <f t="shared" si="71"/>
        <v>0</v>
      </c>
      <c r="AQ212" s="321">
        <f t="shared" si="71"/>
        <v>0</v>
      </c>
      <c r="AR212" s="321">
        <f t="shared" si="71"/>
        <v>0</v>
      </c>
      <c r="AS212" s="321">
        <f t="shared" si="71"/>
        <v>0</v>
      </c>
      <c r="AT212" s="321">
        <f t="shared" si="71"/>
        <v>0</v>
      </c>
      <c r="AU212" s="321">
        <f t="shared" si="71"/>
        <v>0</v>
      </c>
      <c r="AV212" s="321">
        <f t="shared" si="71"/>
        <v>0</v>
      </c>
      <c r="AW212" s="321">
        <f t="shared" si="71"/>
        <v>0</v>
      </c>
      <c r="AX212" s="321">
        <f t="shared" si="71"/>
        <v>0</v>
      </c>
      <c r="AY212" s="321">
        <f t="shared" si="71"/>
        <v>0</v>
      </c>
      <c r="AZ212" s="321">
        <f t="shared" si="71"/>
        <v>0</v>
      </c>
      <c r="BA212" s="321">
        <f t="shared" si="71"/>
        <v>0</v>
      </c>
      <c r="BB212" s="321">
        <f t="shared" si="71"/>
        <v>0</v>
      </c>
      <c r="BC212" s="321">
        <f t="shared" si="71"/>
        <v>0</v>
      </c>
      <c r="BD212" s="321">
        <f t="shared" si="71"/>
        <v>0</v>
      </c>
      <c r="BE212" s="321">
        <f t="shared" si="71"/>
        <v>0</v>
      </c>
      <c r="BF212" s="321">
        <f t="shared" si="71"/>
        <v>0</v>
      </c>
      <c r="BG212" s="321">
        <f t="shared" si="71"/>
        <v>0</v>
      </c>
      <c r="BH212" s="321">
        <f t="shared" si="71"/>
        <v>0</v>
      </c>
      <c r="BI212" s="321">
        <f t="shared" si="71"/>
        <v>0</v>
      </c>
      <c r="BJ212" s="321">
        <f t="shared" si="71"/>
        <v>0</v>
      </c>
      <c r="BK212" s="321">
        <f t="shared" si="71"/>
        <v>0</v>
      </c>
      <c r="BL212" s="321">
        <f t="shared" si="71"/>
        <v>0</v>
      </c>
      <c r="BM212" s="321">
        <f t="shared" si="71"/>
        <v>0</v>
      </c>
      <c r="BN212" s="321">
        <f t="shared" si="71"/>
        <v>0</v>
      </c>
      <c r="BO212" s="321">
        <f t="shared" si="71"/>
        <v>0</v>
      </c>
      <c r="BP212" s="321">
        <f t="shared" si="71"/>
        <v>0</v>
      </c>
      <c r="BQ212" s="321">
        <f t="shared" si="71"/>
        <v>0</v>
      </c>
      <c r="BR212" s="321">
        <f t="shared" si="71"/>
        <v>0</v>
      </c>
      <c r="BS212" s="321">
        <f t="shared" si="71"/>
        <v>0</v>
      </c>
      <c r="BT212" s="321">
        <f t="shared" si="71"/>
        <v>0</v>
      </c>
      <c r="BU212" s="321">
        <f t="shared" si="71"/>
        <v>0</v>
      </c>
      <c r="BV212" s="321">
        <f t="shared" si="71"/>
        <v>0</v>
      </c>
      <c r="BW212" s="321">
        <f t="shared" si="71"/>
        <v>0</v>
      </c>
      <c r="BX212" s="321">
        <f t="shared" si="71"/>
        <v>0</v>
      </c>
      <c r="BY212" s="222"/>
      <c r="BZ212" s="222"/>
      <c r="CA212" s="222"/>
      <c r="CB212" s="222"/>
      <c r="CC212" s="222"/>
      <c r="CD212" s="222"/>
      <c r="CE212" s="222"/>
      <c r="CF212" s="222"/>
      <c r="CG212" s="222"/>
      <c r="CH212" s="222"/>
      <c r="CI212" s="222"/>
      <c r="CJ212" s="222"/>
      <c r="CK212" s="222"/>
      <c r="CL212" s="222"/>
      <c r="CM212" s="222"/>
      <c r="CN212" s="222"/>
      <c r="CO212" s="222"/>
      <c r="CP212" s="222"/>
      <c r="CQ212" s="222"/>
      <c r="CR212" s="222"/>
      <c r="CS212" s="222"/>
      <c r="CT212" s="222"/>
      <c r="CU212" s="222"/>
      <c r="CV212" s="222"/>
      <c r="CW212" s="222"/>
      <c r="CX212" s="222"/>
      <c r="CY212" s="222"/>
      <c r="CZ212" s="222"/>
      <c r="DA212" s="222"/>
      <c r="DB212" s="222"/>
      <c r="DC212" s="222"/>
      <c r="DD212" s="222"/>
      <c r="DE212" s="222"/>
      <c r="DF212" s="222"/>
      <c r="DG212" s="222"/>
      <c r="DH212" s="222"/>
      <c r="DI212" s="222"/>
      <c r="DJ212" s="222"/>
      <c r="DK212" s="222"/>
      <c r="DL212" s="222"/>
      <c r="DM212" s="222"/>
      <c r="DN212" s="222"/>
      <c r="DO212" s="222"/>
      <c r="DP212" s="222"/>
      <c r="DQ212" s="222"/>
      <c r="DR212" s="222"/>
      <c r="DS212" s="222"/>
      <c r="DT212" s="222"/>
      <c r="DU212" s="222"/>
      <c r="DV212" s="222"/>
      <c r="DW212" s="222"/>
      <c r="DX212" s="222"/>
      <c r="DY212" s="222"/>
      <c r="DZ212" s="222"/>
      <c r="EA212" s="222"/>
      <c r="EB212" s="222"/>
      <c r="EC212" s="222"/>
      <c r="ED212" s="222"/>
      <c r="EE212" s="222"/>
      <c r="EF212" s="222"/>
      <c r="EG212" s="222"/>
      <c r="EH212" s="222"/>
    </row>
    <row r="213" spans="1:138" hidden="1">
      <c r="A213" s="222"/>
      <c r="B213" s="318"/>
      <c r="C213" s="314"/>
      <c r="D213" s="322" t="s">
        <v>306</v>
      </c>
      <c r="E213" s="327">
        <f>E212</f>
        <v>0</v>
      </c>
      <c r="F213" s="327">
        <f t="shared" ref="F213:BX213" si="72">E213+F212</f>
        <v>0</v>
      </c>
      <c r="G213" s="327">
        <f t="shared" si="72"/>
        <v>0</v>
      </c>
      <c r="H213" s="327">
        <f t="shared" si="72"/>
        <v>-5341205.5</v>
      </c>
      <c r="I213" s="327">
        <f t="shared" si="72"/>
        <v>-5341205.5</v>
      </c>
      <c r="J213" s="327">
        <f t="shared" si="72"/>
        <v>-5341205.5</v>
      </c>
      <c r="K213" s="327">
        <f t="shared" si="72"/>
        <v>-5341205.5</v>
      </c>
      <c r="L213" s="327">
        <f t="shared" si="72"/>
        <v>-5341205.5</v>
      </c>
      <c r="M213" s="327">
        <f t="shared" si="72"/>
        <v>-5341205.5</v>
      </c>
      <c r="N213" s="327">
        <f t="shared" si="72"/>
        <v>-5341205.5</v>
      </c>
      <c r="O213" s="327">
        <f t="shared" si="72"/>
        <v>-5341205.5</v>
      </c>
      <c r="P213" s="327">
        <f t="shared" si="72"/>
        <v>-5341205.5</v>
      </c>
      <c r="Q213" s="327">
        <f t="shared" si="72"/>
        <v>-5341205.5</v>
      </c>
      <c r="R213" s="327">
        <f t="shared" si="72"/>
        <v>-5341205.5</v>
      </c>
      <c r="S213" s="327">
        <f t="shared" si="72"/>
        <v>-5341205.5</v>
      </c>
      <c r="T213" s="327">
        <f t="shared" si="72"/>
        <v>2750000</v>
      </c>
      <c r="U213" s="327">
        <f t="shared" si="72"/>
        <v>2750000</v>
      </c>
      <c r="V213" s="328">
        <f t="shared" si="72"/>
        <v>2750000</v>
      </c>
      <c r="W213" s="328">
        <f t="shared" si="72"/>
        <v>2750000</v>
      </c>
      <c r="X213" s="328">
        <f t="shared" si="72"/>
        <v>2750000</v>
      </c>
      <c r="Y213" s="328">
        <f t="shared" si="72"/>
        <v>2750000</v>
      </c>
      <c r="Z213" s="328">
        <f t="shared" si="72"/>
        <v>2750000</v>
      </c>
      <c r="AA213" s="328">
        <f t="shared" si="72"/>
        <v>2750000</v>
      </c>
      <c r="AB213" s="328">
        <f t="shared" si="72"/>
        <v>2750000</v>
      </c>
      <c r="AC213" s="328">
        <f t="shared" si="72"/>
        <v>2750000</v>
      </c>
      <c r="AD213" s="328">
        <f t="shared" si="72"/>
        <v>2750000</v>
      </c>
      <c r="AE213" s="328">
        <f t="shared" si="72"/>
        <v>2750000</v>
      </c>
      <c r="AF213" s="328">
        <f t="shared" si="72"/>
        <v>2750000</v>
      </c>
      <c r="AG213" s="328">
        <f t="shared" si="72"/>
        <v>2750000</v>
      </c>
      <c r="AH213" s="328">
        <f t="shared" si="72"/>
        <v>2750000</v>
      </c>
      <c r="AI213" s="328">
        <f t="shared" si="72"/>
        <v>2750000</v>
      </c>
      <c r="AJ213" s="328">
        <f t="shared" si="72"/>
        <v>2750000</v>
      </c>
      <c r="AK213" s="328">
        <f t="shared" si="72"/>
        <v>2750000</v>
      </c>
      <c r="AL213" s="328">
        <f t="shared" si="72"/>
        <v>2750000</v>
      </c>
      <c r="AM213" s="328">
        <f t="shared" si="72"/>
        <v>2750000</v>
      </c>
      <c r="AN213" s="328">
        <f t="shared" si="72"/>
        <v>2750000</v>
      </c>
      <c r="AO213" s="328">
        <f t="shared" si="72"/>
        <v>2750000</v>
      </c>
      <c r="AP213" s="328">
        <f t="shared" si="72"/>
        <v>2750000</v>
      </c>
      <c r="AQ213" s="328">
        <f t="shared" si="72"/>
        <v>2750000</v>
      </c>
      <c r="AR213" s="328">
        <f t="shared" si="72"/>
        <v>2750000</v>
      </c>
      <c r="AS213" s="328">
        <f t="shared" si="72"/>
        <v>2750000</v>
      </c>
      <c r="AT213" s="328">
        <f t="shared" si="72"/>
        <v>2750000</v>
      </c>
      <c r="AU213" s="328">
        <f t="shared" si="72"/>
        <v>2750000</v>
      </c>
      <c r="AV213" s="328">
        <f t="shared" si="72"/>
        <v>2750000</v>
      </c>
      <c r="AW213" s="328">
        <f t="shared" si="72"/>
        <v>2750000</v>
      </c>
      <c r="AX213" s="328">
        <f t="shared" si="72"/>
        <v>2750000</v>
      </c>
      <c r="AY213" s="328">
        <f t="shared" si="72"/>
        <v>2750000</v>
      </c>
      <c r="AZ213" s="328">
        <f t="shared" si="72"/>
        <v>2750000</v>
      </c>
      <c r="BA213" s="328">
        <f t="shared" si="72"/>
        <v>2750000</v>
      </c>
      <c r="BB213" s="328">
        <f t="shared" si="72"/>
        <v>2750000</v>
      </c>
      <c r="BC213" s="327">
        <f t="shared" si="72"/>
        <v>2750000</v>
      </c>
      <c r="BD213" s="327">
        <f t="shared" si="72"/>
        <v>2750000</v>
      </c>
      <c r="BE213" s="327">
        <f t="shared" si="72"/>
        <v>2750000</v>
      </c>
      <c r="BF213" s="327">
        <f t="shared" si="72"/>
        <v>2750000</v>
      </c>
      <c r="BG213" s="327">
        <f t="shared" si="72"/>
        <v>2750000</v>
      </c>
      <c r="BH213" s="327">
        <f t="shared" si="72"/>
        <v>2750000</v>
      </c>
      <c r="BI213" s="327">
        <f t="shared" si="72"/>
        <v>2750000</v>
      </c>
      <c r="BJ213" s="327">
        <f t="shared" si="72"/>
        <v>2750000</v>
      </c>
      <c r="BK213" s="327">
        <f t="shared" si="72"/>
        <v>2750000</v>
      </c>
      <c r="BL213" s="327">
        <f t="shared" si="72"/>
        <v>2750000</v>
      </c>
      <c r="BM213" s="327">
        <f t="shared" si="72"/>
        <v>2750000</v>
      </c>
      <c r="BN213" s="327">
        <f t="shared" si="72"/>
        <v>2750000</v>
      </c>
      <c r="BO213" s="327">
        <f t="shared" si="72"/>
        <v>2750000</v>
      </c>
      <c r="BP213" s="327">
        <f t="shared" si="72"/>
        <v>2750000</v>
      </c>
      <c r="BQ213" s="327">
        <f t="shared" si="72"/>
        <v>2750000</v>
      </c>
      <c r="BR213" s="327">
        <f t="shared" si="72"/>
        <v>2750000</v>
      </c>
      <c r="BS213" s="327">
        <f t="shared" si="72"/>
        <v>2750000</v>
      </c>
      <c r="BT213" s="327">
        <f t="shared" si="72"/>
        <v>2750000</v>
      </c>
      <c r="BU213" s="327">
        <f t="shared" si="72"/>
        <v>2750000</v>
      </c>
      <c r="BV213" s="327">
        <f t="shared" si="72"/>
        <v>2750000</v>
      </c>
      <c r="BW213" s="327">
        <f t="shared" si="72"/>
        <v>2750000</v>
      </c>
      <c r="BX213" s="327">
        <f t="shared" si="72"/>
        <v>2750000</v>
      </c>
      <c r="BY213" s="222"/>
      <c r="BZ213" s="222"/>
      <c r="CA213" s="222"/>
      <c r="CB213" s="222"/>
      <c r="CC213" s="222"/>
      <c r="CD213" s="222"/>
      <c r="CE213" s="222"/>
      <c r="CF213" s="222"/>
      <c r="CG213" s="222"/>
      <c r="CH213" s="222"/>
      <c r="CI213" s="222"/>
      <c r="CJ213" s="222"/>
      <c r="CK213" s="222"/>
      <c r="CL213" s="222"/>
      <c r="CM213" s="222"/>
      <c r="CN213" s="222"/>
      <c r="CO213" s="222"/>
      <c r="CP213" s="222"/>
      <c r="CQ213" s="222"/>
      <c r="CR213" s="222"/>
      <c r="CS213" s="222"/>
      <c r="CT213" s="222"/>
      <c r="CU213" s="222"/>
      <c r="CV213" s="222"/>
      <c r="CW213" s="222"/>
      <c r="CX213" s="222"/>
      <c r="CY213" s="222"/>
      <c r="CZ213" s="222"/>
      <c r="DA213" s="222"/>
      <c r="DB213" s="222"/>
      <c r="DC213" s="222"/>
      <c r="DD213" s="222"/>
      <c r="DE213" s="222"/>
      <c r="DF213" s="222"/>
      <c r="DG213" s="222"/>
      <c r="DH213" s="222"/>
      <c r="DI213" s="222"/>
      <c r="DJ213" s="222"/>
      <c r="DK213" s="222"/>
      <c r="DL213" s="222"/>
      <c r="DM213" s="222"/>
      <c r="DN213" s="222"/>
      <c r="DO213" s="222"/>
      <c r="DP213" s="222"/>
      <c r="DQ213" s="222"/>
      <c r="DR213" s="222"/>
      <c r="DS213" s="222"/>
      <c r="DT213" s="222"/>
      <c r="DU213" s="222"/>
      <c r="DV213" s="222"/>
      <c r="DW213" s="222"/>
      <c r="DX213" s="222"/>
      <c r="DY213" s="222"/>
      <c r="DZ213" s="222"/>
      <c r="EA213" s="222"/>
      <c r="EB213" s="222"/>
      <c r="EC213" s="222"/>
      <c r="ED213" s="222"/>
      <c r="EE213" s="222"/>
      <c r="EF213" s="222"/>
      <c r="EG213" s="222"/>
      <c r="EH213" s="222"/>
    </row>
    <row r="214" spans="1:138" hidden="1">
      <c r="A214" s="222"/>
      <c r="B214" s="318"/>
      <c r="C214" s="313" t="s">
        <v>292</v>
      </c>
      <c r="D214" s="322">
        <f>IRR(E212:BX212)*12</f>
        <v>0.42259732866030397</v>
      </c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2"/>
      <c r="BN214" s="222"/>
      <c r="BO214" s="222"/>
      <c r="BP214" s="222"/>
      <c r="BQ214" s="222"/>
      <c r="BR214" s="222"/>
      <c r="BS214" s="222"/>
      <c r="BT214" s="222"/>
      <c r="BU214" s="222"/>
      <c r="BV214" s="222"/>
      <c r="BW214" s="222"/>
      <c r="BX214" s="222"/>
      <c r="BY214" s="222"/>
      <c r="BZ214" s="222"/>
      <c r="CA214" s="222"/>
      <c r="CB214" s="222"/>
      <c r="CC214" s="222"/>
      <c r="CD214" s="222"/>
      <c r="CE214" s="222"/>
      <c r="CF214" s="222"/>
      <c r="CG214" s="222"/>
      <c r="CH214" s="222"/>
      <c r="CI214" s="222"/>
      <c r="CJ214" s="222"/>
      <c r="CK214" s="222"/>
      <c r="CL214" s="222"/>
      <c r="CM214" s="222"/>
      <c r="CN214" s="222"/>
      <c r="CO214" s="222"/>
      <c r="CP214" s="222"/>
      <c r="CQ214" s="222"/>
      <c r="CR214" s="222"/>
      <c r="CS214" s="222"/>
      <c r="CT214" s="222"/>
      <c r="CU214" s="222"/>
      <c r="CV214" s="222"/>
      <c r="CW214" s="222"/>
      <c r="CX214" s="222"/>
      <c r="CY214" s="222"/>
      <c r="CZ214" s="222"/>
      <c r="DA214" s="222"/>
      <c r="DB214" s="222"/>
      <c r="DC214" s="222"/>
      <c r="DD214" s="222"/>
      <c r="DE214" s="222"/>
      <c r="DF214" s="222"/>
      <c r="DG214" s="222"/>
      <c r="DH214" s="222"/>
      <c r="DI214" s="222"/>
      <c r="DJ214" s="222"/>
      <c r="DK214" s="222"/>
      <c r="DL214" s="222"/>
      <c r="DM214" s="222"/>
      <c r="DN214" s="222"/>
      <c r="DO214" s="222"/>
      <c r="DP214" s="222"/>
      <c r="DQ214" s="222"/>
      <c r="DR214" s="222"/>
      <c r="DS214" s="222"/>
      <c r="DT214" s="222"/>
      <c r="DU214" s="222"/>
      <c r="DV214" s="222"/>
      <c r="DW214" s="222"/>
      <c r="DX214" s="222"/>
      <c r="DY214" s="222"/>
      <c r="DZ214" s="222"/>
      <c r="EA214" s="222"/>
      <c r="EB214" s="222"/>
      <c r="EC214" s="222"/>
      <c r="ED214" s="222"/>
      <c r="EE214" s="222"/>
      <c r="EF214" s="222"/>
      <c r="EG214" s="222"/>
      <c r="EH214" s="222"/>
    </row>
    <row r="215" spans="1:138" hidden="1">
      <c r="A215" s="222"/>
      <c r="B215" s="318"/>
      <c r="C215" s="323" t="s">
        <v>300</v>
      </c>
      <c r="D215" s="324">
        <f>-MIN(M213:BL213)-D216</f>
        <v>5341205.5</v>
      </c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  <c r="AA215" s="222"/>
      <c r="AB215" s="222"/>
      <c r="AC215" s="222"/>
      <c r="AD215" s="222"/>
      <c r="AE215" s="222"/>
      <c r="AF215" s="222"/>
      <c r="AG215" s="222"/>
      <c r="AH215" s="222"/>
      <c r="AI215" s="222"/>
      <c r="AJ215" s="222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  <c r="BL215" s="222"/>
      <c r="BM215" s="222"/>
      <c r="BN215" s="222"/>
      <c r="BO215" s="222"/>
      <c r="BP215" s="222"/>
      <c r="BQ215" s="222"/>
      <c r="BR215" s="222"/>
      <c r="BS215" s="222"/>
      <c r="BT215" s="222"/>
      <c r="BU215" s="222"/>
      <c r="BV215" s="222"/>
      <c r="BW215" s="222"/>
      <c r="BX215" s="222"/>
      <c r="BY215" s="222"/>
      <c r="BZ215" s="222"/>
      <c r="CA215" s="222"/>
      <c r="CB215" s="222"/>
      <c r="CC215" s="222"/>
      <c r="CD215" s="222"/>
      <c r="CE215" s="222"/>
      <c r="CF215" s="222"/>
      <c r="CG215" s="222"/>
      <c r="CH215" s="222"/>
      <c r="CI215" s="222"/>
      <c r="CJ215" s="222"/>
      <c r="CK215" s="222"/>
      <c r="CL215" s="222"/>
      <c r="CM215" s="222"/>
      <c r="CN215" s="222"/>
      <c r="CO215" s="222"/>
      <c r="CP215" s="222"/>
      <c r="CQ215" s="222"/>
      <c r="CR215" s="222"/>
      <c r="CS215" s="222"/>
      <c r="CT215" s="222"/>
      <c r="CU215" s="222"/>
      <c r="CV215" s="222"/>
      <c r="CW215" s="222"/>
      <c r="CX215" s="222"/>
      <c r="CY215" s="222"/>
      <c r="CZ215" s="222"/>
      <c r="DA215" s="222"/>
      <c r="DB215" s="222"/>
      <c r="DC215" s="222"/>
      <c r="DD215" s="222"/>
      <c r="DE215" s="222"/>
      <c r="DF215" s="222"/>
      <c r="DG215" s="222"/>
      <c r="DH215" s="222"/>
      <c r="DI215" s="222"/>
      <c r="DJ215" s="222"/>
      <c r="DK215" s="222"/>
      <c r="DL215" s="222"/>
      <c r="DM215" s="222"/>
      <c r="DN215" s="222"/>
      <c r="DO215" s="222"/>
      <c r="DP215" s="222"/>
      <c r="DQ215" s="222"/>
      <c r="DR215" s="222"/>
      <c r="DS215" s="222"/>
      <c r="DT215" s="222"/>
      <c r="DU215" s="222"/>
      <c r="DV215" s="222"/>
      <c r="DW215" s="222"/>
      <c r="DX215" s="222"/>
      <c r="DY215" s="222"/>
      <c r="DZ215" s="222"/>
      <c r="EA215" s="222"/>
      <c r="EB215" s="222"/>
      <c r="EC215" s="222"/>
      <c r="ED215" s="222"/>
      <c r="EE215" s="222"/>
      <c r="EF215" s="222"/>
      <c r="EG215" s="222"/>
      <c r="EH215" s="222"/>
    </row>
    <row r="216" spans="1:138" hidden="1">
      <c r="A216" s="222"/>
      <c r="B216" s="318"/>
      <c r="C216" s="323" t="s">
        <v>301</v>
      </c>
      <c r="D216" s="324">
        <f>-SUM(M211:BB211)</f>
        <v>0</v>
      </c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  <c r="AA216" s="222"/>
      <c r="AB216" s="222"/>
      <c r="AC216" s="222"/>
      <c r="AD216" s="222"/>
      <c r="AE216" s="222"/>
      <c r="AF216" s="222"/>
      <c r="AG216" s="222"/>
      <c r="AH216" s="222"/>
      <c r="AI216" s="222"/>
      <c r="AJ216" s="222"/>
      <c r="AK216" s="222"/>
      <c r="AL216" s="222"/>
      <c r="AM216" s="222"/>
      <c r="AN216" s="222"/>
      <c r="AO216" s="222"/>
      <c r="AP216" s="222"/>
      <c r="AQ216" s="222"/>
      <c r="AR216" s="222"/>
      <c r="AS216" s="222"/>
      <c r="AT216" s="222"/>
      <c r="AU216" s="222"/>
      <c r="AV216" s="222"/>
      <c r="AW216" s="222"/>
      <c r="AX216" s="222"/>
      <c r="AY216" s="222"/>
      <c r="AZ216" s="222"/>
      <c r="BA216" s="222"/>
      <c r="BB216" s="222"/>
      <c r="BC216" s="222"/>
      <c r="BD216" s="222"/>
      <c r="BE216" s="222"/>
      <c r="BF216" s="222"/>
      <c r="BG216" s="222"/>
      <c r="BH216" s="222"/>
      <c r="BI216" s="222"/>
      <c r="BJ216" s="222"/>
      <c r="BK216" s="222"/>
      <c r="BL216" s="222"/>
      <c r="BM216" s="222"/>
      <c r="BN216" s="222"/>
      <c r="BO216" s="222"/>
      <c r="BP216" s="222"/>
      <c r="BQ216" s="222"/>
      <c r="BR216" s="222"/>
      <c r="BS216" s="222"/>
      <c r="BT216" s="222"/>
      <c r="BU216" s="222"/>
      <c r="BV216" s="222"/>
      <c r="BW216" s="222"/>
      <c r="BX216" s="222"/>
      <c r="BY216" s="222"/>
      <c r="BZ216" s="222"/>
      <c r="CA216" s="222"/>
      <c r="CB216" s="222"/>
      <c r="CC216" s="222"/>
      <c r="CD216" s="222"/>
      <c r="CE216" s="222"/>
      <c r="CF216" s="222"/>
      <c r="CG216" s="222"/>
      <c r="CH216" s="222"/>
      <c r="CI216" s="222"/>
      <c r="CJ216" s="222"/>
      <c r="CK216" s="222"/>
      <c r="CL216" s="222"/>
      <c r="CM216" s="222"/>
      <c r="CN216" s="222"/>
      <c r="CO216" s="222"/>
      <c r="CP216" s="222"/>
      <c r="CQ216" s="222"/>
      <c r="CR216" s="222"/>
      <c r="CS216" s="222"/>
      <c r="CT216" s="222"/>
      <c r="CU216" s="222"/>
      <c r="CV216" s="222"/>
      <c r="CW216" s="222"/>
      <c r="CX216" s="222"/>
      <c r="CY216" s="222"/>
      <c r="CZ216" s="222"/>
      <c r="DA216" s="222"/>
      <c r="DB216" s="222"/>
      <c r="DC216" s="222"/>
      <c r="DD216" s="222"/>
      <c r="DE216" s="222"/>
      <c r="DF216" s="222"/>
      <c r="DG216" s="222"/>
      <c r="DH216" s="222"/>
      <c r="DI216" s="222"/>
      <c r="DJ216" s="222"/>
      <c r="DK216" s="222"/>
      <c r="DL216" s="222"/>
      <c r="DM216" s="222"/>
      <c r="DN216" s="222"/>
      <c r="DO216" s="222"/>
      <c r="DP216" s="222"/>
      <c r="DQ216" s="222"/>
      <c r="DR216" s="222"/>
      <c r="DS216" s="222"/>
      <c r="DT216" s="222"/>
      <c r="DU216" s="222"/>
      <c r="DV216" s="222"/>
      <c r="DW216" s="222"/>
      <c r="DX216" s="222"/>
      <c r="DY216" s="222"/>
      <c r="DZ216" s="222"/>
      <c r="EA216" s="222"/>
      <c r="EB216" s="222"/>
      <c r="EC216" s="222"/>
      <c r="ED216" s="222"/>
      <c r="EE216" s="222"/>
      <c r="EF216" s="222"/>
      <c r="EG216" s="222"/>
      <c r="EH216" s="222"/>
    </row>
    <row r="217" spans="1:138" hidden="1">
      <c r="A217" s="222"/>
      <c r="B217" s="318"/>
      <c r="C217" s="313" t="s">
        <v>302</v>
      </c>
      <c r="D217" s="326">
        <f>D216+D215</f>
        <v>5341205.5</v>
      </c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  <c r="AA217" s="222"/>
      <c r="AB217" s="222"/>
      <c r="AC217" s="222"/>
      <c r="AD217" s="222"/>
      <c r="AE217" s="222"/>
      <c r="AF217" s="222"/>
      <c r="AG217" s="222"/>
      <c r="AH217" s="222"/>
      <c r="AI217" s="222"/>
      <c r="AJ217" s="222"/>
      <c r="AK217" s="222"/>
      <c r="AL217" s="222"/>
      <c r="AM217" s="222"/>
      <c r="AN217" s="222"/>
      <c r="AO217" s="222"/>
      <c r="AP217" s="222"/>
      <c r="AQ217" s="222"/>
      <c r="AR217" s="222"/>
      <c r="AS217" s="222"/>
      <c r="AT217" s="222"/>
      <c r="AU217" s="222"/>
      <c r="AV217" s="222"/>
      <c r="AW217" s="222"/>
      <c r="AX217" s="222"/>
      <c r="AY217" s="222"/>
      <c r="AZ217" s="222"/>
      <c r="BA217" s="222"/>
      <c r="BB217" s="222"/>
      <c r="BC217" s="222"/>
      <c r="BD217" s="222"/>
      <c r="BE217" s="222"/>
      <c r="BF217" s="222"/>
      <c r="BG217" s="222"/>
      <c r="BH217" s="222"/>
      <c r="BI217" s="222"/>
      <c r="BJ217" s="222"/>
      <c r="BK217" s="222"/>
      <c r="BL217" s="222"/>
      <c r="BM217" s="222"/>
      <c r="BN217" s="222"/>
      <c r="BO217" s="222"/>
      <c r="BP217" s="222"/>
      <c r="BQ217" s="222"/>
      <c r="BR217" s="222"/>
      <c r="BS217" s="222"/>
      <c r="BT217" s="222"/>
      <c r="BU217" s="222"/>
      <c r="BV217" s="222"/>
      <c r="BW217" s="222"/>
      <c r="BX217" s="222"/>
      <c r="BY217" s="222"/>
      <c r="BZ217" s="222"/>
      <c r="CA217" s="222"/>
      <c r="CB217" s="222"/>
      <c r="CC217" s="222"/>
      <c r="CD217" s="222"/>
      <c r="CE217" s="222"/>
      <c r="CF217" s="222"/>
      <c r="CG217" s="222"/>
      <c r="CH217" s="222"/>
      <c r="CI217" s="222"/>
      <c r="CJ217" s="222"/>
      <c r="CK217" s="222"/>
      <c r="CL217" s="222"/>
      <c r="CM217" s="222"/>
      <c r="CN217" s="222"/>
      <c r="CO217" s="222"/>
      <c r="CP217" s="222"/>
      <c r="CQ217" s="222"/>
      <c r="CR217" s="222"/>
      <c r="CS217" s="222"/>
      <c r="CT217" s="222"/>
      <c r="CU217" s="222"/>
      <c r="CV217" s="222"/>
      <c r="CW217" s="222"/>
      <c r="CX217" s="222"/>
      <c r="CY217" s="222"/>
      <c r="CZ217" s="222"/>
      <c r="DA217" s="222"/>
      <c r="DB217" s="222"/>
      <c r="DC217" s="222"/>
      <c r="DD217" s="222"/>
      <c r="DE217" s="222"/>
      <c r="DF217" s="222"/>
      <c r="DG217" s="222"/>
      <c r="DH217" s="222"/>
      <c r="DI217" s="222"/>
      <c r="DJ217" s="222"/>
      <c r="DK217" s="222"/>
      <c r="DL217" s="222"/>
      <c r="DM217" s="222"/>
      <c r="DN217" s="222"/>
      <c r="DO217" s="222"/>
      <c r="DP217" s="222"/>
      <c r="DQ217" s="222"/>
      <c r="DR217" s="222"/>
      <c r="DS217" s="222"/>
      <c r="DT217" s="222"/>
      <c r="DU217" s="222"/>
      <c r="DV217" s="222"/>
      <c r="DW217" s="325"/>
      <c r="DX217" s="325"/>
      <c r="DY217" s="325"/>
      <c r="DZ217" s="325"/>
      <c r="EA217" s="325"/>
      <c r="EB217" s="325"/>
      <c r="EC217" s="325"/>
      <c r="ED217" s="325"/>
      <c r="EE217" s="325"/>
      <c r="EF217" s="325"/>
      <c r="EG217" s="325"/>
      <c r="EH217" s="325"/>
    </row>
    <row r="218" spans="1:138" hidden="1">
      <c r="A218" s="222"/>
      <c r="B218" s="318"/>
      <c r="C218" s="313" t="s">
        <v>303</v>
      </c>
      <c r="D218" s="326">
        <f>BX209+BX210</f>
        <v>0</v>
      </c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  <c r="AA218" s="222"/>
      <c r="AB218" s="222"/>
      <c r="AC218" s="222"/>
      <c r="AD218" s="222"/>
      <c r="AE218" s="222"/>
      <c r="AF218" s="222"/>
      <c r="AG218" s="222"/>
      <c r="AH218" s="222"/>
      <c r="AI218" s="222"/>
      <c r="AJ218" s="222"/>
      <c r="AK218" s="222"/>
      <c r="AL218" s="222"/>
      <c r="AM218" s="222"/>
      <c r="AN218" s="222"/>
      <c r="AO218" s="222"/>
      <c r="AP218" s="222"/>
      <c r="AQ218" s="222"/>
      <c r="AR218" s="222"/>
      <c r="AS218" s="222"/>
      <c r="AT218" s="222"/>
      <c r="AU218" s="222"/>
      <c r="AV218" s="222"/>
      <c r="AW218" s="222"/>
      <c r="AX218" s="222"/>
      <c r="AY218" s="222"/>
      <c r="AZ218" s="222"/>
      <c r="BA218" s="222"/>
      <c r="BB218" s="222"/>
      <c r="BC218" s="222"/>
      <c r="BD218" s="222"/>
      <c r="BE218" s="222"/>
      <c r="BF218" s="222"/>
      <c r="BG218" s="222"/>
      <c r="BH218" s="222"/>
      <c r="BI218" s="222"/>
      <c r="BJ218" s="222"/>
      <c r="BK218" s="222"/>
      <c r="BL218" s="222"/>
      <c r="BM218" s="222"/>
      <c r="BN218" s="222"/>
      <c r="BO218" s="222"/>
      <c r="BP218" s="222"/>
      <c r="BQ218" s="222"/>
      <c r="BR218" s="222"/>
      <c r="BS218" s="222"/>
      <c r="BT218" s="222"/>
      <c r="BU218" s="222"/>
      <c r="BV218" s="222"/>
      <c r="BW218" s="222"/>
      <c r="BX218" s="222"/>
      <c r="BY218" s="222"/>
      <c r="BZ218" s="222"/>
      <c r="CA218" s="222"/>
      <c r="CB218" s="222"/>
      <c r="CC218" s="222"/>
      <c r="CD218" s="222"/>
      <c r="CE218" s="222"/>
      <c r="CF218" s="222"/>
      <c r="CG218" s="222"/>
      <c r="CH218" s="222"/>
      <c r="CI218" s="222"/>
      <c r="CJ218" s="222"/>
      <c r="CK218" s="222"/>
      <c r="CL218" s="222"/>
      <c r="CM218" s="222"/>
      <c r="CN218" s="222"/>
      <c r="CO218" s="222"/>
      <c r="CP218" s="222"/>
      <c r="CQ218" s="222"/>
      <c r="CR218" s="222"/>
      <c r="CS218" s="222"/>
      <c r="CT218" s="222"/>
      <c r="CU218" s="222"/>
      <c r="CV218" s="222"/>
      <c r="CW218" s="222"/>
      <c r="CX218" s="222"/>
      <c r="CY218" s="222"/>
      <c r="CZ218" s="222"/>
      <c r="DA218" s="222"/>
      <c r="DB218" s="222"/>
      <c r="DC218" s="222"/>
      <c r="DD218" s="222"/>
      <c r="DE218" s="222"/>
      <c r="DF218" s="222"/>
      <c r="DG218" s="222"/>
      <c r="DH218" s="222"/>
      <c r="DI218" s="222"/>
      <c r="DJ218" s="222"/>
      <c r="DK218" s="222"/>
      <c r="DL218" s="222"/>
      <c r="DM218" s="222"/>
      <c r="DN218" s="222"/>
      <c r="DO218" s="222"/>
      <c r="DP218" s="222"/>
      <c r="DQ218" s="222"/>
      <c r="DR218" s="222"/>
      <c r="DS218" s="222"/>
      <c r="DT218" s="222"/>
      <c r="DU218" s="222"/>
      <c r="DV218" s="222"/>
      <c r="DW218" s="325"/>
      <c r="DX218" s="325"/>
      <c r="DY218" s="325"/>
      <c r="DZ218" s="325"/>
      <c r="EA218" s="325"/>
      <c r="EB218" s="325"/>
      <c r="EC218" s="325"/>
      <c r="ED218" s="325"/>
      <c r="EE218" s="325"/>
      <c r="EF218" s="325"/>
      <c r="EG218" s="325"/>
      <c r="EH218" s="325"/>
    </row>
    <row r="219" spans="1:138" hidden="1">
      <c r="A219" s="222"/>
      <c r="B219" s="318"/>
      <c r="C219" s="313" t="s">
        <v>147</v>
      </c>
      <c r="D219" s="322">
        <f>T210/T207</f>
        <v>0.51486504310684167</v>
      </c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222"/>
      <c r="AF219" s="222"/>
      <c r="AG219" s="222"/>
      <c r="AH219" s="222"/>
      <c r="AI219" s="222"/>
      <c r="AJ219" s="222"/>
      <c r="AK219" s="222"/>
      <c r="AL219" s="222"/>
      <c r="AM219" s="222"/>
      <c r="AN219" s="222"/>
      <c r="AO219" s="222"/>
      <c r="AP219" s="222"/>
      <c r="AQ219" s="222"/>
      <c r="AR219" s="222"/>
      <c r="AS219" s="222"/>
      <c r="AT219" s="222"/>
      <c r="AU219" s="222"/>
      <c r="AV219" s="222"/>
      <c r="AW219" s="222"/>
      <c r="AX219" s="222"/>
      <c r="AY219" s="222"/>
      <c r="AZ219" s="222"/>
      <c r="BA219" s="222"/>
      <c r="BB219" s="222"/>
      <c r="BC219" s="222"/>
      <c r="BD219" s="222"/>
      <c r="BE219" s="222"/>
      <c r="BF219" s="222"/>
      <c r="BG219" s="222"/>
      <c r="BH219" s="222"/>
      <c r="BI219" s="222"/>
      <c r="BJ219" s="222"/>
      <c r="BK219" s="222"/>
      <c r="BL219" s="222"/>
      <c r="BM219" s="222"/>
      <c r="BN219" s="222"/>
      <c r="BO219" s="222"/>
      <c r="BP219" s="222"/>
      <c r="BQ219" s="222"/>
      <c r="BR219" s="222"/>
      <c r="BS219" s="222"/>
      <c r="BT219" s="222"/>
      <c r="BU219" s="222"/>
      <c r="BV219" s="222"/>
      <c r="BW219" s="222"/>
      <c r="BX219" s="222"/>
      <c r="BY219" s="222"/>
      <c r="BZ219" s="222"/>
      <c r="CA219" s="222"/>
      <c r="CB219" s="222"/>
      <c r="CC219" s="222"/>
      <c r="CD219" s="222"/>
      <c r="CE219" s="222"/>
      <c r="CF219" s="222"/>
      <c r="CG219" s="222"/>
      <c r="CH219" s="222"/>
      <c r="CI219" s="222"/>
      <c r="CJ219" s="222"/>
      <c r="CK219" s="222"/>
      <c r="CL219" s="222"/>
      <c r="CM219" s="222"/>
      <c r="CN219" s="222"/>
      <c r="CO219" s="222"/>
      <c r="CP219" s="222"/>
      <c r="CQ219" s="222"/>
      <c r="CR219" s="222"/>
      <c r="CS219" s="222"/>
      <c r="CT219" s="222"/>
      <c r="CU219" s="222"/>
      <c r="CV219" s="222"/>
      <c r="CW219" s="222"/>
      <c r="CX219" s="222"/>
      <c r="CY219" s="222"/>
      <c r="CZ219" s="222"/>
      <c r="DA219" s="222"/>
      <c r="DB219" s="222"/>
      <c r="DC219" s="222"/>
      <c r="DD219" s="222"/>
      <c r="DE219" s="222"/>
      <c r="DF219" s="222"/>
      <c r="DG219" s="222"/>
      <c r="DH219" s="222"/>
      <c r="DI219" s="222"/>
      <c r="DJ219" s="222"/>
      <c r="DK219" s="222"/>
      <c r="DL219" s="222"/>
      <c r="DM219" s="222"/>
      <c r="DN219" s="222"/>
      <c r="DO219" s="222"/>
      <c r="DP219" s="222"/>
      <c r="DQ219" s="222"/>
      <c r="DR219" s="222"/>
      <c r="DS219" s="222"/>
      <c r="DT219" s="222"/>
      <c r="DU219" s="222"/>
      <c r="DV219" s="222"/>
      <c r="DW219" s="325"/>
      <c r="DX219" s="325"/>
      <c r="DY219" s="325"/>
      <c r="DZ219" s="325"/>
      <c r="EA219" s="325"/>
      <c r="EB219" s="325"/>
      <c r="EC219" s="325"/>
      <c r="ED219" s="325"/>
      <c r="EE219" s="325"/>
      <c r="EF219" s="325"/>
      <c r="EG219" s="325"/>
      <c r="EH219" s="325"/>
    </row>
    <row r="220" spans="1:138" hidden="1">
      <c r="A220" s="222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  <c r="AA220" s="222"/>
      <c r="AB220" s="222"/>
      <c r="AC220" s="222"/>
      <c r="AD220" s="222"/>
      <c r="AE220" s="222"/>
      <c r="AF220" s="222"/>
      <c r="AG220" s="222"/>
      <c r="AH220" s="222"/>
      <c r="AI220" s="222"/>
      <c r="AJ220" s="222"/>
      <c r="AK220" s="222"/>
      <c r="AL220" s="222"/>
      <c r="AM220" s="222"/>
      <c r="AN220" s="222"/>
      <c r="AO220" s="222"/>
      <c r="AP220" s="222"/>
      <c r="AQ220" s="222"/>
      <c r="AR220" s="222"/>
      <c r="AS220" s="222"/>
      <c r="AT220" s="222"/>
      <c r="AU220" s="222"/>
      <c r="AV220" s="222"/>
      <c r="AW220" s="222"/>
      <c r="AX220" s="222"/>
      <c r="AY220" s="222"/>
      <c r="AZ220" s="222"/>
      <c r="BA220" s="222"/>
      <c r="BB220" s="222"/>
      <c r="BC220" s="222"/>
      <c r="BD220" s="222"/>
      <c r="BE220" s="222"/>
      <c r="BF220" s="222"/>
      <c r="BG220" s="222"/>
      <c r="BH220" s="222"/>
      <c r="BI220" s="222"/>
      <c r="BJ220" s="222"/>
      <c r="BK220" s="222"/>
      <c r="BL220" s="222"/>
      <c r="BM220" s="222"/>
      <c r="BN220" s="222"/>
      <c r="BO220" s="222"/>
      <c r="BP220" s="222"/>
      <c r="BQ220" s="222"/>
      <c r="BR220" s="222"/>
      <c r="BS220" s="222"/>
      <c r="BT220" s="222"/>
      <c r="BU220" s="222"/>
      <c r="BV220" s="222"/>
      <c r="BW220" s="222"/>
      <c r="BX220" s="222"/>
      <c r="BY220" s="222"/>
      <c r="BZ220" s="238"/>
      <c r="CA220" s="222"/>
      <c r="CB220" s="222"/>
      <c r="CC220" s="222"/>
      <c r="CD220" s="222"/>
      <c r="CE220" s="222"/>
      <c r="CF220" s="222"/>
      <c r="CG220" s="222"/>
      <c r="CH220" s="222"/>
      <c r="CI220" s="222"/>
      <c r="CJ220" s="222"/>
      <c r="CK220" s="222"/>
      <c r="CL220" s="222"/>
      <c r="CM220" s="222"/>
      <c r="CN220" s="222"/>
      <c r="CO220" s="222"/>
      <c r="CP220" s="222"/>
      <c r="CQ220" s="222"/>
      <c r="CR220" s="222"/>
      <c r="CS220" s="222"/>
      <c r="CT220" s="222"/>
      <c r="CU220" s="222"/>
      <c r="CV220" s="222"/>
      <c r="CW220" s="222"/>
      <c r="CX220" s="222"/>
      <c r="CY220" s="222"/>
      <c r="CZ220" s="222"/>
      <c r="DA220" s="222"/>
      <c r="DB220" s="222"/>
      <c r="DC220" s="222"/>
      <c r="DD220" s="222"/>
      <c r="DE220" s="222"/>
      <c r="DF220" s="222"/>
      <c r="DG220" s="222"/>
      <c r="DH220" s="222"/>
      <c r="DI220" s="222"/>
      <c r="DJ220" s="222"/>
      <c r="DK220" s="222"/>
      <c r="DL220" s="222"/>
      <c r="DM220" s="222"/>
      <c r="DN220" s="222"/>
      <c r="DO220" s="222"/>
      <c r="DP220" s="222"/>
      <c r="DQ220" s="222"/>
      <c r="DR220" s="222"/>
      <c r="DS220" s="222"/>
      <c r="DT220" s="222"/>
      <c r="DU220" s="222"/>
      <c r="DV220" s="222"/>
      <c r="DW220" s="325"/>
      <c r="DX220" s="325"/>
      <c r="DY220" s="325"/>
      <c r="DZ220" s="325"/>
      <c r="EA220" s="325"/>
      <c r="EB220" s="325"/>
      <c r="EC220" s="325"/>
      <c r="ED220" s="325"/>
      <c r="EE220" s="325"/>
      <c r="EF220" s="325"/>
      <c r="EG220" s="325"/>
      <c r="EH220" s="325"/>
    </row>
    <row r="221" spans="1:138" ht="14.1" hidden="1"/>
    <row r="222" spans="1:138" ht="14.1" hidden="1"/>
    <row r="223" spans="1:138" ht="14.1" hidden="1"/>
    <row r="224" spans="1:138" ht="14.1" hidden="1"/>
    <row r="225" ht="14.1" hidden="1"/>
  </sheetData>
  <mergeCells count="34">
    <mergeCell ref="S123:T123"/>
    <mergeCell ref="B2:C4"/>
    <mergeCell ref="B5:B8"/>
    <mergeCell ref="B9:B11"/>
    <mergeCell ref="B12:B15"/>
    <mergeCell ref="B16:C16"/>
    <mergeCell ref="B17:B97"/>
    <mergeCell ref="B98:C98"/>
    <mergeCell ref="B99:C99"/>
    <mergeCell ref="B100:C100"/>
    <mergeCell ref="D105:E105"/>
    <mergeCell ref="D108:BW108"/>
    <mergeCell ref="S122:T122"/>
    <mergeCell ref="BM2:BX2"/>
    <mergeCell ref="E2:P2"/>
    <mergeCell ref="Q2:AB2"/>
    <mergeCell ref="BY90:BZ90"/>
    <mergeCell ref="BZ91:BZ97"/>
    <mergeCell ref="BY98:BZ98"/>
    <mergeCell ref="BY99:BZ99"/>
    <mergeCell ref="BZ5:BZ8"/>
    <mergeCell ref="BZ9:BZ11"/>
    <mergeCell ref="BY16:BZ16"/>
    <mergeCell ref="BZ17:BZ89"/>
    <mergeCell ref="CC17:CC89"/>
    <mergeCell ref="CC5:CC8"/>
    <mergeCell ref="CC9:CC11"/>
    <mergeCell ref="CC12:CC15"/>
    <mergeCell ref="CB16:CC16"/>
    <mergeCell ref="AC2:AN2"/>
    <mergeCell ref="AO2:AZ2"/>
    <mergeCell ref="BA2:BL2"/>
    <mergeCell ref="BY2:BZ4"/>
    <mergeCell ref="BZ12:BZ15"/>
  </mergeCells>
  <conditionalFormatting sqref="E17:BX17 E23:BX23 E26:BX26 E34:BX34 E37:BX37 E49:BX49 E55:BX55 E63:BX63 E87:BX87 E90:BX90">
    <cfRule type="cellIs" dxfId="11" priority="1" operator="equal">
      <formula>0</formula>
    </cfRule>
  </conditionalFormatting>
  <conditionalFormatting sqref="F113:BS116 E114 BT114:BX114 E116 BT116:BX116 E130 F130:BX133 E132 E145 F145:BX148 E147 E177:BX177 E191 M191:BX191 F191:L194 E193 M193:BX193 M207:T207 H207:L210 E209:G209 M209:BX209">
    <cfRule type="cellIs" dxfId="10" priority="2" operator="equal">
      <formula>0</formula>
    </cfRule>
  </conditionalFormatting>
  <conditionalFormatting sqref="V122:V124">
    <cfRule type="notContainsBlanks" dxfId="9" priority="3">
      <formula>LEN(TRIM(V122))&gt;0</formula>
    </cfRule>
  </conditionalFormatting>
  <dataValidations count="1">
    <dataValidation type="list" allowBlank="1" showErrorMessage="1" sqref="CB4" xr:uid="{00000000-0002-0000-1200-000000000000}">
      <formula1>$D$3:$BX$3</formula1>
    </dataValidation>
  </dataValidations>
  <pageMargins left="0" right="0" top="0" bottom="0" header="0" footer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EH193"/>
  <sheetViews>
    <sheetView workbookViewId="0">
      <pane xSplit="3" ySplit="4" topLeftCell="D5" activePane="bottomRight" state="frozen"/>
      <selection pane="bottomRight" activeCell="D5" sqref="D5"/>
      <selection pane="bottomLeft" activeCell="A5" sqref="A5"/>
      <selection pane="topRight" activeCell="D1" sqref="D1"/>
    </sheetView>
  </sheetViews>
  <sheetFormatPr defaultColWidth="12.625" defaultRowHeight="15" customHeight="1" outlineLevelRow="2" outlineLevelCol="2"/>
  <cols>
    <col min="1" max="1" width="2.375" customWidth="1"/>
    <col min="3" max="3" width="40.125" customWidth="1"/>
    <col min="4" max="4" width="12.625" outlineLevel="1"/>
    <col min="5" max="5" width="10.875" customWidth="1" outlineLevel="1"/>
    <col min="6" max="16" width="10.875" customWidth="1" outlineLevel="2"/>
    <col min="17" max="17" width="10.875" customWidth="1" outlineLevel="1"/>
    <col min="18" max="20" width="10.875" customWidth="1" outlineLevel="2"/>
    <col min="21" max="21" width="9.125" customWidth="1" outlineLevel="2"/>
    <col min="22" max="22" width="11.625" customWidth="1" outlineLevel="2"/>
    <col min="23" max="28" width="6.5" customWidth="1" outlineLevel="2"/>
    <col min="29" max="29" width="6.5" customWidth="1" outlineLevel="1" collapsed="1"/>
    <col min="30" max="40" width="6.5" hidden="1" customWidth="1" outlineLevel="2"/>
    <col min="41" max="41" width="6.5" customWidth="1" outlineLevel="1" collapsed="1"/>
    <col min="42" max="52" width="6.5" hidden="1" customWidth="1" outlineLevel="2"/>
    <col min="53" max="53" width="6.5" customWidth="1" outlineLevel="1" collapsed="1"/>
    <col min="54" max="64" width="6.5" hidden="1" customWidth="1" outlineLevel="2"/>
    <col min="65" max="65" width="6.5" customWidth="1" outlineLevel="1" collapsed="1"/>
    <col min="66" max="76" width="6.5" hidden="1" customWidth="1" outlineLevel="2"/>
    <col min="79" max="79" width="12.625" collapsed="1"/>
    <col min="80" max="82" width="12.625" hidden="1" outlineLevel="1"/>
  </cols>
  <sheetData>
    <row r="1" spans="1:138">
      <c r="A1" s="222"/>
      <c r="B1" s="357" t="s">
        <v>199</v>
      </c>
      <c r="C1" s="358">
        <v>45443</v>
      </c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</row>
    <row r="2" spans="1:138">
      <c r="A2" s="505"/>
      <c r="B2" s="567" t="s">
        <v>200</v>
      </c>
      <c r="C2" s="597"/>
      <c r="D2" s="505"/>
      <c r="E2" s="559">
        <v>45292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9"/>
      <c r="Q2" s="558">
        <v>2025</v>
      </c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9"/>
      <c r="AC2" s="558">
        <v>2026</v>
      </c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9"/>
      <c r="AO2" s="559">
        <v>46388</v>
      </c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9"/>
      <c r="BA2" s="559">
        <v>46753</v>
      </c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9"/>
      <c r="BM2" s="559">
        <v>47119</v>
      </c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9"/>
      <c r="BY2" s="560" t="s">
        <v>201</v>
      </c>
      <c r="BZ2" s="597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</row>
    <row r="3" spans="1:138">
      <c r="A3" s="505"/>
      <c r="B3" s="588"/>
      <c r="C3" s="597"/>
      <c r="D3" s="505"/>
      <c r="E3" s="226" t="str">
        <f>IFERROR(VLOOKUP(TEXT(E4,"mm.yyyy"),HMG!$B$2:$C$1001, 2, FALSE),"")</f>
        <v>zapis KS</v>
      </c>
      <c r="F3" s="226" t="str">
        <f>IFERROR(VLOOKUP(TEXT(F4,"mm.yyyy"),HMG!$B$2:$C$1001, 2, FALSE),"")</f>
        <v/>
      </c>
      <c r="G3" s="226" t="str">
        <f>IFERROR(VLOOKUP(TEXT(G4,"mm.yyyy"),HMG!$B$2:$C$1001, 2, FALSE),"")</f>
        <v/>
      </c>
      <c r="H3" s="226" t="str">
        <f>IFERROR(VLOOKUP(TEXT(H4,"mm.yyyy"),HMG!$B$2:$C$1001, 2, FALSE),"")</f>
        <v/>
      </c>
      <c r="I3" s="226" t="str">
        <f>IFERROR(VLOOKUP(TEXT(I4,"mm.yyyy"),HMG!$B$2:$C$1001, 2, FALSE),"")</f>
        <v/>
      </c>
      <c r="J3" s="226" t="str">
        <f>IFERROR(VLOOKUP(TEXT(J4,"mm.yyyy"),HMG!$B$2:$C$1001, 2, FALSE),"")</f>
        <v/>
      </c>
      <c r="K3" s="226" t="str">
        <f>IFERROR(VLOOKUP(TEXT(K4,"mm.yyyy"),HMG!$B$2:$C$1001, 2, FALSE),"")</f>
        <v/>
      </c>
      <c r="L3" s="226" t="str">
        <f>IFERROR(VLOOKUP(TEXT(L4,"mm.yyyy"),HMG!$B$2:$C$1001, 2, FALSE),"")</f>
        <v/>
      </c>
      <c r="M3" s="226" t="str">
        <f>IFERROR(VLOOKUP(TEXT(M4,"mm.yyyy"),HMG!$B$2:$C$1001, 2, FALSE),"")</f>
        <v/>
      </c>
      <c r="N3" s="226" t="str">
        <f>IFERROR(VLOOKUP(TEXT(N4,"mm.yyyy"),HMG!$B$2:$C$1001, 2, FALSE),"")</f>
        <v/>
      </c>
      <c r="O3" s="226" t="str">
        <f>IFERROR(VLOOKUP(TEXT(O4,"mm.yyyy"),HMG!$B$2:$C$1001, 2, FALSE),"")</f>
        <v/>
      </c>
      <c r="P3" s="226" t="str">
        <f>IFERROR(VLOOKUP(TEXT(P4,"mm.yyyy"),HMG!$B$2:$C$1001, 2, FALSE),"")</f>
        <v/>
      </c>
      <c r="Q3" s="226" t="str">
        <f>IFERROR(VLOOKUP(TEXT(Q4,"mm.yyyy"),HMG!$B$2:$C$1001, 2, FALSE),"")</f>
        <v>zapis KS</v>
      </c>
      <c r="R3" s="226" t="str">
        <f>IFERROR(VLOOKUP(TEXT(R4,"mm.yyyy"),HMG!$B$2:$C$1001, 2, FALSE),"")</f>
        <v/>
      </c>
      <c r="S3" s="226" t="str">
        <f>IFERROR(VLOOKUP(TEXT(S4,"mm.yyyy"),HMG!$B$2:$C$1001, 2, FALSE),"")</f>
        <v/>
      </c>
      <c r="T3" s="226" t="str">
        <f>IFERROR(VLOOKUP(TEXT(T4,"mm.yyyy"),HMG!$B$2:$C$1001, 2, FALSE),"")</f>
        <v/>
      </c>
      <c r="U3" s="226" t="str">
        <f>IFERROR(VLOOKUP(TEXT(U4,"mm.yyyy"),HMG!$B$2:$C$1001, 2, FALSE),"")</f>
        <v/>
      </c>
      <c r="V3" s="226" t="str">
        <f>IFERROR(VLOOKUP(TEXT(V4,"mm.yyyy"),HMG!$B$2:$C$1001, 2, FALSE),"")</f>
        <v/>
      </c>
      <c r="W3" s="226" t="str">
        <f>IFERROR(VLOOKUP(TEXT(W4,"mm.yyyy"),HMG!$B$2:$C$1001, 2, FALSE),"")</f>
        <v/>
      </c>
      <c r="X3" s="226" t="str">
        <f>IFERROR(VLOOKUP(TEXT(X4,"mm.yyyy"),HMG!$B$2:$C$1001, 2, FALSE),"")</f>
        <v/>
      </c>
      <c r="Y3" s="226" t="str">
        <f>IFERROR(VLOOKUP(TEXT(Y4,"mm.yyyy"),HMG!$B$2:$C$1001, 2, FALSE),"")</f>
        <v/>
      </c>
      <c r="Z3" s="226" t="str">
        <f>IFERROR(VLOOKUP(TEXT(Z4,"mm.yyyy"),HMG!$B$2:$C$1001, 2, FALSE),"")</f>
        <v/>
      </c>
      <c r="AA3" s="226" t="str">
        <f>IFERROR(VLOOKUP(TEXT(AA4,"mm.yyyy"),HMG!$B$2:$C$1001, 2, FALSE),"")</f>
        <v/>
      </c>
      <c r="AB3" s="226" t="str">
        <f>IFERROR(VLOOKUP(TEXT(AB4,"mm.yyyy"),HMG!$B$2:$C$1001, 2, FALSE),"")</f>
        <v/>
      </c>
      <c r="AC3" s="226" t="str">
        <f>IFERROR(VLOOKUP(TEXT(AC4,"mm.yyyy"),HMG!$B$2:$C$1001, 2, FALSE),"")</f>
        <v>zapis KS</v>
      </c>
      <c r="AD3" s="226" t="str">
        <f>IFERROR(VLOOKUP(TEXT(AD4,"mm.yyyy"),HMG!$B$2:$C$1001, 2, FALSE),"")</f>
        <v/>
      </c>
      <c r="AE3" s="226" t="str">
        <f>IFERROR(VLOOKUP(TEXT(AE4,"mm.yyyy"),HMG!$B$2:$C$1001, 2, FALSE),"")</f>
        <v/>
      </c>
      <c r="AF3" s="226" t="str">
        <f>IFERROR(VLOOKUP(TEXT(AF4,"mm.yyyy"),HMG!$B$2:$C$1001, 2, FALSE),"")</f>
        <v/>
      </c>
      <c r="AG3" s="226" t="str">
        <f>IFERROR(VLOOKUP(TEXT(AG4,"mm.yyyy"),HMG!$B$2:$C$1001, 2, FALSE),"")</f>
        <v/>
      </c>
      <c r="AH3" s="226" t="str">
        <f>IFERROR(VLOOKUP(TEXT(AH4,"mm.yyyy"),HMG!$B$2:$C$1001, 2, FALSE),"")</f>
        <v/>
      </c>
      <c r="AI3" s="226" t="str">
        <f>IFERROR(VLOOKUP(TEXT(AI4,"mm.yyyy"),HMG!$B$2:$C$1001, 2, FALSE),"")</f>
        <v/>
      </c>
      <c r="AJ3" s="226" t="str">
        <f>IFERROR(VLOOKUP(TEXT(AJ4,"mm.yyyy"),HMG!$B$2:$C$1001, 2, FALSE),"")</f>
        <v/>
      </c>
      <c r="AK3" s="226" t="str">
        <f>IFERROR(VLOOKUP(TEXT(AK4,"mm.yyyy"),HMG!$B$2:$C$1001, 2, FALSE),"")</f>
        <v/>
      </c>
      <c r="AL3" s="226" t="str">
        <f>IFERROR(VLOOKUP(TEXT(AL4,"mm.yyyy"),HMG!$B$2:$C$1001, 2, FALSE),"")</f>
        <v/>
      </c>
      <c r="AM3" s="226" t="str">
        <f>IFERROR(VLOOKUP(TEXT(AM4,"mm.yyyy"),HMG!$B$2:$C$1001, 2, FALSE),"")</f>
        <v/>
      </c>
      <c r="AN3" s="226" t="str">
        <f>IFERROR(VLOOKUP(TEXT(AN4,"mm.yyyy"),HMG!$B$2:$C$1001, 2, FALSE),"")</f>
        <v/>
      </c>
      <c r="AO3" s="226" t="str">
        <f>IFERROR(VLOOKUP(TEXT(AO4,"mm.yyyy"),HMG!$B$2:$C$1001, 2, FALSE),"")</f>
        <v>zapis KS</v>
      </c>
      <c r="AP3" s="226" t="str">
        <f>IFERROR(VLOOKUP(TEXT(AP4,"mm.yyyy"),HMG!$B$2:$C$1001, 2, FALSE),"")</f>
        <v/>
      </c>
      <c r="AQ3" s="226" t="str">
        <f>IFERROR(VLOOKUP(TEXT(AQ4,"mm.yyyy"),HMG!$B$2:$C$1001, 2, FALSE),"")</f>
        <v/>
      </c>
      <c r="AR3" s="226" t="str">
        <f>IFERROR(VLOOKUP(TEXT(AR4,"mm.yyyy"),HMG!$B$2:$C$1001, 2, FALSE),"")</f>
        <v/>
      </c>
      <c r="AS3" s="226" t="str">
        <f>IFERROR(VLOOKUP(TEXT(AS4,"mm.yyyy"),HMG!$B$2:$C$1001, 2, FALSE),"")</f>
        <v/>
      </c>
      <c r="AT3" s="226" t="str">
        <f>IFERROR(VLOOKUP(TEXT(AT4,"mm.yyyy"),HMG!$B$2:$C$1001, 2, FALSE),"")</f>
        <v/>
      </c>
      <c r="AU3" s="226" t="str">
        <f>IFERROR(VLOOKUP(TEXT(AU4,"mm.yyyy"),HMG!$B$2:$C$1001, 2, FALSE),"")</f>
        <v/>
      </c>
      <c r="AV3" s="226" t="str">
        <f>IFERROR(VLOOKUP(TEXT(AV4,"mm.yyyy"),HMG!$B$2:$C$1001, 2, FALSE),"")</f>
        <v/>
      </c>
      <c r="AW3" s="226" t="str">
        <f>IFERROR(VLOOKUP(TEXT(AW4,"mm.yyyy"),HMG!$B$2:$C$1001, 2, FALSE),"")</f>
        <v/>
      </c>
      <c r="AX3" s="226" t="str">
        <f>IFERROR(VLOOKUP(TEXT(AX4,"mm.yyyy"),HMG!$B$2:$C$1001, 2, FALSE),"")</f>
        <v/>
      </c>
      <c r="AY3" s="226" t="str">
        <f>IFERROR(VLOOKUP(TEXT(AY4,"mm.yyyy"),HMG!$B$2:$C$1001, 2, FALSE),"")</f>
        <v/>
      </c>
      <c r="AZ3" s="226" t="str">
        <f>IFERROR(VLOOKUP(TEXT(AZ4,"mm.yyyy"),HMG!$B$2:$C$1001, 2, FALSE),"")</f>
        <v/>
      </c>
      <c r="BA3" s="226" t="str">
        <f>IFERROR(VLOOKUP(TEXT(BA4,"mm.yyyy"),HMG!$B$2:$C$1001, 2, FALSE),"")</f>
        <v>zapis KS</v>
      </c>
      <c r="BB3" s="226" t="str">
        <f>IFERROR(VLOOKUP(TEXT(BB4,"mm.yyyy"),HMG!$B$2:$C$1001, 2, FALSE),"")</f>
        <v/>
      </c>
      <c r="BC3" s="226" t="str">
        <f>IFERROR(VLOOKUP(TEXT(BC4,"mm.yyyy"),HMG!$B$2:$C$1001, 2, FALSE),"")</f>
        <v/>
      </c>
      <c r="BD3" s="226" t="str">
        <f>IFERROR(VLOOKUP(TEXT(BD4,"mm.yyyy"),HMG!$B$2:$C$1001, 2, FALSE),"")</f>
        <v/>
      </c>
      <c r="BE3" s="226" t="str">
        <f>IFERROR(VLOOKUP(TEXT(BE4,"mm.yyyy"),HMG!$B$2:$C$1001, 2, FALSE),"")</f>
        <v/>
      </c>
      <c r="BF3" s="226" t="str">
        <f>IFERROR(VLOOKUP(TEXT(BF4,"mm.yyyy"),HMG!$B$2:$C$1001, 2, FALSE),"")</f>
        <v/>
      </c>
      <c r="BG3" s="226" t="str">
        <f>IFERROR(VLOOKUP(TEXT(BG4,"mm.yyyy"),HMG!$B$2:$C$1001, 2, FALSE),"")</f>
        <v/>
      </c>
      <c r="BH3" s="226" t="str">
        <f>IFERROR(VLOOKUP(TEXT(BH4,"mm.yyyy"),HMG!$B$2:$C$1001, 2, FALSE),"")</f>
        <v/>
      </c>
      <c r="BI3" s="226" t="str">
        <f>IFERROR(VLOOKUP(TEXT(BI4,"mm.yyyy"),HMG!$B$2:$C$1001, 2, FALSE),"")</f>
        <v/>
      </c>
      <c r="BJ3" s="226" t="str">
        <f>IFERROR(VLOOKUP(TEXT(BJ4,"mm.yyyy"),HMG!$B$2:$C$1001, 2, FALSE),"")</f>
        <v/>
      </c>
      <c r="BK3" s="226" t="str">
        <f>IFERROR(VLOOKUP(TEXT(BK4,"mm.yyyy"),HMG!$B$2:$C$1001, 2, FALSE),"")</f>
        <v/>
      </c>
      <c r="BL3" s="226" t="str">
        <f>IFERROR(VLOOKUP(TEXT(BL4,"mm.yyyy"),HMG!$B$2:$C$1001, 2, FALSE),"")</f>
        <v/>
      </c>
      <c r="BM3" s="226" t="str">
        <f>IFERROR(VLOOKUP(TEXT(BM4,"mm.yyyy"),HMG!$B$2:$C$1001, 2, FALSE),"")</f>
        <v>zapis KS</v>
      </c>
      <c r="BN3" s="226" t="str">
        <f>IFERROR(VLOOKUP(TEXT(BN4,"mm.yyyy"),HMG!$B$2:$C$1001, 2, FALSE),"")</f>
        <v/>
      </c>
      <c r="BO3" s="226" t="str">
        <f>IFERROR(VLOOKUP(TEXT(BO4,"mm.yyyy"),HMG!$B$2:$C$1001, 2, FALSE),"")</f>
        <v/>
      </c>
      <c r="BP3" s="226" t="str">
        <f>IFERROR(VLOOKUP(TEXT(BP4,"mm.yyyy"),HMG!$B$2:$C$1001, 2, FALSE),"")</f>
        <v/>
      </c>
      <c r="BQ3" s="226" t="str">
        <f>IFERROR(VLOOKUP(TEXT(BQ4,"mm.yyyy"),HMG!$B$2:$C$1001, 2, FALSE),"")</f>
        <v/>
      </c>
      <c r="BR3" s="226" t="str">
        <f>IFERROR(VLOOKUP(TEXT(BR4,"mm.yyyy"),HMG!$B$2:$C$1001, 2, FALSE),"")</f>
        <v/>
      </c>
      <c r="BS3" s="226" t="str">
        <f>IFERROR(VLOOKUP(TEXT(BS4,"mm.yyyy"),HMG!$B$2:$C$1001, 2, FALSE),"")</f>
        <v/>
      </c>
      <c r="BT3" s="226" t="str">
        <f>IFERROR(VLOOKUP(TEXT(BT4,"mm.yyyy"),HMG!$B$2:$C$1001, 2, FALSE),"")</f>
        <v/>
      </c>
      <c r="BU3" s="226" t="str">
        <f>IFERROR(VLOOKUP(TEXT(BU4,"mm.yyyy"),HMG!$B$2:$C$1001, 2, FALSE),"")</f>
        <v/>
      </c>
      <c r="BV3" s="226" t="str">
        <f>IFERROR(VLOOKUP(TEXT(BV4,"mm.yyyy"),HMG!$B$2:$C$1001, 2, FALSE),"")</f>
        <v/>
      </c>
      <c r="BW3" s="226" t="str">
        <f>IFERROR(VLOOKUP(TEXT(BW4,"mm.yyyy"),HMG!$B$2:$C$1001, 2, FALSE),"")</f>
        <v/>
      </c>
      <c r="BX3" s="226" t="str">
        <f>IFERROR(VLOOKUP(TEXT(BX4,"mm.yyyy"),HMG!$B$2:$C$1001, 2, FALSE),"")</f>
        <v/>
      </c>
      <c r="BY3" s="588"/>
      <c r="BZ3" s="597"/>
      <c r="CA3" s="222"/>
      <c r="CB3" s="222" t="s">
        <v>202</v>
      </c>
      <c r="CC3" s="222" t="s">
        <v>203</v>
      </c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2"/>
      <c r="CV3" s="222"/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</row>
    <row r="4" spans="1:138">
      <c r="A4" s="505"/>
      <c r="B4" s="591"/>
      <c r="C4" s="592"/>
      <c r="D4" s="506"/>
      <c r="E4" s="227">
        <v>45292</v>
      </c>
      <c r="F4" s="227">
        <v>45323</v>
      </c>
      <c r="G4" s="227">
        <v>45352</v>
      </c>
      <c r="H4" s="227">
        <v>45383</v>
      </c>
      <c r="I4" s="227">
        <v>45413</v>
      </c>
      <c r="J4" s="227">
        <v>45444</v>
      </c>
      <c r="K4" s="227">
        <v>45474</v>
      </c>
      <c r="L4" s="227">
        <v>45505</v>
      </c>
      <c r="M4" s="227">
        <v>45536</v>
      </c>
      <c r="N4" s="227">
        <v>45566</v>
      </c>
      <c r="O4" s="359">
        <v>45597</v>
      </c>
      <c r="P4" s="227">
        <v>45627</v>
      </c>
      <c r="Q4" s="227">
        <v>45658</v>
      </c>
      <c r="R4" s="227">
        <v>45689</v>
      </c>
      <c r="S4" s="227">
        <v>45717</v>
      </c>
      <c r="T4" s="227">
        <v>45748</v>
      </c>
      <c r="U4" s="227">
        <v>45778</v>
      </c>
      <c r="V4" s="227">
        <v>45809</v>
      </c>
      <c r="W4" s="227">
        <v>45839</v>
      </c>
      <c r="X4" s="227">
        <v>45870</v>
      </c>
      <c r="Y4" s="227">
        <v>45901</v>
      </c>
      <c r="Z4" s="227">
        <v>45931</v>
      </c>
      <c r="AA4" s="227">
        <v>45962</v>
      </c>
      <c r="AB4" s="227">
        <v>45992</v>
      </c>
      <c r="AC4" s="227">
        <v>46023</v>
      </c>
      <c r="AD4" s="227">
        <v>46054</v>
      </c>
      <c r="AE4" s="227">
        <v>46082</v>
      </c>
      <c r="AF4" s="227">
        <v>46113</v>
      </c>
      <c r="AG4" s="227">
        <v>46143</v>
      </c>
      <c r="AH4" s="227">
        <v>46174</v>
      </c>
      <c r="AI4" s="227">
        <v>46204</v>
      </c>
      <c r="AJ4" s="227">
        <v>46235</v>
      </c>
      <c r="AK4" s="227">
        <v>46266</v>
      </c>
      <c r="AL4" s="227">
        <v>46296</v>
      </c>
      <c r="AM4" s="227">
        <v>46327</v>
      </c>
      <c r="AN4" s="227">
        <v>46357</v>
      </c>
      <c r="AO4" s="227">
        <v>46388</v>
      </c>
      <c r="AP4" s="227">
        <v>46419</v>
      </c>
      <c r="AQ4" s="227">
        <v>46447</v>
      </c>
      <c r="AR4" s="227">
        <v>46478</v>
      </c>
      <c r="AS4" s="227">
        <v>46508</v>
      </c>
      <c r="AT4" s="227">
        <v>46539</v>
      </c>
      <c r="AU4" s="227">
        <v>46569</v>
      </c>
      <c r="AV4" s="227">
        <v>46600</v>
      </c>
      <c r="AW4" s="227">
        <v>46631</v>
      </c>
      <c r="AX4" s="227">
        <v>46661</v>
      </c>
      <c r="AY4" s="227">
        <v>46692</v>
      </c>
      <c r="AZ4" s="227">
        <v>46722</v>
      </c>
      <c r="BA4" s="227">
        <v>46753</v>
      </c>
      <c r="BB4" s="227">
        <v>46784</v>
      </c>
      <c r="BC4" s="227">
        <v>46813</v>
      </c>
      <c r="BD4" s="227">
        <v>46844</v>
      </c>
      <c r="BE4" s="227">
        <v>46874</v>
      </c>
      <c r="BF4" s="227">
        <v>46905</v>
      </c>
      <c r="BG4" s="227">
        <v>46935</v>
      </c>
      <c r="BH4" s="227">
        <v>46966</v>
      </c>
      <c r="BI4" s="227">
        <v>46997</v>
      </c>
      <c r="BJ4" s="227">
        <v>47027</v>
      </c>
      <c r="BK4" s="227">
        <v>47058</v>
      </c>
      <c r="BL4" s="227">
        <v>47088</v>
      </c>
      <c r="BM4" s="227">
        <v>47119</v>
      </c>
      <c r="BN4" s="227">
        <v>47150</v>
      </c>
      <c r="BO4" s="227">
        <v>47178</v>
      </c>
      <c r="BP4" s="227">
        <v>47209</v>
      </c>
      <c r="BQ4" s="227">
        <v>47239</v>
      </c>
      <c r="BR4" s="227">
        <v>47270</v>
      </c>
      <c r="BS4" s="227">
        <v>47300</v>
      </c>
      <c r="BT4" s="227">
        <v>47331</v>
      </c>
      <c r="BU4" s="227">
        <v>47362</v>
      </c>
      <c r="BV4" s="227">
        <v>47392</v>
      </c>
      <c r="BW4" s="227">
        <v>47423</v>
      </c>
      <c r="BX4" s="227">
        <v>47453</v>
      </c>
      <c r="BY4" s="591"/>
      <c r="BZ4" s="592"/>
      <c r="CA4" s="222"/>
      <c r="CB4" s="222" t="s">
        <v>63</v>
      </c>
      <c r="CC4" s="222"/>
      <c r="CD4" s="222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2"/>
      <c r="CV4" s="222"/>
      <c r="CW4" s="222"/>
      <c r="CX4" s="222"/>
      <c r="CY4" s="222"/>
      <c r="CZ4" s="222"/>
      <c r="DA4" s="222"/>
      <c r="DB4" s="222"/>
      <c r="DC4" s="222"/>
      <c r="DD4" s="222"/>
      <c r="DE4" s="222"/>
      <c r="DF4" s="222"/>
      <c r="DG4" s="222"/>
      <c r="DH4" s="222"/>
      <c r="DI4" s="222"/>
      <c r="DJ4" s="222"/>
      <c r="DK4" s="222"/>
      <c r="DL4" s="222"/>
      <c r="DM4" s="222"/>
      <c r="DN4" s="222"/>
      <c r="DO4" s="222"/>
      <c r="DP4" s="222"/>
      <c r="DQ4" s="222"/>
      <c r="DR4" s="222"/>
      <c r="DS4" s="222"/>
      <c r="DT4" s="222"/>
      <c r="DU4" s="222"/>
      <c r="DV4" s="222"/>
      <c r="DW4" s="222"/>
      <c r="DX4" s="222"/>
      <c r="DY4" s="222"/>
      <c r="DZ4" s="222"/>
      <c r="EA4" s="222"/>
      <c r="EB4" s="222"/>
      <c r="EC4" s="222"/>
      <c r="ED4" s="222"/>
      <c r="EE4" s="222"/>
      <c r="EF4" s="222"/>
      <c r="EG4" s="222"/>
      <c r="EH4" s="222"/>
    </row>
    <row r="5" spans="1:138" hidden="1">
      <c r="A5" s="505"/>
      <c r="B5" s="568" t="s">
        <v>204</v>
      </c>
      <c r="C5" s="228" t="s">
        <v>205</v>
      </c>
      <c r="D5" s="229" t="s">
        <v>206</v>
      </c>
      <c r="E5" s="230"/>
      <c r="F5" s="231"/>
      <c r="G5" s="231"/>
      <c r="H5" s="231">
        <f>16365002</f>
        <v>16365002</v>
      </c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2"/>
      <c r="BY5" s="233">
        <f t="shared" ref="BY5:BY15" si="0">SUM(E5:BX5)</f>
        <v>16365002</v>
      </c>
      <c r="BZ5" s="561">
        <f>SUM(BY5:BY8)</f>
        <v>24235669</v>
      </c>
      <c r="CA5" s="222"/>
      <c r="CB5" s="233">
        <f t="shared" ref="CB5:CB15" si="1">SUM(H5:CA5)</f>
        <v>56965673</v>
      </c>
      <c r="CC5" s="561">
        <f>SUM(CB5:CB8)</f>
        <v>134027674</v>
      </c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</row>
    <row r="6" spans="1:138" hidden="1">
      <c r="A6" s="505"/>
      <c r="B6" s="600"/>
      <c r="C6" s="228" t="s">
        <v>207</v>
      </c>
      <c r="D6" s="229" t="s">
        <v>206</v>
      </c>
      <c r="E6" s="231"/>
      <c r="F6" s="231"/>
      <c r="G6" s="231"/>
      <c r="H6" s="231"/>
      <c r="I6" s="231"/>
      <c r="J6" s="231">
        <v>7870667</v>
      </c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28"/>
      <c r="BY6" s="233">
        <f t="shared" si="0"/>
        <v>7870667</v>
      </c>
      <c r="BZ6" s="597"/>
      <c r="CA6" s="222">
        <f>9870667</f>
        <v>9870667</v>
      </c>
      <c r="CB6" s="233">
        <f t="shared" si="1"/>
        <v>25612001</v>
      </c>
      <c r="CC6" s="597"/>
      <c r="CD6" s="222"/>
      <c r="CE6" s="222"/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</row>
    <row r="7" spans="1:138" hidden="1">
      <c r="A7" s="505"/>
      <c r="B7" s="600"/>
      <c r="C7" s="234" t="s">
        <v>208</v>
      </c>
      <c r="D7" s="229" t="s">
        <v>206</v>
      </c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28"/>
      <c r="BY7" s="233">
        <f t="shared" si="0"/>
        <v>0</v>
      </c>
      <c r="BZ7" s="597"/>
      <c r="CA7" s="222">
        <f>2100000*24.5</f>
        <v>51450000</v>
      </c>
      <c r="CB7" s="233">
        <f t="shared" si="1"/>
        <v>51450000</v>
      </c>
      <c r="CC7" s="597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</row>
    <row r="8" spans="1:138" hidden="1">
      <c r="A8" s="505"/>
      <c r="B8" s="601"/>
      <c r="C8" s="234" t="s">
        <v>209</v>
      </c>
      <c r="D8" s="235" t="s">
        <v>206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4"/>
      <c r="BY8" s="237">
        <f t="shared" si="0"/>
        <v>0</v>
      </c>
      <c r="BZ8" s="592"/>
      <c r="CA8" s="222"/>
      <c r="CB8" s="237">
        <f t="shared" si="1"/>
        <v>0</v>
      </c>
      <c r="CC8" s="592"/>
      <c r="CD8" s="222"/>
      <c r="CE8" s="222"/>
      <c r="CF8" s="222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</row>
    <row r="9" spans="1:138" hidden="1">
      <c r="A9" s="505"/>
      <c r="B9" s="568" t="s">
        <v>210</v>
      </c>
      <c r="C9" s="232" t="s">
        <v>211</v>
      </c>
      <c r="D9" s="229" t="s">
        <v>206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2"/>
      <c r="BY9" s="233">
        <f t="shared" si="0"/>
        <v>0</v>
      </c>
      <c r="BZ9" s="561">
        <f>SUM(BY9:BY11)</f>
        <v>48932749</v>
      </c>
      <c r="CA9" s="222"/>
      <c r="CB9" s="233">
        <f t="shared" si="1"/>
        <v>48932749</v>
      </c>
      <c r="CC9" s="561">
        <f>SUM(CB9:CB11)</f>
        <v>146798247</v>
      </c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</row>
    <row r="10" spans="1:138" hidden="1">
      <c r="A10" s="505"/>
      <c r="B10" s="600"/>
      <c r="C10" s="232" t="s">
        <v>326</v>
      </c>
      <c r="D10" s="229" t="s">
        <v>206</v>
      </c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28"/>
      <c r="BY10" s="233">
        <f t="shared" si="0"/>
        <v>0</v>
      </c>
      <c r="BZ10" s="597"/>
      <c r="CA10" s="222"/>
      <c r="CB10" s="233">
        <f t="shared" si="1"/>
        <v>0</v>
      </c>
      <c r="CC10" s="597"/>
      <c r="CD10" s="222"/>
      <c r="CE10" s="222">
        <f>BY5+BY11</f>
        <v>65297751</v>
      </c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</row>
    <row r="11" spans="1:138" hidden="1">
      <c r="A11" s="505"/>
      <c r="B11" s="599"/>
      <c r="C11" s="234" t="s">
        <v>213</v>
      </c>
      <c r="D11" s="235" t="s">
        <v>206</v>
      </c>
      <c r="E11" s="236"/>
      <c r="F11" s="236"/>
      <c r="G11" s="236"/>
      <c r="H11" s="236"/>
      <c r="I11" s="236"/>
      <c r="J11" s="236"/>
      <c r="K11" s="236"/>
      <c r="L11" s="236">
        <v>6300000</v>
      </c>
      <c r="M11" s="236">
        <f>22000000+165083</f>
        <v>22165083</v>
      </c>
      <c r="N11" s="236">
        <f>8700000+215833</f>
        <v>8915833</v>
      </c>
      <c r="O11" s="236">
        <f>9600000+271833</f>
        <v>9871833</v>
      </c>
      <c r="P11" s="236">
        <f>1400000+280000</f>
        <v>1680000</v>
      </c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9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4"/>
      <c r="BY11" s="237">
        <f t="shared" si="0"/>
        <v>48932749</v>
      </c>
      <c r="BZ11" s="602"/>
      <c r="CA11" s="241"/>
      <c r="CB11" s="237">
        <f t="shared" si="1"/>
        <v>97865498</v>
      </c>
      <c r="CC11" s="602"/>
      <c r="CD11" s="241"/>
      <c r="CE11" s="241">
        <f>BY11/CE10</f>
        <v>0.74937878028907923</v>
      </c>
      <c r="CF11" s="241">
        <f>BY11/2100000</f>
        <v>23.301309047619046</v>
      </c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</row>
    <row r="12" spans="1:138" hidden="1">
      <c r="A12" s="505"/>
      <c r="B12" s="568" t="s">
        <v>214</v>
      </c>
      <c r="C12" s="228" t="s">
        <v>215</v>
      </c>
      <c r="D12" s="229" t="s">
        <v>206</v>
      </c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>
        <f>SUM(Rentroll!$M$2:$M$4)</f>
        <v>613130.50199999986</v>
      </c>
      <c r="R12" s="230">
        <f>SUM(Rentroll!$M$2:$M$4)</f>
        <v>613130.50199999986</v>
      </c>
      <c r="S12" s="230">
        <f>SUM(Rentroll!$M$2:$M$4)</f>
        <v>613130.50199999986</v>
      </c>
      <c r="T12" s="230">
        <f>SUM(Rentroll!$M$2:$M$4)</f>
        <v>613130.50199999986</v>
      </c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2"/>
      <c r="BY12" s="233">
        <f t="shared" si="0"/>
        <v>2452522.0079999994</v>
      </c>
      <c r="BZ12" s="561">
        <f>SUM(BY12:BY15)</f>
        <v>148978692.86306447</v>
      </c>
      <c r="CA12" s="222"/>
      <c r="CB12" s="233">
        <f t="shared" si="1"/>
        <v>153883736.87906447</v>
      </c>
      <c r="CC12" s="561">
        <f>SUM(CB12:CB15)</f>
        <v>446936078.58919346</v>
      </c>
      <c r="CD12" s="222"/>
      <c r="CE12" s="238">
        <f>BY5/CE10</f>
        <v>0.25062121971092083</v>
      </c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</row>
    <row r="13" spans="1:138" hidden="1">
      <c r="A13" s="505"/>
      <c r="B13" s="600"/>
      <c r="C13" s="228" t="s">
        <v>216</v>
      </c>
      <c r="D13" s="229" t="s">
        <v>206</v>
      </c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>
        <f>Businessplan_prodej!J25</f>
        <v>138882598.15999994</v>
      </c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2"/>
      <c r="BY13" s="233">
        <f t="shared" si="0"/>
        <v>138882598.15999994</v>
      </c>
      <c r="BZ13" s="597"/>
      <c r="CA13" s="222"/>
      <c r="CB13" s="233">
        <f t="shared" si="1"/>
        <v>277765196.31999987</v>
      </c>
      <c r="CC13" s="597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</row>
    <row r="14" spans="1:138" hidden="1">
      <c r="A14" s="505"/>
      <c r="B14" s="600"/>
      <c r="C14" s="228" t="s">
        <v>7</v>
      </c>
      <c r="D14" s="229" t="s">
        <v>217</v>
      </c>
      <c r="E14" s="231"/>
      <c r="F14" s="231"/>
      <c r="G14" s="231"/>
      <c r="H14" s="231"/>
      <c r="I14" s="231">
        <v>6227</v>
      </c>
      <c r="J14" s="231">
        <f t="shared" ref="J14:O14" si="2">-(SUM(H23,H37)-SUM(H23,H37)/1.21)</f>
        <v>17023.353596065848</v>
      </c>
      <c r="K14" s="231">
        <f t="shared" si="2"/>
        <v>112020.31965029705</v>
      </c>
      <c r="L14" s="231">
        <f t="shared" si="2"/>
        <v>328453.07443801663</v>
      </c>
      <c r="M14" s="231">
        <f t="shared" si="2"/>
        <v>130461.74272727268</v>
      </c>
      <c r="N14" s="231">
        <f t="shared" si="2"/>
        <v>60539.3947107438</v>
      </c>
      <c r="O14" s="231">
        <f t="shared" si="2"/>
        <v>60539.3947107438</v>
      </c>
      <c r="P14" s="231">
        <f>-O15+7000000-(SUM(N23,N37)-SUM(N23,N37)/1.21)</f>
        <v>-1409460.6052892562</v>
      </c>
      <c r="Q14" s="231">
        <f>-(SUM(O23,O37)-SUM(O23,O37)/1.21)</f>
        <v>111583.86371074372</v>
      </c>
      <c r="R14" s="231">
        <f>-(SUM(Rentroll!$H$2:$H$4)+Rentroll!$K$2)-(SUM(P23,P37)-SUM(P23,P37)/1.21)</f>
        <v>-41591.408611570281</v>
      </c>
      <c r="S14" s="231">
        <f>-(SUM(Rentroll!$H$2:$H$4)+Rentroll!$K$2)-(SUM(Q23,Q37)-SUM(Q23,Q37)/1.21)</f>
        <v>-101111.71728925619</v>
      </c>
      <c r="T14" s="231">
        <f>-(SUM(Rentroll!$H$2:$H$4)+Rentroll!$K$2)-(SUM(R23,R37)-SUM(R23,R37)/1.21)</f>
        <v>-101111.71728925619</v>
      </c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28"/>
      <c r="BY14" s="233">
        <f t="shared" si="0"/>
        <v>-826427.30493545521</v>
      </c>
      <c r="BZ14" s="597"/>
      <c r="CA14" s="222"/>
      <c r="CB14" s="233">
        <f t="shared" si="1"/>
        <v>-1652854.6098709104</v>
      </c>
      <c r="CC14" s="597"/>
      <c r="CD14" s="222"/>
      <c r="CE14" s="222">
        <f>51450000</f>
        <v>51450000</v>
      </c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</row>
    <row r="15" spans="1:138" hidden="1">
      <c r="A15" s="505"/>
      <c r="B15" s="599"/>
      <c r="C15" s="234" t="s">
        <v>218</v>
      </c>
      <c r="D15" s="235" t="s">
        <v>217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>
        <f>7000000*1.21</f>
        <v>8470000</v>
      </c>
      <c r="P15" s="236"/>
      <c r="Q15" s="236"/>
      <c r="R15" s="236"/>
      <c r="S15" s="236"/>
      <c r="T15" s="236"/>
      <c r="U15" s="236"/>
      <c r="V15" s="236"/>
      <c r="W15" s="236"/>
      <c r="X15" s="236"/>
      <c r="Y15" s="236"/>
      <c r="Z15" s="236"/>
      <c r="AA15" s="236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4"/>
      <c r="BY15" s="237">
        <f t="shared" si="0"/>
        <v>8470000</v>
      </c>
      <c r="BZ15" s="602"/>
      <c r="CA15" s="222"/>
      <c r="CB15" s="237">
        <f t="shared" si="1"/>
        <v>16940000</v>
      </c>
      <c r="CC15" s="602"/>
      <c r="CD15" s="222"/>
      <c r="CE15" s="222">
        <f>CE14/24.5</f>
        <v>2100000</v>
      </c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</row>
    <row r="16" spans="1:138" ht="15.95" hidden="1">
      <c r="A16" s="505"/>
      <c r="B16" s="569" t="s">
        <v>219</v>
      </c>
      <c r="C16" s="592"/>
      <c r="D16" s="242"/>
      <c r="E16" s="243">
        <f t="shared" ref="E16:BX16" si="3">SUM(E5:E15)</f>
        <v>0</v>
      </c>
      <c r="F16" s="243">
        <f t="shared" si="3"/>
        <v>0</v>
      </c>
      <c r="G16" s="243">
        <f t="shared" si="3"/>
        <v>0</v>
      </c>
      <c r="H16" s="243">
        <f t="shared" si="3"/>
        <v>16365002</v>
      </c>
      <c r="I16" s="243">
        <f t="shared" si="3"/>
        <v>6227</v>
      </c>
      <c r="J16" s="243">
        <f t="shared" si="3"/>
        <v>7887690.3535960661</v>
      </c>
      <c r="K16" s="243">
        <f t="shared" si="3"/>
        <v>112020.31965029705</v>
      </c>
      <c r="L16" s="243">
        <f t="shared" si="3"/>
        <v>6628453.0744380169</v>
      </c>
      <c r="M16" s="243">
        <f t="shared" si="3"/>
        <v>22295544.742727272</v>
      </c>
      <c r="N16" s="243">
        <f t="shared" si="3"/>
        <v>8976372.3947107438</v>
      </c>
      <c r="O16" s="243">
        <f t="shared" si="3"/>
        <v>18402372.394710742</v>
      </c>
      <c r="P16" s="243">
        <f t="shared" si="3"/>
        <v>270539.3947107438</v>
      </c>
      <c r="Q16" s="243">
        <f t="shared" si="3"/>
        <v>724714.36571074359</v>
      </c>
      <c r="R16" s="243">
        <f t="shared" si="3"/>
        <v>571539.09338842961</v>
      </c>
      <c r="S16" s="243">
        <f t="shared" si="3"/>
        <v>512018.7847107437</v>
      </c>
      <c r="T16" s="243">
        <f t="shared" si="3"/>
        <v>139394616.94471067</v>
      </c>
      <c r="U16" s="243">
        <f t="shared" si="3"/>
        <v>0</v>
      </c>
      <c r="V16" s="243">
        <f t="shared" si="3"/>
        <v>0</v>
      </c>
      <c r="W16" s="243">
        <f t="shared" si="3"/>
        <v>0</v>
      </c>
      <c r="X16" s="243">
        <f t="shared" si="3"/>
        <v>0</v>
      </c>
      <c r="Y16" s="243">
        <f t="shared" si="3"/>
        <v>0</v>
      </c>
      <c r="Z16" s="243">
        <f t="shared" si="3"/>
        <v>0</v>
      </c>
      <c r="AA16" s="243">
        <f t="shared" si="3"/>
        <v>0</v>
      </c>
      <c r="AB16" s="243">
        <f t="shared" si="3"/>
        <v>0</v>
      </c>
      <c r="AC16" s="243">
        <f t="shared" si="3"/>
        <v>0</v>
      </c>
      <c r="AD16" s="243">
        <f t="shared" si="3"/>
        <v>0</v>
      </c>
      <c r="AE16" s="243">
        <f t="shared" si="3"/>
        <v>0</v>
      </c>
      <c r="AF16" s="243">
        <f t="shared" si="3"/>
        <v>0</v>
      </c>
      <c r="AG16" s="243">
        <f t="shared" si="3"/>
        <v>0</v>
      </c>
      <c r="AH16" s="243">
        <f t="shared" si="3"/>
        <v>0</v>
      </c>
      <c r="AI16" s="243">
        <f t="shared" si="3"/>
        <v>0</v>
      </c>
      <c r="AJ16" s="243">
        <f t="shared" si="3"/>
        <v>0</v>
      </c>
      <c r="AK16" s="243">
        <f t="shared" si="3"/>
        <v>0</v>
      </c>
      <c r="AL16" s="243">
        <f t="shared" si="3"/>
        <v>0</v>
      </c>
      <c r="AM16" s="243">
        <f t="shared" si="3"/>
        <v>0</v>
      </c>
      <c r="AN16" s="243">
        <f t="shared" si="3"/>
        <v>0</v>
      </c>
      <c r="AO16" s="243">
        <f t="shared" si="3"/>
        <v>0</v>
      </c>
      <c r="AP16" s="243">
        <f t="shared" si="3"/>
        <v>0</v>
      </c>
      <c r="AQ16" s="243">
        <f t="shared" si="3"/>
        <v>0</v>
      </c>
      <c r="AR16" s="243">
        <f t="shared" si="3"/>
        <v>0</v>
      </c>
      <c r="AS16" s="243">
        <f t="shared" si="3"/>
        <v>0</v>
      </c>
      <c r="AT16" s="243">
        <f t="shared" si="3"/>
        <v>0</v>
      </c>
      <c r="AU16" s="243">
        <f t="shared" si="3"/>
        <v>0</v>
      </c>
      <c r="AV16" s="243">
        <f t="shared" si="3"/>
        <v>0</v>
      </c>
      <c r="AW16" s="243">
        <f t="shared" si="3"/>
        <v>0</v>
      </c>
      <c r="AX16" s="243">
        <f t="shared" si="3"/>
        <v>0</v>
      </c>
      <c r="AY16" s="243">
        <f t="shared" si="3"/>
        <v>0</v>
      </c>
      <c r="AZ16" s="243">
        <f t="shared" si="3"/>
        <v>0</v>
      </c>
      <c r="BA16" s="243">
        <f t="shared" si="3"/>
        <v>0</v>
      </c>
      <c r="BB16" s="243">
        <f t="shared" si="3"/>
        <v>0</v>
      </c>
      <c r="BC16" s="243">
        <f t="shared" si="3"/>
        <v>0</v>
      </c>
      <c r="BD16" s="243">
        <f t="shared" si="3"/>
        <v>0</v>
      </c>
      <c r="BE16" s="243">
        <f t="shared" si="3"/>
        <v>0</v>
      </c>
      <c r="BF16" s="243">
        <f t="shared" si="3"/>
        <v>0</v>
      </c>
      <c r="BG16" s="243">
        <f t="shared" si="3"/>
        <v>0</v>
      </c>
      <c r="BH16" s="243">
        <f t="shared" si="3"/>
        <v>0</v>
      </c>
      <c r="BI16" s="243">
        <f t="shared" si="3"/>
        <v>0</v>
      </c>
      <c r="BJ16" s="243">
        <f t="shared" si="3"/>
        <v>0</v>
      </c>
      <c r="BK16" s="243">
        <f t="shared" si="3"/>
        <v>0</v>
      </c>
      <c r="BL16" s="243">
        <f t="shared" si="3"/>
        <v>0</v>
      </c>
      <c r="BM16" s="243">
        <f t="shared" si="3"/>
        <v>0</v>
      </c>
      <c r="BN16" s="243">
        <f t="shared" si="3"/>
        <v>0</v>
      </c>
      <c r="BO16" s="243">
        <f t="shared" si="3"/>
        <v>0</v>
      </c>
      <c r="BP16" s="243">
        <f t="shared" si="3"/>
        <v>0</v>
      </c>
      <c r="BQ16" s="243">
        <f t="shared" si="3"/>
        <v>0</v>
      </c>
      <c r="BR16" s="243">
        <f t="shared" si="3"/>
        <v>0</v>
      </c>
      <c r="BS16" s="243">
        <f t="shared" si="3"/>
        <v>0</v>
      </c>
      <c r="BT16" s="243">
        <f t="shared" si="3"/>
        <v>0</v>
      </c>
      <c r="BU16" s="243">
        <f t="shared" si="3"/>
        <v>0</v>
      </c>
      <c r="BV16" s="243">
        <f t="shared" si="3"/>
        <v>0</v>
      </c>
      <c r="BW16" s="243">
        <f t="shared" si="3"/>
        <v>0</v>
      </c>
      <c r="BX16" s="243">
        <f t="shared" si="3"/>
        <v>0</v>
      </c>
      <c r="BY16" s="563">
        <f>BZ5+BZ9+BZ12</f>
        <v>222147110.86306447</v>
      </c>
      <c r="BZ16" s="592"/>
      <c r="CA16" s="222"/>
      <c r="CB16" s="563">
        <f>CC5+CC9+CC12</f>
        <v>727761999.58919346</v>
      </c>
      <c r="CC16" s="59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</row>
    <row r="17" spans="1:138" ht="15.95">
      <c r="A17" s="505"/>
      <c r="B17" s="570" t="s">
        <v>220</v>
      </c>
      <c r="C17" s="244" t="s">
        <v>221</v>
      </c>
      <c r="D17" s="245"/>
      <c r="E17" s="246">
        <f t="shared" ref="E17:BY17" si="4">SUM(E18:E22)</f>
        <v>0</v>
      </c>
      <c r="F17" s="246">
        <f t="shared" si="4"/>
        <v>0</v>
      </c>
      <c r="G17" s="246">
        <f t="shared" si="4"/>
        <v>0</v>
      </c>
      <c r="H17" s="246">
        <f t="shared" si="4"/>
        <v>-10620712</v>
      </c>
      <c r="I17" s="246">
        <f t="shared" si="4"/>
        <v>0</v>
      </c>
      <c r="J17" s="246">
        <f t="shared" si="4"/>
        <v>-808330</v>
      </c>
      <c r="K17" s="246">
        <f t="shared" si="4"/>
        <v>0</v>
      </c>
      <c r="L17" s="246">
        <f t="shared" si="4"/>
        <v>0</v>
      </c>
      <c r="M17" s="246">
        <f t="shared" si="4"/>
        <v>0</v>
      </c>
      <c r="N17" s="246">
        <f t="shared" si="4"/>
        <v>0</v>
      </c>
      <c r="O17" s="246">
        <f t="shared" si="4"/>
        <v>0</v>
      </c>
      <c r="P17" s="246">
        <f t="shared" si="4"/>
        <v>0</v>
      </c>
      <c r="Q17" s="246">
        <f t="shared" si="4"/>
        <v>0</v>
      </c>
      <c r="R17" s="246">
        <f t="shared" si="4"/>
        <v>0</v>
      </c>
      <c r="S17" s="246">
        <f t="shared" si="4"/>
        <v>0</v>
      </c>
      <c r="T17" s="246">
        <f t="shared" si="4"/>
        <v>0</v>
      </c>
      <c r="U17" s="246">
        <f t="shared" si="4"/>
        <v>0</v>
      </c>
      <c r="V17" s="246">
        <f t="shared" si="4"/>
        <v>0</v>
      </c>
      <c r="W17" s="246">
        <f t="shared" si="4"/>
        <v>0</v>
      </c>
      <c r="X17" s="246">
        <f t="shared" si="4"/>
        <v>0</v>
      </c>
      <c r="Y17" s="246">
        <f t="shared" si="4"/>
        <v>0</v>
      </c>
      <c r="Z17" s="246">
        <f t="shared" si="4"/>
        <v>0</v>
      </c>
      <c r="AA17" s="246">
        <f t="shared" si="4"/>
        <v>0</v>
      </c>
      <c r="AB17" s="246">
        <f t="shared" si="4"/>
        <v>0</v>
      </c>
      <c r="AC17" s="246">
        <f t="shared" si="4"/>
        <v>0</v>
      </c>
      <c r="AD17" s="246">
        <f t="shared" si="4"/>
        <v>0</v>
      </c>
      <c r="AE17" s="246">
        <f t="shared" si="4"/>
        <v>0</v>
      </c>
      <c r="AF17" s="246">
        <f t="shared" si="4"/>
        <v>0</v>
      </c>
      <c r="AG17" s="246">
        <f t="shared" si="4"/>
        <v>0</v>
      </c>
      <c r="AH17" s="246">
        <f t="shared" si="4"/>
        <v>0</v>
      </c>
      <c r="AI17" s="246">
        <f t="shared" si="4"/>
        <v>0</v>
      </c>
      <c r="AJ17" s="246">
        <f t="shared" si="4"/>
        <v>0</v>
      </c>
      <c r="AK17" s="246">
        <f t="shared" si="4"/>
        <v>0</v>
      </c>
      <c r="AL17" s="246">
        <f t="shared" si="4"/>
        <v>0</v>
      </c>
      <c r="AM17" s="246">
        <f t="shared" si="4"/>
        <v>0</v>
      </c>
      <c r="AN17" s="246">
        <f t="shared" si="4"/>
        <v>0</v>
      </c>
      <c r="AO17" s="246">
        <f t="shared" si="4"/>
        <v>0</v>
      </c>
      <c r="AP17" s="246">
        <f t="shared" si="4"/>
        <v>0</v>
      </c>
      <c r="AQ17" s="246">
        <f t="shared" si="4"/>
        <v>0</v>
      </c>
      <c r="AR17" s="246">
        <f t="shared" si="4"/>
        <v>0</v>
      </c>
      <c r="AS17" s="246">
        <f t="shared" si="4"/>
        <v>0</v>
      </c>
      <c r="AT17" s="246">
        <f t="shared" si="4"/>
        <v>0</v>
      </c>
      <c r="AU17" s="246">
        <f t="shared" si="4"/>
        <v>0</v>
      </c>
      <c r="AV17" s="246">
        <f t="shared" si="4"/>
        <v>0</v>
      </c>
      <c r="AW17" s="246">
        <f t="shared" si="4"/>
        <v>0</v>
      </c>
      <c r="AX17" s="246">
        <f t="shared" si="4"/>
        <v>0</v>
      </c>
      <c r="AY17" s="246">
        <f t="shared" si="4"/>
        <v>0</v>
      </c>
      <c r="AZ17" s="246">
        <f t="shared" si="4"/>
        <v>0</v>
      </c>
      <c r="BA17" s="246">
        <f t="shared" si="4"/>
        <v>0</v>
      </c>
      <c r="BB17" s="246">
        <f t="shared" si="4"/>
        <v>0</v>
      </c>
      <c r="BC17" s="246">
        <f t="shared" si="4"/>
        <v>0</v>
      </c>
      <c r="BD17" s="246">
        <f t="shared" si="4"/>
        <v>0</v>
      </c>
      <c r="BE17" s="246">
        <f t="shared" si="4"/>
        <v>0</v>
      </c>
      <c r="BF17" s="246">
        <f t="shared" si="4"/>
        <v>0</v>
      </c>
      <c r="BG17" s="246">
        <f t="shared" si="4"/>
        <v>0</v>
      </c>
      <c r="BH17" s="246">
        <f t="shared" si="4"/>
        <v>0</v>
      </c>
      <c r="BI17" s="246">
        <f t="shared" si="4"/>
        <v>0</v>
      </c>
      <c r="BJ17" s="246">
        <f t="shared" si="4"/>
        <v>0</v>
      </c>
      <c r="BK17" s="246">
        <f t="shared" si="4"/>
        <v>0</v>
      </c>
      <c r="BL17" s="246">
        <f t="shared" si="4"/>
        <v>0</v>
      </c>
      <c r="BM17" s="246">
        <f t="shared" si="4"/>
        <v>0</v>
      </c>
      <c r="BN17" s="246">
        <f t="shared" si="4"/>
        <v>0</v>
      </c>
      <c r="BO17" s="246">
        <f t="shared" si="4"/>
        <v>0</v>
      </c>
      <c r="BP17" s="246">
        <f t="shared" si="4"/>
        <v>0</v>
      </c>
      <c r="BQ17" s="246">
        <f t="shared" si="4"/>
        <v>0</v>
      </c>
      <c r="BR17" s="246">
        <f t="shared" si="4"/>
        <v>0</v>
      </c>
      <c r="BS17" s="246">
        <f t="shared" si="4"/>
        <v>0</v>
      </c>
      <c r="BT17" s="246">
        <f t="shared" si="4"/>
        <v>0</v>
      </c>
      <c r="BU17" s="246">
        <f t="shared" si="4"/>
        <v>0</v>
      </c>
      <c r="BV17" s="246">
        <f t="shared" si="4"/>
        <v>0</v>
      </c>
      <c r="BW17" s="246">
        <f t="shared" si="4"/>
        <v>0</v>
      </c>
      <c r="BX17" s="246">
        <f t="shared" si="4"/>
        <v>0</v>
      </c>
      <c r="BY17" s="247">
        <f t="shared" si="4"/>
        <v>-11429042</v>
      </c>
      <c r="BZ17" s="562" t="e">
        <f>BY17+BY23+BY26+BY34+BY37+BY49+BY55+BY63+BY87</f>
        <v>#REF!</v>
      </c>
      <c r="CA17" s="222"/>
      <c r="CB17" s="248"/>
      <c r="CC17" s="56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</row>
    <row r="18" spans="1:138" ht="15.95" outlineLevel="1">
      <c r="A18" s="505"/>
      <c r="B18" s="600"/>
      <c r="C18" s="249" t="s">
        <v>336</v>
      </c>
      <c r="D18" s="250" t="s">
        <v>223</v>
      </c>
      <c r="E18" s="251"/>
      <c r="F18" s="251"/>
      <c r="G18" s="251"/>
      <c r="H18" s="252">
        <f>-8458812-2161900</f>
        <v>-10620712</v>
      </c>
      <c r="I18" s="252"/>
      <c r="J18" s="252">
        <f>-657293-151037</f>
        <v>-808330</v>
      </c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3">
        <f t="shared" ref="BY18:BY22" si="5">SUM(E18:BX18)</f>
        <v>-11429042</v>
      </c>
      <c r="BZ18" s="597"/>
      <c r="CA18" s="222"/>
      <c r="CB18" s="248"/>
      <c r="CC18" s="597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</row>
    <row r="19" spans="1:138" ht="15.95" outlineLevel="1">
      <c r="A19" s="505"/>
      <c r="B19" s="600"/>
      <c r="C19" s="249" t="s">
        <v>224</v>
      </c>
      <c r="D19" s="250" t="s">
        <v>223</v>
      </c>
      <c r="E19" s="251"/>
      <c r="F19" s="251"/>
      <c r="G19" s="251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3">
        <f t="shared" si="5"/>
        <v>0</v>
      </c>
      <c r="BZ19" s="597"/>
      <c r="CA19" s="222"/>
      <c r="CB19" s="248"/>
      <c r="CC19" s="597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</row>
    <row r="20" spans="1:138" ht="15.95" outlineLevel="1">
      <c r="A20" s="505"/>
      <c r="B20" s="600"/>
      <c r="C20" s="249" t="s">
        <v>225</v>
      </c>
      <c r="D20" s="250" t="s">
        <v>223</v>
      </c>
      <c r="E20" s="251"/>
      <c r="F20" s="251"/>
      <c r="G20" s="251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3">
        <f t="shared" si="5"/>
        <v>0</v>
      </c>
      <c r="BZ20" s="597"/>
      <c r="CA20" s="222"/>
      <c r="CB20" s="248"/>
      <c r="CC20" s="597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</row>
    <row r="21" spans="1:138" ht="15.95" outlineLevel="1">
      <c r="A21" s="505"/>
      <c r="B21" s="600"/>
      <c r="C21" s="249" t="s">
        <v>226</v>
      </c>
      <c r="D21" s="250" t="s">
        <v>223</v>
      </c>
      <c r="E21" s="251"/>
      <c r="F21" s="251"/>
      <c r="G21" s="251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3">
        <f t="shared" si="5"/>
        <v>0</v>
      </c>
      <c r="BZ21" s="597"/>
      <c r="CA21" s="222"/>
      <c r="CB21" s="248"/>
      <c r="CC21" s="597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</row>
    <row r="22" spans="1:138" ht="15.95" outlineLevel="1">
      <c r="A22" s="505"/>
      <c r="B22" s="600"/>
      <c r="C22" s="249" t="s">
        <v>227</v>
      </c>
      <c r="D22" s="254" t="s">
        <v>223</v>
      </c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3">
        <f t="shared" si="5"/>
        <v>0</v>
      </c>
      <c r="BZ22" s="597"/>
      <c r="CA22" s="222"/>
      <c r="CB22" s="248"/>
      <c r="CC22" s="597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</row>
    <row r="23" spans="1:138" ht="15.95">
      <c r="A23" s="505"/>
      <c r="B23" s="600"/>
      <c r="C23" s="244" t="s">
        <v>228</v>
      </c>
      <c r="D23" s="245"/>
      <c r="E23" s="246">
        <f t="shared" ref="E23:BY23" si="6">SUM(E24:E25)</f>
        <v>0</v>
      </c>
      <c r="F23" s="246">
        <f t="shared" si="6"/>
        <v>0</v>
      </c>
      <c r="G23" s="246">
        <f t="shared" si="6"/>
        <v>0</v>
      </c>
      <c r="H23" s="246">
        <f t="shared" si="6"/>
        <v>0</v>
      </c>
      <c r="I23" s="246">
        <f t="shared" si="6"/>
        <v>-302500</v>
      </c>
      <c r="J23" s="246">
        <f t="shared" si="6"/>
        <v>0</v>
      </c>
      <c r="K23" s="246">
        <f t="shared" si="6"/>
        <v>-367549.6</v>
      </c>
      <c r="L23" s="246">
        <f t="shared" si="6"/>
        <v>0</v>
      </c>
      <c r="M23" s="246">
        <f t="shared" si="6"/>
        <v>0</v>
      </c>
      <c r="N23" s="246">
        <f t="shared" si="6"/>
        <v>0</v>
      </c>
      <c r="O23" s="246">
        <f t="shared" si="6"/>
        <v>0</v>
      </c>
      <c r="P23" s="246">
        <f t="shared" si="6"/>
        <v>0</v>
      </c>
      <c r="Q23" s="246">
        <f t="shared" si="6"/>
        <v>0</v>
      </c>
      <c r="R23" s="246">
        <f t="shared" si="6"/>
        <v>0</v>
      </c>
      <c r="S23" s="246">
        <f t="shared" si="6"/>
        <v>0</v>
      </c>
      <c r="T23" s="246">
        <f t="shared" si="6"/>
        <v>0</v>
      </c>
      <c r="U23" s="246">
        <f t="shared" si="6"/>
        <v>0</v>
      </c>
      <c r="V23" s="246">
        <f t="shared" si="6"/>
        <v>0</v>
      </c>
      <c r="W23" s="246">
        <f t="shared" si="6"/>
        <v>0</v>
      </c>
      <c r="X23" s="246">
        <f t="shared" si="6"/>
        <v>0</v>
      </c>
      <c r="Y23" s="246">
        <f t="shared" si="6"/>
        <v>0</v>
      </c>
      <c r="Z23" s="246">
        <f t="shared" si="6"/>
        <v>0</v>
      </c>
      <c r="AA23" s="246">
        <f t="shared" si="6"/>
        <v>0</v>
      </c>
      <c r="AB23" s="246">
        <f t="shared" si="6"/>
        <v>0</v>
      </c>
      <c r="AC23" s="246">
        <f t="shared" si="6"/>
        <v>0</v>
      </c>
      <c r="AD23" s="246">
        <f t="shared" si="6"/>
        <v>0</v>
      </c>
      <c r="AE23" s="246">
        <f t="shared" si="6"/>
        <v>0</v>
      </c>
      <c r="AF23" s="246">
        <f t="shared" si="6"/>
        <v>0</v>
      </c>
      <c r="AG23" s="246">
        <f t="shared" si="6"/>
        <v>0</v>
      </c>
      <c r="AH23" s="246">
        <f t="shared" si="6"/>
        <v>0</v>
      </c>
      <c r="AI23" s="246">
        <f t="shared" si="6"/>
        <v>0</v>
      </c>
      <c r="AJ23" s="246">
        <f t="shared" si="6"/>
        <v>0</v>
      </c>
      <c r="AK23" s="246">
        <f t="shared" si="6"/>
        <v>0</v>
      </c>
      <c r="AL23" s="246">
        <f t="shared" si="6"/>
        <v>0</v>
      </c>
      <c r="AM23" s="246">
        <f t="shared" si="6"/>
        <v>0</v>
      </c>
      <c r="AN23" s="246">
        <f t="shared" si="6"/>
        <v>0</v>
      </c>
      <c r="AO23" s="246">
        <f t="shared" si="6"/>
        <v>0</v>
      </c>
      <c r="AP23" s="246">
        <f t="shared" si="6"/>
        <v>0</v>
      </c>
      <c r="AQ23" s="246">
        <f t="shared" si="6"/>
        <v>0</v>
      </c>
      <c r="AR23" s="246">
        <f t="shared" si="6"/>
        <v>0</v>
      </c>
      <c r="AS23" s="246">
        <f t="shared" si="6"/>
        <v>0</v>
      </c>
      <c r="AT23" s="246">
        <f t="shared" si="6"/>
        <v>0</v>
      </c>
      <c r="AU23" s="246">
        <f t="shared" si="6"/>
        <v>0</v>
      </c>
      <c r="AV23" s="246">
        <f t="shared" si="6"/>
        <v>0</v>
      </c>
      <c r="AW23" s="246">
        <f t="shared" si="6"/>
        <v>0</v>
      </c>
      <c r="AX23" s="246">
        <f t="shared" si="6"/>
        <v>0</v>
      </c>
      <c r="AY23" s="246">
        <f t="shared" si="6"/>
        <v>0</v>
      </c>
      <c r="AZ23" s="246">
        <f t="shared" si="6"/>
        <v>0</v>
      </c>
      <c r="BA23" s="246">
        <f t="shared" si="6"/>
        <v>0</v>
      </c>
      <c r="BB23" s="246">
        <f t="shared" si="6"/>
        <v>0</v>
      </c>
      <c r="BC23" s="246">
        <f t="shared" si="6"/>
        <v>0</v>
      </c>
      <c r="BD23" s="246">
        <f t="shared" si="6"/>
        <v>0</v>
      </c>
      <c r="BE23" s="246">
        <f t="shared" si="6"/>
        <v>0</v>
      </c>
      <c r="BF23" s="246">
        <f t="shared" si="6"/>
        <v>0</v>
      </c>
      <c r="BG23" s="246">
        <f t="shared" si="6"/>
        <v>0</v>
      </c>
      <c r="BH23" s="246">
        <f t="shared" si="6"/>
        <v>0</v>
      </c>
      <c r="BI23" s="246">
        <f t="shared" si="6"/>
        <v>0</v>
      </c>
      <c r="BJ23" s="246">
        <f t="shared" si="6"/>
        <v>0</v>
      </c>
      <c r="BK23" s="246">
        <f t="shared" si="6"/>
        <v>0</v>
      </c>
      <c r="BL23" s="246">
        <f t="shared" si="6"/>
        <v>0</v>
      </c>
      <c r="BM23" s="246">
        <f t="shared" si="6"/>
        <v>0</v>
      </c>
      <c r="BN23" s="246">
        <f t="shared" si="6"/>
        <v>0</v>
      </c>
      <c r="BO23" s="246">
        <f t="shared" si="6"/>
        <v>0</v>
      </c>
      <c r="BP23" s="246">
        <f t="shared" si="6"/>
        <v>0</v>
      </c>
      <c r="BQ23" s="246">
        <f t="shared" si="6"/>
        <v>0</v>
      </c>
      <c r="BR23" s="246">
        <f t="shared" si="6"/>
        <v>0</v>
      </c>
      <c r="BS23" s="246">
        <f t="shared" si="6"/>
        <v>0</v>
      </c>
      <c r="BT23" s="246">
        <f t="shared" si="6"/>
        <v>0</v>
      </c>
      <c r="BU23" s="246">
        <f t="shared" si="6"/>
        <v>0</v>
      </c>
      <c r="BV23" s="246">
        <f t="shared" si="6"/>
        <v>0</v>
      </c>
      <c r="BW23" s="246">
        <f t="shared" si="6"/>
        <v>0</v>
      </c>
      <c r="BX23" s="246">
        <f t="shared" si="6"/>
        <v>0</v>
      </c>
      <c r="BY23" s="247">
        <f t="shared" si="6"/>
        <v>-670049.6</v>
      </c>
      <c r="BZ23" s="597"/>
      <c r="CA23" s="222"/>
      <c r="CB23" s="248"/>
      <c r="CC23" s="597"/>
      <c r="CD23" s="222"/>
      <c r="CE23" s="222">
        <f>7000000*1.21</f>
        <v>8470000</v>
      </c>
      <c r="CF23" s="222"/>
      <c r="CG23" s="222"/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</row>
    <row r="24" spans="1:138" ht="15.95" outlineLevel="1">
      <c r="A24" s="505"/>
      <c r="B24" s="600"/>
      <c r="C24" s="249" t="s">
        <v>229</v>
      </c>
      <c r="D24" s="254" t="s">
        <v>223</v>
      </c>
      <c r="E24" s="255"/>
      <c r="F24" s="255"/>
      <c r="G24" s="255"/>
      <c r="H24" s="256"/>
      <c r="I24" s="256">
        <f>-302500</f>
        <v>-302500</v>
      </c>
      <c r="J24" s="256"/>
      <c r="K24" s="256">
        <f>-152500*1.21</f>
        <v>-184525</v>
      </c>
      <c r="L24" s="256"/>
      <c r="M24" s="256"/>
      <c r="N24" s="256"/>
      <c r="O24" s="256"/>
      <c r="P24" s="256"/>
      <c r="Q24" s="256"/>
      <c r="R24" s="256"/>
      <c r="S24" s="256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7">
        <f t="shared" ref="BY24:BY25" si="7">SUM(E24:BX24)</f>
        <v>-487025</v>
      </c>
      <c r="BZ24" s="597"/>
      <c r="CA24" s="222"/>
      <c r="CB24" s="248"/>
      <c r="CC24" s="597"/>
      <c r="CD24" s="222"/>
      <c r="CE24" s="222"/>
      <c r="CF24" s="222"/>
      <c r="CG24" s="222"/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</row>
    <row r="25" spans="1:138" ht="15.95" outlineLevel="1">
      <c r="A25" s="505"/>
      <c r="B25" s="600"/>
      <c r="C25" s="249" t="s">
        <v>230</v>
      </c>
      <c r="D25" s="254" t="s">
        <v>223</v>
      </c>
      <c r="E25" s="255"/>
      <c r="F25" s="255"/>
      <c r="G25" s="255"/>
      <c r="H25" s="256"/>
      <c r="I25" s="256"/>
      <c r="J25" s="256"/>
      <c r="K25" s="256">
        <f>-Businessplan_prodej!$F$22*1.21</f>
        <v>-183024.6</v>
      </c>
      <c r="L25" s="256"/>
      <c r="M25" s="256"/>
      <c r="N25" s="256"/>
      <c r="O25" s="256"/>
      <c r="P25" s="256"/>
      <c r="Q25" s="256"/>
      <c r="R25" s="256"/>
      <c r="S25" s="256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7">
        <f t="shared" si="7"/>
        <v>-183024.6</v>
      </c>
      <c r="BZ25" s="597"/>
      <c r="CA25" s="222"/>
      <c r="CB25" s="248"/>
      <c r="CC25" s="597"/>
      <c r="CD25" s="222"/>
      <c r="CE25" s="222"/>
      <c r="CF25" s="222"/>
      <c r="CG25" s="222"/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</row>
    <row r="26" spans="1:138" ht="15.95">
      <c r="A26" s="505"/>
      <c r="B26" s="600"/>
      <c r="C26" s="244" t="s">
        <v>231</v>
      </c>
      <c r="D26" s="245"/>
      <c r="E26" s="246">
        <f t="shared" ref="E26:BX26" si="8">SUM(E27:E33)</f>
        <v>0</v>
      </c>
      <c r="F26" s="246">
        <f t="shared" si="8"/>
        <v>0</v>
      </c>
      <c r="G26" s="246">
        <f t="shared" si="8"/>
        <v>0</v>
      </c>
      <c r="H26" s="246">
        <f t="shared" si="8"/>
        <v>-2000</v>
      </c>
      <c r="I26" s="246">
        <f t="shared" si="8"/>
        <v>-1081909</v>
      </c>
      <c r="J26" s="246">
        <f t="shared" si="8"/>
        <v>0</v>
      </c>
      <c r="K26" s="246">
        <f t="shared" si="8"/>
        <v>-7031181</v>
      </c>
      <c r="L26" s="246">
        <f t="shared" si="8"/>
        <v>-7899681</v>
      </c>
      <c r="M26" s="246">
        <f t="shared" si="8"/>
        <v>-21093542</v>
      </c>
      <c r="N26" s="246">
        <f t="shared" si="8"/>
        <v>-8788976</v>
      </c>
      <c r="O26" s="246">
        <f t="shared" si="8"/>
        <v>-8788977</v>
      </c>
      <c r="P26" s="246">
        <f t="shared" si="8"/>
        <v>-5859318</v>
      </c>
      <c r="Q26" s="246">
        <f t="shared" si="8"/>
        <v>0</v>
      </c>
      <c r="R26" s="246">
        <f t="shared" si="8"/>
        <v>0</v>
      </c>
      <c r="S26" s="246">
        <f t="shared" si="8"/>
        <v>0</v>
      </c>
      <c r="T26" s="246">
        <f t="shared" si="8"/>
        <v>0</v>
      </c>
      <c r="U26" s="246">
        <f t="shared" si="8"/>
        <v>0</v>
      </c>
      <c r="V26" s="246">
        <f t="shared" si="8"/>
        <v>0</v>
      </c>
      <c r="W26" s="246">
        <f t="shared" si="8"/>
        <v>0</v>
      </c>
      <c r="X26" s="246">
        <f t="shared" si="8"/>
        <v>0</v>
      </c>
      <c r="Y26" s="246">
        <f t="shared" si="8"/>
        <v>0</v>
      </c>
      <c r="Z26" s="246">
        <f t="shared" si="8"/>
        <v>0</v>
      </c>
      <c r="AA26" s="246">
        <f t="shared" si="8"/>
        <v>0</v>
      </c>
      <c r="AB26" s="246">
        <f t="shared" si="8"/>
        <v>0</v>
      </c>
      <c r="AC26" s="246">
        <f t="shared" si="8"/>
        <v>0</v>
      </c>
      <c r="AD26" s="246">
        <f t="shared" si="8"/>
        <v>0</v>
      </c>
      <c r="AE26" s="246">
        <f t="shared" si="8"/>
        <v>0</v>
      </c>
      <c r="AF26" s="246">
        <f t="shared" si="8"/>
        <v>0</v>
      </c>
      <c r="AG26" s="246">
        <f t="shared" si="8"/>
        <v>0</v>
      </c>
      <c r="AH26" s="246">
        <f t="shared" si="8"/>
        <v>0</v>
      </c>
      <c r="AI26" s="246">
        <f t="shared" si="8"/>
        <v>0</v>
      </c>
      <c r="AJ26" s="246">
        <f t="shared" si="8"/>
        <v>0</v>
      </c>
      <c r="AK26" s="246">
        <f t="shared" si="8"/>
        <v>0</v>
      </c>
      <c r="AL26" s="246">
        <f t="shared" si="8"/>
        <v>0</v>
      </c>
      <c r="AM26" s="246">
        <f t="shared" si="8"/>
        <v>0</v>
      </c>
      <c r="AN26" s="246">
        <f t="shared" si="8"/>
        <v>0</v>
      </c>
      <c r="AO26" s="246">
        <f t="shared" si="8"/>
        <v>0</v>
      </c>
      <c r="AP26" s="246">
        <f t="shared" si="8"/>
        <v>0</v>
      </c>
      <c r="AQ26" s="246">
        <f t="shared" si="8"/>
        <v>0</v>
      </c>
      <c r="AR26" s="246">
        <f t="shared" si="8"/>
        <v>0</v>
      </c>
      <c r="AS26" s="246">
        <f t="shared" si="8"/>
        <v>0</v>
      </c>
      <c r="AT26" s="246">
        <f t="shared" si="8"/>
        <v>0</v>
      </c>
      <c r="AU26" s="246">
        <f t="shared" si="8"/>
        <v>0</v>
      </c>
      <c r="AV26" s="246">
        <f t="shared" si="8"/>
        <v>0</v>
      </c>
      <c r="AW26" s="246">
        <f t="shared" si="8"/>
        <v>0</v>
      </c>
      <c r="AX26" s="246">
        <f t="shared" si="8"/>
        <v>0</v>
      </c>
      <c r="AY26" s="246">
        <f t="shared" si="8"/>
        <v>0</v>
      </c>
      <c r="AZ26" s="246">
        <f t="shared" si="8"/>
        <v>0</v>
      </c>
      <c r="BA26" s="246">
        <f t="shared" si="8"/>
        <v>0</v>
      </c>
      <c r="BB26" s="246">
        <f t="shared" si="8"/>
        <v>0</v>
      </c>
      <c r="BC26" s="246">
        <f t="shared" si="8"/>
        <v>0</v>
      </c>
      <c r="BD26" s="246">
        <f t="shared" si="8"/>
        <v>0</v>
      </c>
      <c r="BE26" s="246">
        <f t="shared" si="8"/>
        <v>0</v>
      </c>
      <c r="BF26" s="246">
        <f t="shared" si="8"/>
        <v>0</v>
      </c>
      <c r="BG26" s="246">
        <f t="shared" si="8"/>
        <v>0</v>
      </c>
      <c r="BH26" s="246">
        <f t="shared" si="8"/>
        <v>0</v>
      </c>
      <c r="BI26" s="246">
        <f t="shared" si="8"/>
        <v>0</v>
      </c>
      <c r="BJ26" s="246">
        <f t="shared" si="8"/>
        <v>0</v>
      </c>
      <c r="BK26" s="246">
        <f t="shared" si="8"/>
        <v>0</v>
      </c>
      <c r="BL26" s="246">
        <f t="shared" si="8"/>
        <v>0</v>
      </c>
      <c r="BM26" s="246">
        <f t="shared" si="8"/>
        <v>0</v>
      </c>
      <c r="BN26" s="246">
        <f t="shared" si="8"/>
        <v>0</v>
      </c>
      <c r="BO26" s="246">
        <f t="shared" si="8"/>
        <v>0</v>
      </c>
      <c r="BP26" s="246">
        <f t="shared" si="8"/>
        <v>0</v>
      </c>
      <c r="BQ26" s="246">
        <f t="shared" si="8"/>
        <v>0</v>
      </c>
      <c r="BR26" s="246">
        <f t="shared" si="8"/>
        <v>0</v>
      </c>
      <c r="BS26" s="246">
        <f t="shared" si="8"/>
        <v>0</v>
      </c>
      <c r="BT26" s="246">
        <f t="shared" si="8"/>
        <v>0</v>
      </c>
      <c r="BU26" s="246">
        <f t="shared" si="8"/>
        <v>0</v>
      </c>
      <c r="BV26" s="246">
        <f t="shared" si="8"/>
        <v>0</v>
      </c>
      <c r="BW26" s="246">
        <f t="shared" si="8"/>
        <v>0</v>
      </c>
      <c r="BX26" s="246">
        <f t="shared" si="8"/>
        <v>0</v>
      </c>
      <c r="BY26" s="248">
        <f>SUM(BY27:BY33)</f>
        <v>-60545584</v>
      </c>
      <c r="BZ26" s="597"/>
      <c r="CA26" s="222"/>
      <c r="CB26" s="248"/>
      <c r="CC26" s="597"/>
      <c r="CD26" s="222"/>
      <c r="CE26" s="222"/>
      <c r="CF26" s="222"/>
      <c r="CG26" s="222"/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</row>
    <row r="27" spans="1:138" ht="15.95" outlineLevel="1">
      <c r="A27" s="505"/>
      <c r="B27" s="600"/>
      <c r="C27" s="249" t="s">
        <v>232</v>
      </c>
      <c r="D27" s="250" t="s">
        <v>223</v>
      </c>
      <c r="E27" s="251"/>
      <c r="F27" s="251"/>
      <c r="G27" s="251"/>
      <c r="H27" s="252"/>
      <c r="I27" s="252"/>
      <c r="J27" s="252"/>
      <c r="K27" s="252">
        <f t="shared" ref="K27:L27" si="9">-7031181</f>
        <v>-7031181</v>
      </c>
      <c r="L27" s="252">
        <f t="shared" si="9"/>
        <v>-7031181</v>
      </c>
      <c r="M27" s="252">
        <f>-6445249-5859317-5859317-2929659</f>
        <v>-21093542</v>
      </c>
      <c r="N27" s="252">
        <f>-2929659-5859317</f>
        <v>-8788976</v>
      </c>
      <c r="O27" s="252">
        <f>-2929659-2929659-2929659</f>
        <v>-8788977</v>
      </c>
      <c r="P27" s="252">
        <f>-2929659-2929659</f>
        <v>-5859318</v>
      </c>
      <c r="Q27" s="252"/>
      <c r="R27" s="252"/>
      <c r="S27" s="252"/>
      <c r="T27" s="252"/>
      <c r="U27" s="251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60"/>
      <c r="BY27" s="261">
        <f t="shared" ref="BY27:BY33" si="10">SUM(E27:BX27)</f>
        <v>-58593175</v>
      </c>
      <c r="BZ27" s="597"/>
      <c r="CA27" s="222"/>
      <c r="CB27" s="248"/>
      <c r="CC27" s="597"/>
      <c r="CD27" s="222"/>
      <c r="CE27" s="222"/>
      <c r="CF27" s="222"/>
      <c r="CG27" s="222"/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</row>
    <row r="28" spans="1:138" ht="15.95" outlineLevel="1">
      <c r="A28" s="505"/>
      <c r="B28" s="600"/>
      <c r="C28" s="249" t="s">
        <v>233</v>
      </c>
      <c r="D28" s="250" t="s">
        <v>223</v>
      </c>
      <c r="E28" s="251"/>
      <c r="F28" s="251"/>
      <c r="G28" s="251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60"/>
      <c r="BY28" s="262">
        <f t="shared" si="10"/>
        <v>0</v>
      </c>
      <c r="BZ28" s="597"/>
      <c r="CA28" s="222"/>
      <c r="CB28" s="248"/>
      <c r="CC28" s="597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</row>
    <row r="29" spans="1:138" ht="15.95" outlineLevel="1">
      <c r="A29" s="505"/>
      <c r="B29" s="600"/>
      <c r="C29" s="249" t="s">
        <v>234</v>
      </c>
      <c r="D29" s="250" t="s">
        <v>223</v>
      </c>
      <c r="E29" s="251"/>
      <c r="F29" s="251"/>
      <c r="G29" s="251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60"/>
      <c r="BY29" s="262">
        <f t="shared" si="10"/>
        <v>0</v>
      </c>
      <c r="BZ29" s="597"/>
      <c r="CA29" s="222"/>
      <c r="CB29" s="248"/>
      <c r="CC29" s="597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</row>
    <row r="30" spans="1:138" ht="15.95" outlineLevel="1">
      <c r="A30" s="505"/>
      <c r="B30" s="600"/>
      <c r="C30" s="249" t="s">
        <v>235</v>
      </c>
      <c r="D30" s="250" t="s">
        <v>223</v>
      </c>
      <c r="E30" s="251"/>
      <c r="F30" s="251"/>
      <c r="G30" s="251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60"/>
      <c r="BY30" s="262">
        <f t="shared" si="10"/>
        <v>0</v>
      </c>
      <c r="BZ30" s="597"/>
      <c r="CA30" s="222"/>
      <c r="CB30" s="248"/>
      <c r="CC30" s="597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</row>
    <row r="31" spans="1:138" ht="15.95" outlineLevel="1">
      <c r="A31" s="505"/>
      <c r="B31" s="600"/>
      <c r="C31" s="249" t="s">
        <v>236</v>
      </c>
      <c r="D31" s="250" t="s">
        <v>223</v>
      </c>
      <c r="E31" s="251"/>
      <c r="F31" s="251"/>
      <c r="G31" s="251"/>
      <c r="H31" s="252">
        <f>-2420/1.21</f>
        <v>-2000</v>
      </c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60"/>
      <c r="BY31" s="262">
        <f t="shared" si="10"/>
        <v>-2000</v>
      </c>
      <c r="BZ31" s="597"/>
      <c r="CA31" s="222"/>
      <c r="CB31" s="248"/>
      <c r="CC31" s="597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</row>
    <row r="32" spans="1:138" ht="15.95" outlineLevel="1">
      <c r="A32" s="505"/>
      <c r="B32" s="600"/>
      <c r="C32" s="263" t="s">
        <v>237</v>
      </c>
      <c r="D32" s="250" t="s">
        <v>223</v>
      </c>
      <c r="E32" s="251"/>
      <c r="F32" s="251"/>
      <c r="G32" s="251"/>
      <c r="H32" s="252"/>
      <c r="I32" s="252">
        <f>-1081909</f>
        <v>-1081909</v>
      </c>
      <c r="J32" s="252"/>
      <c r="K32" s="252"/>
      <c r="L32" s="252">
        <f>-868500</f>
        <v>-868500</v>
      </c>
      <c r="M32" s="252"/>
      <c r="N32" s="252"/>
      <c r="O32" s="252"/>
      <c r="P32" s="252"/>
      <c r="Q32" s="252"/>
      <c r="R32" s="252"/>
      <c r="S32" s="252"/>
      <c r="T32" s="252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60"/>
      <c r="BY32" s="262">
        <f t="shared" si="10"/>
        <v>-1950409</v>
      </c>
      <c r="BZ32" s="597"/>
      <c r="CA32" s="222"/>
      <c r="CB32" s="248"/>
      <c r="CC32" s="597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</row>
    <row r="33" spans="1:138" ht="15.95" outlineLevel="1">
      <c r="A33" s="505"/>
      <c r="B33" s="600"/>
      <c r="C33" s="249" t="s">
        <v>238</v>
      </c>
      <c r="D33" s="254" t="s">
        <v>223</v>
      </c>
      <c r="E33" s="251"/>
      <c r="F33" s="251"/>
      <c r="G33" s="251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60"/>
      <c r="BY33" s="264">
        <f t="shared" si="10"/>
        <v>0</v>
      </c>
      <c r="BZ33" s="597"/>
      <c r="CA33" s="222"/>
      <c r="CB33" s="248"/>
      <c r="CC33" s="597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</row>
    <row r="34" spans="1:138" ht="15.95" collapsed="1">
      <c r="A34" s="505"/>
      <c r="B34" s="600"/>
      <c r="C34" s="244" t="s">
        <v>239</v>
      </c>
      <c r="D34" s="245"/>
      <c r="E34" s="246">
        <f t="shared" ref="E34:BX34" si="11">SUM(E35:E36)</f>
        <v>0</v>
      </c>
      <c r="F34" s="246">
        <f t="shared" si="11"/>
        <v>0</v>
      </c>
      <c r="G34" s="246">
        <f t="shared" si="11"/>
        <v>0</v>
      </c>
      <c r="H34" s="246">
        <f t="shared" si="11"/>
        <v>0</v>
      </c>
      <c r="I34" s="246">
        <f t="shared" si="11"/>
        <v>0</v>
      </c>
      <c r="J34" s="246">
        <f t="shared" si="11"/>
        <v>0</v>
      </c>
      <c r="K34" s="246">
        <f t="shared" si="11"/>
        <v>0</v>
      </c>
      <c r="L34" s="246">
        <f t="shared" si="11"/>
        <v>0</v>
      </c>
      <c r="M34" s="246">
        <f t="shared" si="11"/>
        <v>0</v>
      </c>
      <c r="N34" s="246">
        <f t="shared" si="11"/>
        <v>0</v>
      </c>
      <c r="O34" s="246">
        <f t="shared" si="11"/>
        <v>0</v>
      </c>
      <c r="P34" s="246">
        <f t="shared" si="11"/>
        <v>0</v>
      </c>
      <c r="Q34" s="246">
        <f t="shared" si="11"/>
        <v>0</v>
      </c>
      <c r="R34" s="246">
        <f t="shared" si="11"/>
        <v>0</v>
      </c>
      <c r="S34" s="246">
        <f t="shared" si="11"/>
        <v>0</v>
      </c>
      <c r="T34" s="246">
        <f t="shared" si="11"/>
        <v>0</v>
      </c>
      <c r="U34" s="246">
        <f t="shared" si="11"/>
        <v>0</v>
      </c>
      <c r="V34" s="246">
        <f t="shared" si="11"/>
        <v>0</v>
      </c>
      <c r="W34" s="246">
        <f t="shared" si="11"/>
        <v>0</v>
      </c>
      <c r="X34" s="246">
        <f t="shared" si="11"/>
        <v>0</v>
      </c>
      <c r="Y34" s="246">
        <f t="shared" si="11"/>
        <v>0</v>
      </c>
      <c r="Z34" s="246">
        <f t="shared" si="11"/>
        <v>0</v>
      </c>
      <c r="AA34" s="246">
        <f t="shared" si="11"/>
        <v>0</v>
      </c>
      <c r="AB34" s="246">
        <f t="shared" si="11"/>
        <v>0</v>
      </c>
      <c r="AC34" s="246">
        <f t="shared" si="11"/>
        <v>0</v>
      </c>
      <c r="AD34" s="246">
        <f t="shared" si="11"/>
        <v>0</v>
      </c>
      <c r="AE34" s="246">
        <f t="shared" si="11"/>
        <v>0</v>
      </c>
      <c r="AF34" s="246">
        <f t="shared" si="11"/>
        <v>0</v>
      </c>
      <c r="AG34" s="246">
        <f t="shared" si="11"/>
        <v>0</v>
      </c>
      <c r="AH34" s="246">
        <f t="shared" si="11"/>
        <v>0</v>
      </c>
      <c r="AI34" s="246">
        <f t="shared" si="11"/>
        <v>0</v>
      </c>
      <c r="AJ34" s="246">
        <f t="shared" si="11"/>
        <v>0</v>
      </c>
      <c r="AK34" s="246">
        <f t="shared" si="11"/>
        <v>0</v>
      </c>
      <c r="AL34" s="246">
        <f t="shared" si="11"/>
        <v>0</v>
      </c>
      <c r="AM34" s="246">
        <f t="shared" si="11"/>
        <v>0</v>
      </c>
      <c r="AN34" s="246">
        <f t="shared" si="11"/>
        <v>0</v>
      </c>
      <c r="AO34" s="246">
        <f t="shared" si="11"/>
        <v>0</v>
      </c>
      <c r="AP34" s="246">
        <f t="shared" si="11"/>
        <v>0</v>
      </c>
      <c r="AQ34" s="246">
        <f t="shared" si="11"/>
        <v>0</v>
      </c>
      <c r="AR34" s="246">
        <f t="shared" si="11"/>
        <v>0</v>
      </c>
      <c r="AS34" s="246">
        <f t="shared" si="11"/>
        <v>0</v>
      </c>
      <c r="AT34" s="246">
        <f t="shared" si="11"/>
        <v>0</v>
      </c>
      <c r="AU34" s="246">
        <f t="shared" si="11"/>
        <v>0</v>
      </c>
      <c r="AV34" s="246">
        <f t="shared" si="11"/>
        <v>0</v>
      </c>
      <c r="AW34" s="246">
        <f t="shared" si="11"/>
        <v>0</v>
      </c>
      <c r="AX34" s="246">
        <f t="shared" si="11"/>
        <v>0</v>
      </c>
      <c r="AY34" s="246">
        <f t="shared" si="11"/>
        <v>0</v>
      </c>
      <c r="AZ34" s="246">
        <f t="shared" si="11"/>
        <v>0</v>
      </c>
      <c r="BA34" s="246">
        <f t="shared" si="11"/>
        <v>0</v>
      </c>
      <c r="BB34" s="246">
        <f t="shared" si="11"/>
        <v>0</v>
      </c>
      <c r="BC34" s="246">
        <f t="shared" si="11"/>
        <v>0</v>
      </c>
      <c r="BD34" s="246">
        <f t="shared" si="11"/>
        <v>0</v>
      </c>
      <c r="BE34" s="246">
        <f t="shared" si="11"/>
        <v>0</v>
      </c>
      <c r="BF34" s="246">
        <f t="shared" si="11"/>
        <v>0</v>
      </c>
      <c r="BG34" s="246">
        <f t="shared" si="11"/>
        <v>0</v>
      </c>
      <c r="BH34" s="246">
        <f t="shared" si="11"/>
        <v>0</v>
      </c>
      <c r="BI34" s="246">
        <f t="shared" si="11"/>
        <v>0</v>
      </c>
      <c r="BJ34" s="246">
        <f t="shared" si="11"/>
        <v>0</v>
      </c>
      <c r="BK34" s="246">
        <f t="shared" si="11"/>
        <v>0</v>
      </c>
      <c r="BL34" s="246">
        <f t="shared" si="11"/>
        <v>0</v>
      </c>
      <c r="BM34" s="246">
        <f t="shared" si="11"/>
        <v>0</v>
      </c>
      <c r="BN34" s="246">
        <f t="shared" si="11"/>
        <v>0</v>
      </c>
      <c r="BO34" s="246">
        <f t="shared" si="11"/>
        <v>0</v>
      </c>
      <c r="BP34" s="246">
        <f t="shared" si="11"/>
        <v>0</v>
      </c>
      <c r="BQ34" s="246">
        <f t="shared" si="11"/>
        <v>0</v>
      </c>
      <c r="BR34" s="246">
        <f t="shared" si="11"/>
        <v>0</v>
      </c>
      <c r="BS34" s="246">
        <f t="shared" si="11"/>
        <v>0</v>
      </c>
      <c r="BT34" s="246">
        <f t="shared" si="11"/>
        <v>0</v>
      </c>
      <c r="BU34" s="246">
        <f t="shared" si="11"/>
        <v>0</v>
      </c>
      <c r="BV34" s="246">
        <f t="shared" si="11"/>
        <v>0</v>
      </c>
      <c r="BW34" s="246">
        <f t="shared" si="11"/>
        <v>0</v>
      </c>
      <c r="BX34" s="246">
        <f t="shared" si="11"/>
        <v>0</v>
      </c>
      <c r="BY34" s="248">
        <f>SUM(BY35:BY36)</f>
        <v>0</v>
      </c>
      <c r="BZ34" s="597"/>
      <c r="CA34" s="222"/>
      <c r="CB34" s="248"/>
      <c r="CC34" s="597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</row>
    <row r="35" spans="1:138" ht="15.95" hidden="1" outlineLevel="1">
      <c r="A35" s="505"/>
      <c r="B35" s="600"/>
      <c r="C35" s="249" t="s">
        <v>240</v>
      </c>
      <c r="D35" s="250" t="s">
        <v>223</v>
      </c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66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60"/>
      <c r="BY35" s="261">
        <f t="shared" ref="BY35:BY36" si="12">SUM(E35:BX35)</f>
        <v>0</v>
      </c>
      <c r="BZ35" s="597"/>
      <c r="CA35" s="222"/>
      <c r="CB35" s="248"/>
      <c r="CC35" s="597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</row>
    <row r="36" spans="1:138" ht="15.95" hidden="1" outlineLevel="1">
      <c r="A36" s="505"/>
      <c r="B36" s="600"/>
      <c r="C36" s="249" t="s">
        <v>241</v>
      </c>
      <c r="D36" s="254" t="s">
        <v>223</v>
      </c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66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60"/>
      <c r="BY36" s="264">
        <f t="shared" si="12"/>
        <v>0</v>
      </c>
      <c r="BZ36" s="597"/>
      <c r="CA36" s="222"/>
      <c r="CB36" s="248"/>
      <c r="CC36" s="597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</row>
    <row r="37" spans="1:138" ht="15.95">
      <c r="A37" s="505"/>
      <c r="B37" s="600"/>
      <c r="C37" s="244" t="s">
        <v>242</v>
      </c>
      <c r="D37" s="245"/>
      <c r="E37" s="246">
        <f t="shared" ref="E37:G37" si="13">SUM(E38:E48)</f>
        <v>0</v>
      </c>
      <c r="F37" s="246">
        <f t="shared" si="13"/>
        <v>0</v>
      </c>
      <c r="G37" s="246">
        <f t="shared" si="13"/>
        <v>0</v>
      </c>
      <c r="H37" s="246">
        <f t="shared" ref="H37:BM37" si="14">SUM(H38:H41,H42,H45,H46:H48)</f>
        <v>-98086.942148760339</v>
      </c>
      <c r="I37" s="246">
        <f t="shared" si="14"/>
        <v>-342950.41322314052</v>
      </c>
      <c r="J37" s="246">
        <f t="shared" si="14"/>
        <v>-1892515.3336666669</v>
      </c>
      <c r="K37" s="246">
        <f t="shared" si="14"/>
        <v>-384158.53666666662</v>
      </c>
      <c r="L37" s="246">
        <f t="shared" si="14"/>
        <v>-348822.22666666663</v>
      </c>
      <c r="M37" s="246">
        <f t="shared" si="14"/>
        <v>-348822.22666666663</v>
      </c>
      <c r="N37" s="246">
        <f t="shared" si="14"/>
        <v>-348822.22666666663</v>
      </c>
      <c r="O37" s="246">
        <f t="shared" si="14"/>
        <v>-642935.59566666663</v>
      </c>
      <c r="P37" s="246">
        <f t="shared" si="14"/>
        <v>-372379.7666666666</v>
      </c>
      <c r="Q37" s="246">
        <f t="shared" si="14"/>
        <v>-29429.416666666672</v>
      </c>
      <c r="R37" s="246">
        <f t="shared" si="14"/>
        <v>-29429.416666666672</v>
      </c>
      <c r="S37" s="246">
        <f t="shared" si="14"/>
        <v>-29429.416666666672</v>
      </c>
      <c r="T37" s="246">
        <f t="shared" si="14"/>
        <v>-88323.266666666663</v>
      </c>
      <c r="U37" s="246">
        <f t="shared" si="14"/>
        <v>0</v>
      </c>
      <c r="V37" s="246">
        <f t="shared" si="14"/>
        <v>0</v>
      </c>
      <c r="W37" s="246">
        <f t="shared" si="14"/>
        <v>0</v>
      </c>
      <c r="X37" s="246">
        <f t="shared" si="14"/>
        <v>0</v>
      </c>
      <c r="Y37" s="246">
        <f t="shared" si="14"/>
        <v>0</v>
      </c>
      <c r="Z37" s="246">
        <f t="shared" si="14"/>
        <v>0</v>
      </c>
      <c r="AA37" s="246">
        <f t="shared" si="14"/>
        <v>0</v>
      </c>
      <c r="AB37" s="246">
        <f t="shared" si="14"/>
        <v>0</v>
      </c>
      <c r="AC37" s="246">
        <f t="shared" si="14"/>
        <v>0</v>
      </c>
      <c r="AD37" s="246">
        <f t="shared" si="14"/>
        <v>0</v>
      </c>
      <c r="AE37" s="246">
        <f t="shared" si="14"/>
        <v>0</v>
      </c>
      <c r="AF37" s="246">
        <f t="shared" si="14"/>
        <v>0</v>
      </c>
      <c r="AG37" s="246">
        <f t="shared" si="14"/>
        <v>0</v>
      </c>
      <c r="AH37" s="246">
        <f t="shared" si="14"/>
        <v>0</v>
      </c>
      <c r="AI37" s="246">
        <f t="shared" si="14"/>
        <v>0</v>
      </c>
      <c r="AJ37" s="246">
        <f t="shared" si="14"/>
        <v>0</v>
      </c>
      <c r="AK37" s="246">
        <f t="shared" si="14"/>
        <v>0</v>
      </c>
      <c r="AL37" s="246">
        <f t="shared" si="14"/>
        <v>0</v>
      </c>
      <c r="AM37" s="246">
        <f t="shared" si="14"/>
        <v>0</v>
      </c>
      <c r="AN37" s="246">
        <f t="shared" si="14"/>
        <v>0</v>
      </c>
      <c r="AO37" s="246">
        <f t="shared" si="14"/>
        <v>0</v>
      </c>
      <c r="AP37" s="246">
        <f t="shared" si="14"/>
        <v>0</v>
      </c>
      <c r="AQ37" s="246">
        <f t="shared" si="14"/>
        <v>0</v>
      </c>
      <c r="AR37" s="246">
        <f t="shared" si="14"/>
        <v>0</v>
      </c>
      <c r="AS37" s="246">
        <f t="shared" si="14"/>
        <v>0</v>
      </c>
      <c r="AT37" s="246">
        <f t="shared" si="14"/>
        <v>0</v>
      </c>
      <c r="AU37" s="246">
        <f t="shared" si="14"/>
        <v>0</v>
      </c>
      <c r="AV37" s="246">
        <f t="shared" si="14"/>
        <v>0</v>
      </c>
      <c r="AW37" s="246">
        <f t="shared" si="14"/>
        <v>0</v>
      </c>
      <c r="AX37" s="246">
        <f t="shared" si="14"/>
        <v>0</v>
      </c>
      <c r="AY37" s="246">
        <f t="shared" si="14"/>
        <v>0</v>
      </c>
      <c r="AZ37" s="246">
        <f t="shared" si="14"/>
        <v>0</v>
      </c>
      <c r="BA37" s="246">
        <f t="shared" si="14"/>
        <v>0</v>
      </c>
      <c r="BB37" s="246">
        <f t="shared" si="14"/>
        <v>0</v>
      </c>
      <c r="BC37" s="246">
        <f t="shared" si="14"/>
        <v>0</v>
      </c>
      <c r="BD37" s="246">
        <f t="shared" si="14"/>
        <v>0</v>
      </c>
      <c r="BE37" s="246">
        <f t="shared" si="14"/>
        <v>0</v>
      </c>
      <c r="BF37" s="246">
        <f t="shared" si="14"/>
        <v>0</v>
      </c>
      <c r="BG37" s="246">
        <f t="shared" si="14"/>
        <v>0</v>
      </c>
      <c r="BH37" s="246">
        <f t="shared" si="14"/>
        <v>0</v>
      </c>
      <c r="BI37" s="246">
        <f t="shared" si="14"/>
        <v>0</v>
      </c>
      <c r="BJ37" s="246">
        <f t="shared" si="14"/>
        <v>0</v>
      </c>
      <c r="BK37" s="246">
        <f t="shared" si="14"/>
        <v>0</v>
      </c>
      <c r="BL37" s="246">
        <f t="shared" si="14"/>
        <v>0</v>
      </c>
      <c r="BM37" s="246">
        <f t="shared" si="14"/>
        <v>0</v>
      </c>
      <c r="BN37" s="246">
        <f t="shared" ref="BN37:BX37" si="15">SUM(BN38:BN48)</f>
        <v>0</v>
      </c>
      <c r="BO37" s="246">
        <f t="shared" si="15"/>
        <v>0</v>
      </c>
      <c r="BP37" s="246">
        <f t="shared" si="15"/>
        <v>0</v>
      </c>
      <c r="BQ37" s="246">
        <f t="shared" si="15"/>
        <v>0</v>
      </c>
      <c r="BR37" s="246">
        <f t="shared" si="15"/>
        <v>0</v>
      </c>
      <c r="BS37" s="246">
        <f t="shared" si="15"/>
        <v>0</v>
      </c>
      <c r="BT37" s="246">
        <f t="shared" si="15"/>
        <v>0</v>
      </c>
      <c r="BU37" s="246">
        <f t="shared" si="15"/>
        <v>0</v>
      </c>
      <c r="BV37" s="246">
        <f t="shared" si="15"/>
        <v>0</v>
      </c>
      <c r="BW37" s="246">
        <f t="shared" si="15"/>
        <v>0</v>
      </c>
      <c r="BX37" s="246">
        <f t="shared" si="15"/>
        <v>0</v>
      </c>
      <c r="BY37" s="248">
        <f>SUM(BY38:BY48)</f>
        <v>-4997268.4210688705</v>
      </c>
      <c r="BZ37" s="597"/>
      <c r="CA37" s="222"/>
      <c r="CB37" s="248"/>
      <c r="CC37" s="597"/>
      <c r="CD37" s="222"/>
      <c r="CE37" s="222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</row>
    <row r="38" spans="1:138" ht="15.95" outlineLevel="1">
      <c r="A38" s="505"/>
      <c r="B38" s="600"/>
      <c r="C38" s="263" t="s">
        <v>170</v>
      </c>
      <c r="D38" s="250" t="s">
        <v>223</v>
      </c>
      <c r="E38" s="255"/>
      <c r="F38" s="255"/>
      <c r="G38" s="255"/>
      <c r="H38" s="256"/>
      <c r="I38" s="256">
        <f>-400000/1.21</f>
        <v>-330578.51239669422</v>
      </c>
      <c r="J38" s="256">
        <f>-661353-(23520+28160+192281+20000)*1.21</f>
        <v>-980745.81</v>
      </c>
      <c r="K38" s="256">
        <f t="shared" ref="K38:P38" si="16">-(23520+28160+192281+20000)*1.21</f>
        <v>-319392.81</v>
      </c>
      <c r="L38" s="256">
        <f t="shared" si="16"/>
        <v>-319392.81</v>
      </c>
      <c r="M38" s="256">
        <f t="shared" si="16"/>
        <v>-319392.81</v>
      </c>
      <c r="N38" s="256">
        <f t="shared" si="16"/>
        <v>-319392.81</v>
      </c>
      <c r="O38" s="256">
        <f t="shared" si="16"/>
        <v>-319392.81</v>
      </c>
      <c r="P38" s="256">
        <f t="shared" si="16"/>
        <v>-319392.81</v>
      </c>
      <c r="Q38" s="256"/>
      <c r="R38" s="256"/>
      <c r="S38" s="268"/>
      <c r="T38" s="256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67"/>
      <c r="BY38" s="261">
        <f t="shared" ref="BY38:BY48" si="17">SUM(E38:BX38)</f>
        <v>-3227681.1823966946</v>
      </c>
      <c r="BZ38" s="597"/>
      <c r="CA38" s="222"/>
      <c r="CB38" s="248"/>
      <c r="CC38" s="597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</row>
    <row r="39" spans="1:138" ht="15.95" outlineLevel="1">
      <c r="A39" s="505"/>
      <c r="B39" s="600"/>
      <c r="C39" s="263" t="s">
        <v>171</v>
      </c>
      <c r="D39" s="250" t="s">
        <v>223</v>
      </c>
      <c r="E39" s="255"/>
      <c r="F39" s="255"/>
      <c r="G39" s="255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68"/>
      <c r="T39" s="256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67"/>
      <c r="BY39" s="262">
        <f t="shared" si="17"/>
        <v>0</v>
      </c>
      <c r="BZ39" s="597"/>
      <c r="CA39" s="222"/>
      <c r="CB39" s="248"/>
      <c r="CC39" s="597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</row>
    <row r="40" spans="1:138" ht="15.95" outlineLevel="1">
      <c r="A40" s="505"/>
      <c r="B40" s="600"/>
      <c r="C40" s="263" t="s">
        <v>172</v>
      </c>
      <c r="D40" s="250" t="s">
        <v>223</v>
      </c>
      <c r="E40" s="255"/>
      <c r="F40" s="255"/>
      <c r="G40" s="255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68"/>
      <c r="T40" s="256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67"/>
      <c r="BY40" s="262">
        <f t="shared" si="17"/>
        <v>0</v>
      </c>
      <c r="BZ40" s="597"/>
      <c r="CA40" s="222"/>
      <c r="CB40" s="248"/>
      <c r="CC40" s="597"/>
      <c r="CD40" s="222"/>
      <c r="CE40" s="222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</row>
    <row r="41" spans="1:138" ht="15.95" outlineLevel="1">
      <c r="A41" s="505"/>
      <c r="B41" s="600"/>
      <c r="C41" s="263" t="s">
        <v>176</v>
      </c>
      <c r="D41" s="250" t="s">
        <v>223</v>
      </c>
      <c r="E41" s="255"/>
      <c r="F41" s="255"/>
      <c r="G41" s="255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68"/>
      <c r="T41" s="256"/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67"/>
      <c r="BY41" s="262">
        <f t="shared" si="17"/>
        <v>0</v>
      </c>
      <c r="BZ41" s="597"/>
      <c r="CA41" s="222"/>
      <c r="CB41" s="248"/>
      <c r="CC41" s="597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</row>
    <row r="42" spans="1:138" ht="15.95" outlineLevel="1">
      <c r="A42" s="505"/>
      <c r="B42" s="600"/>
      <c r="C42" s="249" t="s">
        <v>177</v>
      </c>
      <c r="D42" s="269" t="s">
        <v>223</v>
      </c>
      <c r="E42" s="270"/>
      <c r="F42" s="271"/>
      <c r="G42" s="271"/>
      <c r="H42" s="271">
        <f t="shared" ref="H42:I42" si="18">SUM(H43:H44)</f>
        <v>-34391.735537190085</v>
      </c>
      <c r="I42" s="271">
        <f t="shared" si="18"/>
        <v>-6771.9008264462809</v>
      </c>
      <c r="J42" s="271">
        <f>-Businessplan_prodej!$F$67/12*1.21</f>
        <v>-10376.583333333334</v>
      </c>
      <c r="K42" s="271">
        <f>-Businessplan_prodej!$F$67/12*1.21</f>
        <v>-10376.583333333334</v>
      </c>
      <c r="L42" s="271">
        <f>-Businessplan_prodej!$F$67/12*1.21</f>
        <v>-10376.583333333334</v>
      </c>
      <c r="M42" s="271">
        <f>-Businessplan_prodej!$F$67/12*1.21</f>
        <v>-10376.583333333334</v>
      </c>
      <c r="N42" s="271">
        <f>-Businessplan_prodej!$F$67/12*1.21</f>
        <v>-10376.583333333334</v>
      </c>
      <c r="O42" s="271">
        <f>-Businessplan_prodej!$F$67/12*1.21</f>
        <v>-10376.583333333334</v>
      </c>
      <c r="P42" s="271">
        <f>-Businessplan_prodej!$F$67/12*1.21</f>
        <v>-10376.583333333334</v>
      </c>
      <c r="Q42" s="271">
        <f>-Businessplan_prodej!$F$67/12*1.21</f>
        <v>-10376.583333333334</v>
      </c>
      <c r="R42" s="271">
        <f>-Businessplan_prodej!$F$67/12*1.21</f>
        <v>-10376.583333333334</v>
      </c>
      <c r="S42" s="271">
        <f>-Businessplan_prodej!$F$67/12*1.21</f>
        <v>-10376.583333333334</v>
      </c>
      <c r="T42" s="271">
        <f>-Businessplan_prodej!$F$67/12*1.21</f>
        <v>-10376.583333333334</v>
      </c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2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60"/>
      <c r="BY42" s="262">
        <f t="shared" si="17"/>
        <v>-155306.05303030304</v>
      </c>
      <c r="BZ42" s="597"/>
      <c r="CA42" s="222"/>
      <c r="CB42" s="248"/>
      <c r="CC42" s="597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</row>
    <row r="43" spans="1:138" ht="15.95" outlineLevel="2">
      <c r="A43" s="505"/>
      <c r="B43" s="600"/>
      <c r="C43" s="273" t="s">
        <v>243</v>
      </c>
      <c r="D43" s="250" t="s">
        <v>223</v>
      </c>
      <c r="E43" s="251"/>
      <c r="F43" s="251"/>
      <c r="G43" s="251"/>
      <c r="H43" s="274">
        <f>-11364/1.21</f>
        <v>-9391.7355371900831</v>
      </c>
      <c r="I43" s="274">
        <f>-8194/1.21</f>
        <v>-6771.9008264462809</v>
      </c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60"/>
      <c r="BY43" s="262">
        <f t="shared" si="17"/>
        <v>-16163.636363636364</v>
      </c>
      <c r="BZ43" s="597"/>
      <c r="CA43" s="222"/>
      <c r="CB43" s="248"/>
      <c r="CC43" s="597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</row>
    <row r="44" spans="1:138" ht="15.95" outlineLevel="2">
      <c r="A44" s="505"/>
      <c r="B44" s="600"/>
      <c r="C44" s="273" t="s">
        <v>244</v>
      </c>
      <c r="D44" s="250" t="s">
        <v>223</v>
      </c>
      <c r="E44" s="251"/>
      <c r="F44" s="251"/>
      <c r="G44" s="251"/>
      <c r="H44" s="274">
        <f>-25000</f>
        <v>-25000</v>
      </c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60"/>
      <c r="BY44" s="262">
        <f t="shared" si="17"/>
        <v>-25000</v>
      </c>
      <c r="BZ44" s="597"/>
      <c r="CA44" s="222"/>
      <c r="CB44" s="248"/>
      <c r="CC44" s="597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</row>
    <row r="45" spans="1:138" ht="15.95" outlineLevel="1">
      <c r="A45" s="505"/>
      <c r="B45" s="600"/>
      <c r="C45" s="249" t="s">
        <v>178</v>
      </c>
      <c r="D45" s="250" t="s">
        <v>223</v>
      </c>
      <c r="E45" s="251"/>
      <c r="F45" s="251"/>
      <c r="G45" s="251"/>
      <c r="H45" s="252">
        <f>-1000</f>
        <v>-1000</v>
      </c>
      <c r="I45" s="252"/>
      <c r="J45" s="252">
        <f>-Businessplan_prodej!$F$68/12*1.21</f>
        <v>-19052.833333333336</v>
      </c>
      <c r="K45" s="252">
        <f>-Businessplan_prodej!$F$68/12*1.21</f>
        <v>-19052.833333333336</v>
      </c>
      <c r="L45" s="252">
        <f>-Businessplan_prodej!$F$68/12*1.21</f>
        <v>-19052.833333333336</v>
      </c>
      <c r="M45" s="252">
        <f>-Businessplan_prodej!$F$68/12*1.21</f>
        <v>-19052.833333333336</v>
      </c>
      <c r="N45" s="252">
        <f>-Businessplan_prodej!$F$68/12*1.21</f>
        <v>-19052.833333333336</v>
      </c>
      <c r="O45" s="252">
        <f>-Businessplan_prodej!$F$68/12*1.21</f>
        <v>-19052.833333333336</v>
      </c>
      <c r="P45" s="252">
        <f>-Businessplan_prodej!$F$68/12*1.21</f>
        <v>-19052.833333333336</v>
      </c>
      <c r="Q45" s="252">
        <f>-Businessplan_prodej!$F$68/12*1.21</f>
        <v>-19052.833333333336</v>
      </c>
      <c r="R45" s="252">
        <f>-Businessplan_prodej!$F$68/12*1.21</f>
        <v>-19052.833333333336</v>
      </c>
      <c r="S45" s="252">
        <f>-Businessplan_prodej!$F$68/12*1.21</f>
        <v>-19052.833333333336</v>
      </c>
      <c r="T45" s="252">
        <f>-Businessplan_prodej!$F$68/12*1.21</f>
        <v>-19052.833333333336</v>
      </c>
      <c r="U45" s="251"/>
      <c r="V45" s="251"/>
      <c r="W45" s="251"/>
      <c r="X45" s="251"/>
      <c r="Y45" s="251"/>
      <c r="Z45" s="251"/>
      <c r="AA45" s="251"/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60"/>
      <c r="BY45" s="262">
        <f t="shared" si="17"/>
        <v>-210581.16666666674</v>
      </c>
      <c r="BZ45" s="597"/>
      <c r="CA45" s="222"/>
      <c r="CB45" s="248"/>
      <c r="CC45" s="597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</row>
    <row r="46" spans="1:138" ht="14.25" customHeight="1" outlineLevel="1">
      <c r="A46" s="505"/>
      <c r="B46" s="600"/>
      <c r="C46" s="249" t="s">
        <v>179</v>
      </c>
      <c r="D46" s="250" t="s">
        <v>223</v>
      </c>
      <c r="E46" s="251"/>
      <c r="F46" s="251"/>
      <c r="G46" s="251"/>
      <c r="H46" s="252">
        <f>(-10188.2-65673)/1.21</f>
        <v>-62695.206611570247</v>
      </c>
      <c r="I46" s="252">
        <f>-6776/1.21</f>
        <v>-5600</v>
      </c>
      <c r="J46" s="252"/>
      <c r="K46" s="252">
        <f>-Businessplan_prodej!$F$69*0.3*1.21</f>
        <v>-35336.31</v>
      </c>
      <c r="L46" s="252"/>
      <c r="M46" s="252"/>
      <c r="N46" s="252"/>
      <c r="O46" s="252"/>
      <c r="P46" s="252">
        <f>-Businessplan_prodej!$F$69*0.2*1.21</f>
        <v>-23557.54</v>
      </c>
      <c r="Q46" s="252"/>
      <c r="R46" s="252"/>
      <c r="S46" s="252"/>
      <c r="T46" s="252">
        <f>-Businessplan_prodej!$F$69*0.5*1.21</f>
        <v>-58893.85</v>
      </c>
      <c r="U46" s="251"/>
      <c r="V46" s="251"/>
      <c r="W46" s="251"/>
      <c r="X46" s="251"/>
      <c r="Y46" s="251"/>
      <c r="Z46" s="251"/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60"/>
      <c r="BY46" s="262">
        <f t="shared" si="17"/>
        <v>-186082.90661157024</v>
      </c>
      <c r="BZ46" s="597"/>
      <c r="CA46" s="222"/>
      <c r="CB46" s="248"/>
      <c r="CC46" s="597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22"/>
      <c r="DJ46" s="222"/>
      <c r="DK46" s="222"/>
      <c r="DL46" s="222"/>
      <c r="DM46" s="222"/>
      <c r="DN46" s="222"/>
      <c r="DO46" s="222"/>
      <c r="DP46" s="222"/>
      <c r="DQ46" s="222"/>
      <c r="DR46" s="222"/>
      <c r="DS46" s="222"/>
      <c r="DT46" s="222"/>
      <c r="DU46" s="222"/>
      <c r="DV46" s="222"/>
      <c r="DW46" s="222"/>
      <c r="DX46" s="222"/>
      <c r="DY46" s="222"/>
      <c r="DZ46" s="222"/>
      <c r="EA46" s="222"/>
      <c r="EB46" s="222"/>
      <c r="EC46" s="222"/>
      <c r="ED46" s="222"/>
      <c r="EE46" s="222"/>
      <c r="EF46" s="222"/>
      <c r="EG46" s="222"/>
      <c r="EH46" s="222"/>
    </row>
    <row r="47" spans="1:138" ht="14.25" customHeight="1" outlineLevel="1">
      <c r="A47" s="505"/>
      <c r="B47" s="600"/>
      <c r="C47" s="249" t="s">
        <v>180</v>
      </c>
      <c r="D47" s="250" t="s">
        <v>223</v>
      </c>
      <c r="E47" s="251"/>
      <c r="F47" s="251"/>
      <c r="G47" s="251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60"/>
      <c r="BY47" s="262">
        <f t="shared" si="17"/>
        <v>0</v>
      </c>
      <c r="BZ47" s="597"/>
      <c r="CA47" s="222"/>
      <c r="CB47" s="248"/>
      <c r="CC47" s="597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/>
      <c r="DU47" s="222"/>
      <c r="DV47" s="222"/>
      <c r="DW47" s="222"/>
      <c r="DX47" s="222"/>
      <c r="DY47" s="222"/>
      <c r="DZ47" s="222"/>
      <c r="EA47" s="222"/>
      <c r="EB47" s="222"/>
      <c r="EC47" s="222"/>
      <c r="ED47" s="222"/>
      <c r="EE47" s="222"/>
      <c r="EF47" s="222"/>
      <c r="EG47" s="222"/>
      <c r="EH47" s="222"/>
    </row>
    <row r="48" spans="1:138" ht="14.25" customHeight="1" outlineLevel="1">
      <c r="A48" s="505"/>
      <c r="B48" s="600"/>
      <c r="C48" s="249" t="s">
        <v>181</v>
      </c>
      <c r="D48" s="254" t="s">
        <v>223</v>
      </c>
      <c r="E48" s="251"/>
      <c r="F48" s="251"/>
      <c r="G48" s="251"/>
      <c r="H48" s="252"/>
      <c r="I48" s="252"/>
      <c r="J48" s="252">
        <f>-((17529*2*25.2+44407*2)*1.21)*75%</f>
        <v>-882340.10700000008</v>
      </c>
      <c r="K48" s="252"/>
      <c r="L48" s="252"/>
      <c r="M48" s="252"/>
      <c r="N48" s="252"/>
      <c r="O48" s="252">
        <f>-((17529*2*25.2+44407*2)*1.21)*25%</f>
        <v>-294113.36900000001</v>
      </c>
      <c r="P48" s="252"/>
      <c r="Q48" s="252"/>
      <c r="R48" s="252"/>
      <c r="S48" s="252"/>
      <c r="T48" s="252"/>
      <c r="U48" s="251"/>
      <c r="V48" s="251"/>
      <c r="W48" s="251"/>
      <c r="X48" s="251"/>
      <c r="Y48" s="251"/>
      <c r="Z48" s="251"/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60"/>
      <c r="BY48" s="262">
        <f t="shared" si="17"/>
        <v>-1176453.476</v>
      </c>
      <c r="BZ48" s="597"/>
      <c r="CA48" s="222"/>
      <c r="CB48" s="248"/>
      <c r="CC48" s="597"/>
      <c r="CD48" s="222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2"/>
      <c r="CV48" s="222"/>
      <c r="CW48" s="222"/>
      <c r="CX48" s="222"/>
      <c r="CY48" s="222"/>
      <c r="CZ48" s="222"/>
      <c r="DA48" s="222"/>
      <c r="DB48" s="222"/>
      <c r="DC48" s="222"/>
      <c r="DD48" s="222"/>
      <c r="DE48" s="222"/>
      <c r="DF48" s="222"/>
      <c r="DG48" s="222"/>
      <c r="DH48" s="222"/>
      <c r="DI48" s="222"/>
      <c r="DJ48" s="222"/>
      <c r="DK48" s="222"/>
      <c r="DL48" s="222"/>
      <c r="DM48" s="222"/>
      <c r="DN48" s="222"/>
      <c r="DO48" s="222"/>
      <c r="DP48" s="222"/>
      <c r="DQ48" s="222"/>
      <c r="DR48" s="222"/>
      <c r="DS48" s="222"/>
      <c r="DT48" s="222"/>
      <c r="DU48" s="222"/>
      <c r="DV48" s="222"/>
      <c r="DW48" s="222"/>
      <c r="DX48" s="222"/>
      <c r="DY48" s="222"/>
      <c r="DZ48" s="222"/>
      <c r="EA48" s="222"/>
      <c r="EB48" s="222"/>
      <c r="EC48" s="222"/>
      <c r="ED48" s="222"/>
      <c r="EE48" s="222"/>
      <c r="EF48" s="222"/>
      <c r="EG48" s="222"/>
      <c r="EH48" s="222"/>
    </row>
    <row r="49" spans="1:138" ht="15.95">
      <c r="A49" s="505"/>
      <c r="B49" s="600"/>
      <c r="C49" s="244" t="s">
        <v>245</v>
      </c>
      <c r="D49" s="245"/>
      <c r="E49" s="246">
        <f t="shared" ref="E49:BX49" si="19">SUM(E50:E54)</f>
        <v>0</v>
      </c>
      <c r="F49" s="246">
        <f t="shared" si="19"/>
        <v>0</v>
      </c>
      <c r="G49" s="246">
        <f t="shared" si="19"/>
        <v>0</v>
      </c>
      <c r="H49" s="246">
        <f t="shared" si="19"/>
        <v>-1442.155</v>
      </c>
      <c r="I49" s="246">
        <f t="shared" si="19"/>
        <v>-4792.1949999999997</v>
      </c>
      <c r="J49" s="246">
        <f t="shared" si="19"/>
        <v>-2076.3529166666667</v>
      </c>
      <c r="K49" s="246">
        <f t="shared" si="19"/>
        <v>-102076.35291666667</v>
      </c>
      <c r="L49" s="246">
        <f t="shared" si="19"/>
        <v>-2076.3529166666667</v>
      </c>
      <c r="M49" s="246">
        <f t="shared" si="19"/>
        <v>-2076.3529166666667</v>
      </c>
      <c r="N49" s="246">
        <f t="shared" si="19"/>
        <v>-2076.3529166666667</v>
      </c>
      <c r="O49" s="246">
        <f t="shared" si="19"/>
        <v>-2076.3529166666667</v>
      </c>
      <c r="P49" s="246">
        <f t="shared" si="19"/>
        <v>-2076.3529166666667</v>
      </c>
      <c r="Q49" s="246">
        <f t="shared" si="19"/>
        <v>-2076.3529166666667</v>
      </c>
      <c r="R49" s="246">
        <f t="shared" si="19"/>
        <v>-2076.3529166666667</v>
      </c>
      <c r="S49" s="246">
        <f t="shared" si="19"/>
        <v>-2076.3529166666667</v>
      </c>
      <c r="T49" s="246">
        <f t="shared" si="19"/>
        <v>-2076.3529166666667</v>
      </c>
      <c r="U49" s="246">
        <f t="shared" si="19"/>
        <v>0</v>
      </c>
      <c r="V49" s="246">
        <f t="shared" si="19"/>
        <v>0</v>
      </c>
      <c r="W49" s="246">
        <f t="shared" si="19"/>
        <v>0</v>
      </c>
      <c r="X49" s="246">
        <f t="shared" si="19"/>
        <v>0</v>
      </c>
      <c r="Y49" s="246">
        <f t="shared" si="19"/>
        <v>0</v>
      </c>
      <c r="Z49" s="246">
        <f t="shared" si="19"/>
        <v>0</v>
      </c>
      <c r="AA49" s="246">
        <f t="shared" si="19"/>
        <v>0</v>
      </c>
      <c r="AB49" s="246">
        <f t="shared" si="19"/>
        <v>0</v>
      </c>
      <c r="AC49" s="246">
        <f t="shared" si="19"/>
        <v>0</v>
      </c>
      <c r="AD49" s="246">
        <f t="shared" si="19"/>
        <v>0</v>
      </c>
      <c r="AE49" s="246">
        <f t="shared" si="19"/>
        <v>0</v>
      </c>
      <c r="AF49" s="246">
        <f t="shared" si="19"/>
        <v>0</v>
      </c>
      <c r="AG49" s="246">
        <f t="shared" si="19"/>
        <v>0</v>
      </c>
      <c r="AH49" s="246">
        <f t="shared" si="19"/>
        <v>0</v>
      </c>
      <c r="AI49" s="246">
        <f t="shared" si="19"/>
        <v>0</v>
      </c>
      <c r="AJ49" s="246">
        <f t="shared" si="19"/>
        <v>0</v>
      </c>
      <c r="AK49" s="246">
        <f t="shared" si="19"/>
        <v>0</v>
      </c>
      <c r="AL49" s="246">
        <f t="shared" si="19"/>
        <v>0</v>
      </c>
      <c r="AM49" s="246">
        <f t="shared" si="19"/>
        <v>0</v>
      </c>
      <c r="AN49" s="246">
        <f t="shared" si="19"/>
        <v>0</v>
      </c>
      <c r="AO49" s="246">
        <f t="shared" si="19"/>
        <v>0</v>
      </c>
      <c r="AP49" s="246">
        <f t="shared" si="19"/>
        <v>0</v>
      </c>
      <c r="AQ49" s="246">
        <f t="shared" si="19"/>
        <v>0</v>
      </c>
      <c r="AR49" s="246">
        <f t="shared" si="19"/>
        <v>0</v>
      </c>
      <c r="AS49" s="246">
        <f t="shared" si="19"/>
        <v>0</v>
      </c>
      <c r="AT49" s="246">
        <f t="shared" si="19"/>
        <v>0</v>
      </c>
      <c r="AU49" s="246">
        <f t="shared" si="19"/>
        <v>0</v>
      </c>
      <c r="AV49" s="246">
        <f t="shared" si="19"/>
        <v>0</v>
      </c>
      <c r="AW49" s="246">
        <f t="shared" si="19"/>
        <v>0</v>
      </c>
      <c r="AX49" s="246">
        <f t="shared" si="19"/>
        <v>0</v>
      </c>
      <c r="AY49" s="246">
        <f t="shared" si="19"/>
        <v>0</v>
      </c>
      <c r="AZ49" s="246">
        <f t="shared" si="19"/>
        <v>0</v>
      </c>
      <c r="BA49" s="246">
        <f t="shared" si="19"/>
        <v>0</v>
      </c>
      <c r="BB49" s="246">
        <f t="shared" si="19"/>
        <v>0</v>
      </c>
      <c r="BC49" s="246">
        <f t="shared" si="19"/>
        <v>0</v>
      </c>
      <c r="BD49" s="246">
        <f t="shared" si="19"/>
        <v>0</v>
      </c>
      <c r="BE49" s="246">
        <f t="shared" si="19"/>
        <v>0</v>
      </c>
      <c r="BF49" s="246">
        <f t="shared" si="19"/>
        <v>0</v>
      </c>
      <c r="BG49" s="246">
        <f t="shared" si="19"/>
        <v>0</v>
      </c>
      <c r="BH49" s="246">
        <f t="shared" si="19"/>
        <v>0</v>
      </c>
      <c r="BI49" s="246">
        <f t="shared" si="19"/>
        <v>0</v>
      </c>
      <c r="BJ49" s="246">
        <f t="shared" si="19"/>
        <v>0</v>
      </c>
      <c r="BK49" s="246">
        <f t="shared" si="19"/>
        <v>0</v>
      </c>
      <c r="BL49" s="246">
        <f t="shared" si="19"/>
        <v>0</v>
      </c>
      <c r="BM49" s="246">
        <f t="shared" si="19"/>
        <v>0</v>
      </c>
      <c r="BN49" s="246">
        <f t="shared" si="19"/>
        <v>0</v>
      </c>
      <c r="BO49" s="246">
        <f t="shared" si="19"/>
        <v>0</v>
      </c>
      <c r="BP49" s="246">
        <f t="shared" si="19"/>
        <v>0</v>
      </c>
      <c r="BQ49" s="246">
        <f t="shared" si="19"/>
        <v>0</v>
      </c>
      <c r="BR49" s="246">
        <f t="shared" si="19"/>
        <v>0</v>
      </c>
      <c r="BS49" s="246">
        <f t="shared" si="19"/>
        <v>0</v>
      </c>
      <c r="BT49" s="246">
        <f t="shared" si="19"/>
        <v>0</v>
      </c>
      <c r="BU49" s="246">
        <f t="shared" si="19"/>
        <v>0</v>
      </c>
      <c r="BV49" s="246">
        <f t="shared" si="19"/>
        <v>0</v>
      </c>
      <c r="BW49" s="246">
        <f t="shared" si="19"/>
        <v>0</v>
      </c>
      <c r="BX49" s="246">
        <f t="shared" si="19"/>
        <v>0</v>
      </c>
      <c r="BY49" s="248">
        <f>SUM(BY50:BY54)</f>
        <v>-129074.23208333334</v>
      </c>
      <c r="BZ49" s="597"/>
      <c r="CA49" s="222"/>
      <c r="CB49" s="248"/>
      <c r="CC49" s="597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2"/>
      <c r="DE49" s="222"/>
      <c r="DF49" s="222"/>
      <c r="DG49" s="222"/>
      <c r="DH49" s="222"/>
      <c r="DI49" s="222"/>
      <c r="DJ49" s="222"/>
      <c r="DK49" s="222"/>
      <c r="DL49" s="222"/>
      <c r="DM49" s="222"/>
      <c r="DN49" s="222"/>
      <c r="DO49" s="222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2"/>
      <c r="EA49" s="222"/>
      <c r="EB49" s="222"/>
      <c r="EC49" s="222"/>
      <c r="ED49" s="222"/>
      <c r="EE49" s="222"/>
      <c r="EF49" s="222"/>
      <c r="EG49" s="222"/>
      <c r="EH49" s="222"/>
    </row>
    <row r="50" spans="1:138" ht="15.95" outlineLevel="1">
      <c r="A50" s="505"/>
      <c r="B50" s="600"/>
      <c r="C50" s="249" t="s">
        <v>183</v>
      </c>
      <c r="D50" s="250" t="s">
        <v>223</v>
      </c>
      <c r="E50" s="251"/>
      <c r="F50" s="251"/>
      <c r="G50" s="251"/>
      <c r="H50" s="252"/>
      <c r="I50" s="252"/>
      <c r="J50" s="252"/>
      <c r="K50" s="252">
        <f>-Businessplan_prodej!$F$98</f>
        <v>-100000</v>
      </c>
      <c r="L50" s="252"/>
      <c r="M50" s="252"/>
      <c r="N50" s="252"/>
      <c r="O50" s="252"/>
      <c r="P50" s="252"/>
      <c r="Q50" s="252"/>
      <c r="R50" s="252"/>
      <c r="S50" s="252"/>
      <c r="T50" s="252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60"/>
      <c r="BY50" s="261">
        <f t="shared" ref="BY50:BY54" si="20">SUM(E50:BX50)</f>
        <v>-100000</v>
      </c>
      <c r="BZ50" s="597"/>
      <c r="CA50" s="222"/>
      <c r="CB50" s="248"/>
      <c r="CC50" s="597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22"/>
      <c r="DH50" s="222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</row>
    <row r="51" spans="1:138" ht="15.95" outlineLevel="1">
      <c r="A51" s="505"/>
      <c r="B51" s="600"/>
      <c r="C51" s="249" t="s">
        <v>246</v>
      </c>
      <c r="D51" s="250" t="s">
        <v>223</v>
      </c>
      <c r="E51" s="251"/>
      <c r="F51" s="251"/>
      <c r="G51" s="251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60"/>
      <c r="BY51" s="261">
        <f t="shared" si="20"/>
        <v>0</v>
      </c>
      <c r="BZ51" s="597"/>
      <c r="CA51" s="222"/>
      <c r="CB51" s="248"/>
      <c r="CC51" s="597"/>
      <c r="CD51" s="222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222"/>
      <c r="DJ51" s="222"/>
      <c r="DK51" s="222"/>
      <c r="DL51" s="222"/>
      <c r="DM51" s="222"/>
      <c r="DN51" s="222"/>
      <c r="DO51" s="222"/>
      <c r="DP51" s="222"/>
      <c r="DQ51" s="222"/>
      <c r="DR51" s="222"/>
      <c r="DS51" s="222"/>
      <c r="DT51" s="222"/>
      <c r="DU51" s="222"/>
      <c r="DV51" s="222"/>
      <c r="DW51" s="222"/>
      <c r="DX51" s="222"/>
      <c r="DY51" s="222"/>
      <c r="DZ51" s="222"/>
      <c r="EA51" s="222"/>
      <c r="EB51" s="222"/>
      <c r="EC51" s="222"/>
      <c r="ED51" s="222"/>
      <c r="EE51" s="222"/>
      <c r="EF51" s="222"/>
      <c r="EG51" s="222"/>
      <c r="EH51" s="222"/>
    </row>
    <row r="52" spans="1:138" ht="15.95" outlineLevel="1">
      <c r="A52" s="505"/>
      <c r="B52" s="600"/>
      <c r="C52" s="249" t="s">
        <v>247</v>
      </c>
      <c r="D52" s="250" t="s">
        <v>223</v>
      </c>
      <c r="E52" s="251"/>
      <c r="F52" s="251"/>
      <c r="G52" s="251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60"/>
      <c r="BY52" s="261">
        <f t="shared" si="20"/>
        <v>0</v>
      </c>
      <c r="BZ52" s="597"/>
      <c r="CA52" s="222"/>
      <c r="CB52" s="248"/>
      <c r="CC52" s="597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</row>
    <row r="53" spans="1:138" ht="15.95" outlineLevel="1">
      <c r="A53" s="505"/>
      <c r="B53" s="600"/>
      <c r="C53" s="249" t="s">
        <v>189</v>
      </c>
      <c r="D53" s="250" t="s">
        <v>223</v>
      </c>
      <c r="E53" s="251"/>
      <c r="F53" s="251"/>
      <c r="G53" s="251"/>
      <c r="H53" s="252">
        <f>-3-12-5-200-2-12-400-36-(0.02+0.09+0.21+17.06)*22-15.91*24.5</f>
        <v>-1442.155</v>
      </c>
      <c r="I53" s="252">
        <f>-6-5-200-12-400-24-2-16.19*24.5-17.57*22</f>
        <v>-1432.1949999999999</v>
      </c>
      <c r="J53" s="252">
        <f>-Businessplan_prodej!$F$102/12</f>
        <v>-2076.3529166666667</v>
      </c>
      <c r="K53" s="252">
        <f>-Businessplan_prodej!$F$102/12</f>
        <v>-2076.3529166666667</v>
      </c>
      <c r="L53" s="252">
        <f>-Businessplan_prodej!$F$102/12</f>
        <v>-2076.3529166666667</v>
      </c>
      <c r="M53" s="252">
        <f>-Businessplan_prodej!$F$102/12</f>
        <v>-2076.3529166666667</v>
      </c>
      <c r="N53" s="252">
        <f>-Businessplan_prodej!$F$102/12</f>
        <v>-2076.3529166666667</v>
      </c>
      <c r="O53" s="252">
        <f>-Businessplan_prodej!$F$102/12</f>
        <v>-2076.3529166666667</v>
      </c>
      <c r="P53" s="252">
        <f>-Businessplan_prodej!$F$102/12</f>
        <v>-2076.3529166666667</v>
      </c>
      <c r="Q53" s="252">
        <f>-Businessplan_prodej!$F$102/12</f>
        <v>-2076.3529166666667</v>
      </c>
      <c r="R53" s="252">
        <f>-Businessplan_prodej!$F$102/12</f>
        <v>-2076.3529166666667</v>
      </c>
      <c r="S53" s="252">
        <f>-Businessplan_prodej!$F$102/12</f>
        <v>-2076.3529166666667</v>
      </c>
      <c r="T53" s="252">
        <f>-Businessplan_prodej!$F$102/12</f>
        <v>-2076.3529166666667</v>
      </c>
      <c r="U53" s="251"/>
      <c r="V53" s="251"/>
      <c r="W53" s="251"/>
      <c r="X53" s="251"/>
      <c r="Y53" s="251"/>
      <c r="Z53" s="251"/>
      <c r="AA53" s="251"/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60"/>
      <c r="BY53" s="262">
        <f t="shared" si="20"/>
        <v>-25714.232083333336</v>
      </c>
      <c r="BZ53" s="597"/>
      <c r="CA53" s="222"/>
      <c r="CB53" s="248"/>
      <c r="CC53" s="597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</row>
    <row r="54" spans="1:138" ht="15.95" outlineLevel="1">
      <c r="A54" s="505"/>
      <c r="B54" s="600"/>
      <c r="C54" s="249" t="s">
        <v>190</v>
      </c>
      <c r="D54" s="254" t="s">
        <v>223</v>
      </c>
      <c r="E54" s="255"/>
      <c r="F54" s="255"/>
      <c r="G54" s="251"/>
      <c r="H54" s="252"/>
      <c r="I54" s="252">
        <f>-3360</f>
        <v>-3360</v>
      </c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60"/>
      <c r="BY54" s="264">
        <f t="shared" si="20"/>
        <v>-3360</v>
      </c>
      <c r="BZ54" s="597"/>
      <c r="CA54" s="222"/>
      <c r="CB54" s="248"/>
      <c r="CC54" s="597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</row>
    <row r="55" spans="1:138" ht="15.95" collapsed="1">
      <c r="A55" s="505"/>
      <c r="B55" s="600"/>
      <c r="C55" s="244" t="s">
        <v>248</v>
      </c>
      <c r="D55" s="245"/>
      <c r="E55" s="246">
        <f t="shared" ref="E55:BX55" si="21">SUM(E56:E62)</f>
        <v>0</v>
      </c>
      <c r="F55" s="246">
        <f t="shared" si="21"/>
        <v>0</v>
      </c>
      <c r="G55" s="246">
        <f t="shared" si="21"/>
        <v>0</v>
      </c>
      <c r="H55" s="246">
        <f t="shared" si="21"/>
        <v>0</v>
      </c>
      <c r="I55" s="246">
        <f t="shared" si="21"/>
        <v>0</v>
      </c>
      <c r="J55" s="246">
        <f t="shared" si="21"/>
        <v>0</v>
      </c>
      <c r="K55" s="246">
        <f t="shared" si="21"/>
        <v>0</v>
      </c>
      <c r="L55" s="246">
        <f t="shared" si="21"/>
        <v>0</v>
      </c>
      <c r="M55" s="246">
        <f t="shared" si="21"/>
        <v>-165083.33333333334</v>
      </c>
      <c r="N55" s="246">
        <f t="shared" si="21"/>
        <v>-215833.33333333337</v>
      </c>
      <c r="O55" s="246">
        <f t="shared" si="21"/>
        <v>-271833.33333333337</v>
      </c>
      <c r="P55" s="246">
        <f t="shared" si="21"/>
        <v>-280000.00000000006</v>
      </c>
      <c r="Q55" s="246">
        <f t="shared" si="21"/>
        <v>-285441.03583333333</v>
      </c>
      <c r="R55" s="246">
        <f t="shared" si="21"/>
        <v>-285441.03583333333</v>
      </c>
      <c r="S55" s="246">
        <f t="shared" si="21"/>
        <v>-285441.03583333333</v>
      </c>
      <c r="T55" s="246" t="e">
        <f t="shared" si="21"/>
        <v>#REF!</v>
      </c>
      <c r="U55" s="246">
        <f t="shared" si="21"/>
        <v>0</v>
      </c>
      <c r="V55" s="246">
        <f t="shared" si="21"/>
        <v>0</v>
      </c>
      <c r="W55" s="246">
        <f t="shared" si="21"/>
        <v>0</v>
      </c>
      <c r="X55" s="246">
        <f t="shared" si="21"/>
        <v>0</v>
      </c>
      <c r="Y55" s="246">
        <f t="shared" si="21"/>
        <v>0</v>
      </c>
      <c r="Z55" s="246">
        <f t="shared" si="21"/>
        <v>0</v>
      </c>
      <c r="AA55" s="246">
        <f t="shared" si="21"/>
        <v>0</v>
      </c>
      <c r="AB55" s="246">
        <f t="shared" si="21"/>
        <v>0</v>
      </c>
      <c r="AC55" s="246">
        <f t="shared" si="21"/>
        <v>0</v>
      </c>
      <c r="AD55" s="246">
        <f t="shared" si="21"/>
        <v>0</v>
      </c>
      <c r="AE55" s="246">
        <f t="shared" si="21"/>
        <v>0</v>
      </c>
      <c r="AF55" s="246">
        <f t="shared" si="21"/>
        <v>0</v>
      </c>
      <c r="AG55" s="246">
        <f t="shared" si="21"/>
        <v>0</v>
      </c>
      <c r="AH55" s="246">
        <f t="shared" si="21"/>
        <v>0</v>
      </c>
      <c r="AI55" s="246">
        <f t="shared" si="21"/>
        <v>0</v>
      </c>
      <c r="AJ55" s="246">
        <f t="shared" si="21"/>
        <v>0</v>
      </c>
      <c r="AK55" s="246">
        <f t="shared" si="21"/>
        <v>0</v>
      </c>
      <c r="AL55" s="246">
        <f t="shared" si="21"/>
        <v>0</v>
      </c>
      <c r="AM55" s="246">
        <f t="shared" si="21"/>
        <v>0</v>
      </c>
      <c r="AN55" s="246">
        <f t="shared" si="21"/>
        <v>0</v>
      </c>
      <c r="AO55" s="246">
        <f t="shared" si="21"/>
        <v>0</v>
      </c>
      <c r="AP55" s="246">
        <f t="shared" si="21"/>
        <v>0</v>
      </c>
      <c r="AQ55" s="246">
        <f t="shared" si="21"/>
        <v>0</v>
      </c>
      <c r="AR55" s="246">
        <f t="shared" si="21"/>
        <v>0</v>
      </c>
      <c r="AS55" s="246">
        <f t="shared" si="21"/>
        <v>0</v>
      </c>
      <c r="AT55" s="246">
        <f t="shared" si="21"/>
        <v>0</v>
      </c>
      <c r="AU55" s="246">
        <f t="shared" si="21"/>
        <v>0</v>
      </c>
      <c r="AV55" s="246">
        <f t="shared" si="21"/>
        <v>0</v>
      </c>
      <c r="AW55" s="246">
        <f t="shared" si="21"/>
        <v>0</v>
      </c>
      <c r="AX55" s="246">
        <f t="shared" si="21"/>
        <v>0</v>
      </c>
      <c r="AY55" s="246">
        <f t="shared" si="21"/>
        <v>0</v>
      </c>
      <c r="AZ55" s="246">
        <f t="shared" si="21"/>
        <v>0</v>
      </c>
      <c r="BA55" s="246">
        <f t="shared" si="21"/>
        <v>0</v>
      </c>
      <c r="BB55" s="246">
        <f t="shared" si="21"/>
        <v>0</v>
      </c>
      <c r="BC55" s="246">
        <f t="shared" si="21"/>
        <v>0</v>
      </c>
      <c r="BD55" s="246">
        <f t="shared" si="21"/>
        <v>0</v>
      </c>
      <c r="BE55" s="246">
        <f t="shared" si="21"/>
        <v>0</v>
      </c>
      <c r="BF55" s="246">
        <f t="shared" si="21"/>
        <v>0</v>
      </c>
      <c r="BG55" s="246">
        <f t="shared" si="21"/>
        <v>0</v>
      </c>
      <c r="BH55" s="246">
        <f t="shared" si="21"/>
        <v>0</v>
      </c>
      <c r="BI55" s="246">
        <f t="shared" si="21"/>
        <v>0</v>
      </c>
      <c r="BJ55" s="246">
        <f t="shared" si="21"/>
        <v>0</v>
      </c>
      <c r="BK55" s="246">
        <f t="shared" si="21"/>
        <v>0</v>
      </c>
      <c r="BL55" s="246">
        <f t="shared" si="21"/>
        <v>0</v>
      </c>
      <c r="BM55" s="246">
        <f t="shared" si="21"/>
        <v>0</v>
      </c>
      <c r="BN55" s="246">
        <f t="shared" si="21"/>
        <v>0</v>
      </c>
      <c r="BO55" s="246">
        <f t="shared" si="21"/>
        <v>0</v>
      </c>
      <c r="BP55" s="246">
        <f t="shared" si="21"/>
        <v>0</v>
      </c>
      <c r="BQ55" s="246">
        <f t="shared" si="21"/>
        <v>0</v>
      </c>
      <c r="BR55" s="246">
        <f t="shared" si="21"/>
        <v>0</v>
      </c>
      <c r="BS55" s="246">
        <f t="shared" si="21"/>
        <v>0</v>
      </c>
      <c r="BT55" s="246">
        <f t="shared" si="21"/>
        <v>0</v>
      </c>
      <c r="BU55" s="246">
        <f t="shared" si="21"/>
        <v>0</v>
      </c>
      <c r="BV55" s="246">
        <f t="shared" si="21"/>
        <v>0</v>
      </c>
      <c r="BW55" s="246">
        <f t="shared" si="21"/>
        <v>0</v>
      </c>
      <c r="BX55" s="246">
        <f t="shared" si="21"/>
        <v>0</v>
      </c>
      <c r="BY55" s="248" t="e">
        <f>SUM(BY56:BY62)</f>
        <v>#REF!</v>
      </c>
      <c r="BZ55" s="597"/>
      <c r="CA55" s="222"/>
      <c r="CB55" s="248"/>
      <c r="CC55" s="597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222"/>
      <c r="DJ55" s="222"/>
      <c r="DK55" s="222"/>
      <c r="DL55" s="222"/>
      <c r="DM55" s="222"/>
      <c r="DN55" s="222"/>
      <c r="DO55" s="222"/>
      <c r="DP55" s="222"/>
      <c r="DQ55" s="222"/>
      <c r="DR55" s="222"/>
      <c r="DS55" s="222"/>
      <c r="DT55" s="222"/>
      <c r="DU55" s="222"/>
      <c r="DV55" s="222"/>
      <c r="DW55" s="222"/>
      <c r="DX55" s="222"/>
      <c r="DY55" s="222"/>
      <c r="DZ55" s="222"/>
      <c r="EA55" s="222"/>
      <c r="EB55" s="222"/>
      <c r="EC55" s="222"/>
      <c r="ED55" s="222"/>
      <c r="EE55" s="222"/>
      <c r="EF55" s="222"/>
      <c r="EG55" s="222"/>
      <c r="EH55" s="222"/>
    </row>
    <row r="56" spans="1:138" ht="15.95" hidden="1" outlineLevel="1">
      <c r="A56" s="505"/>
      <c r="B56" s="600"/>
      <c r="C56" s="249" t="s">
        <v>249</v>
      </c>
      <c r="D56" s="275">
        <v>0.105</v>
      </c>
      <c r="E56" s="251"/>
      <c r="F56" s="251"/>
      <c r="G56" s="251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76">
        <f t="shared" ref="BY56:BY62" si="22">SUM(E56:BX56)</f>
        <v>0</v>
      </c>
      <c r="BZ56" s="597"/>
      <c r="CA56" s="222"/>
      <c r="CB56" s="248"/>
      <c r="CC56" s="597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</row>
    <row r="57" spans="1:138" ht="15.95" hidden="1" outlineLevel="1">
      <c r="A57" s="505"/>
      <c r="B57" s="600"/>
      <c r="C57" s="249" t="s">
        <v>250</v>
      </c>
      <c r="D57" s="275">
        <v>0.105</v>
      </c>
      <c r="E57" s="251"/>
      <c r="F57" s="251"/>
      <c r="G57" s="251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 t="e">
        <f>-SUM(' Interest Calc EQ FAKT'!J13:J22)-' Interest Calc EQ FAKT'!J22</f>
        <v>#REF!</v>
      </c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76" t="e">
        <f t="shared" si="22"/>
        <v>#REF!</v>
      </c>
      <c r="BZ57" s="597"/>
      <c r="CA57" s="222"/>
      <c r="CB57" s="248"/>
      <c r="CC57" s="597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</row>
    <row r="58" spans="1:138" ht="15.95" hidden="1" outlineLevel="1">
      <c r="A58" s="505"/>
      <c r="B58" s="600"/>
      <c r="C58" s="249" t="s">
        <v>251</v>
      </c>
      <c r="D58" s="275">
        <v>0.105</v>
      </c>
      <c r="E58" s="251"/>
      <c r="F58" s="251"/>
      <c r="G58" s="251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76">
        <f t="shared" si="22"/>
        <v>0</v>
      </c>
      <c r="BZ58" s="597"/>
      <c r="CA58" s="222"/>
      <c r="CB58" s="248"/>
      <c r="CC58" s="597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</row>
    <row r="59" spans="1:138" ht="15.95" hidden="1" outlineLevel="1">
      <c r="A59" s="505"/>
      <c r="B59" s="600"/>
      <c r="C59" s="249" t="s">
        <v>252</v>
      </c>
      <c r="D59" s="275">
        <v>0.105</v>
      </c>
      <c r="E59" s="251"/>
      <c r="F59" s="251"/>
      <c r="G59" s="251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77">
        <f t="shared" si="22"/>
        <v>0</v>
      </c>
      <c r="BZ59" s="597"/>
      <c r="CA59" s="222"/>
      <c r="CB59" s="248"/>
      <c r="CC59" s="597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</row>
    <row r="60" spans="1:138" ht="15.95" hidden="1" outlineLevel="1">
      <c r="A60" s="505"/>
      <c r="B60" s="600"/>
      <c r="C60" s="249" t="s">
        <v>253</v>
      </c>
      <c r="D60" s="275">
        <v>0.15</v>
      </c>
      <c r="E60" s="251"/>
      <c r="F60" s="251"/>
      <c r="G60" s="251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78">
        <f t="shared" si="22"/>
        <v>0</v>
      </c>
      <c r="BZ60" s="597"/>
      <c r="CA60" s="222"/>
      <c r="CB60" s="248"/>
      <c r="CC60" s="597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</row>
    <row r="61" spans="1:138" ht="15.95" hidden="1" outlineLevel="1">
      <c r="A61" s="505"/>
      <c r="B61" s="600"/>
      <c r="C61" s="249" t="s">
        <v>328</v>
      </c>
      <c r="D61" s="279">
        <f>25%/12</f>
        <v>2.0833333333333332E-2</v>
      </c>
      <c r="E61" s="255"/>
      <c r="F61" s="255"/>
      <c r="G61" s="255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5"/>
      <c r="V61" s="255"/>
      <c r="W61" s="255"/>
      <c r="X61" s="255"/>
      <c r="Y61" s="255"/>
      <c r="Z61" s="255"/>
      <c r="AA61" s="255"/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  <c r="BL61" s="251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78">
        <f t="shared" si="22"/>
        <v>0</v>
      </c>
      <c r="BZ61" s="597"/>
      <c r="CA61" s="222"/>
      <c r="CB61" s="248"/>
      <c r="CC61" s="597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</row>
    <row r="62" spans="1:138" ht="15.95" hidden="1" outlineLevel="1">
      <c r="A62" s="505"/>
      <c r="B62" s="600"/>
      <c r="C62" s="280" t="s">
        <v>255</v>
      </c>
      <c r="D62" s="281">
        <v>7.0000000000000007E-2</v>
      </c>
      <c r="E62" s="282"/>
      <c r="F62" s="282"/>
      <c r="G62" s="282"/>
      <c r="H62" s="283"/>
      <c r="I62" s="283"/>
      <c r="J62" s="283"/>
      <c r="K62" s="283"/>
      <c r="L62" s="283"/>
      <c r="M62" s="283">
        <v>-165083.33333333334</v>
      </c>
      <c r="N62" s="283">
        <v>-215833.33333333337</v>
      </c>
      <c r="O62" s="283">
        <v>-271833.33333333337</v>
      </c>
      <c r="P62" s="283">
        <v>-280000.00000000006</v>
      </c>
      <c r="Q62" s="283">
        <f t="shared" ref="Q62:T62" si="23">-SUM($K$11:Q11)*$D$62/12</f>
        <v>-285441.03583333333</v>
      </c>
      <c r="R62" s="283">
        <f t="shared" si="23"/>
        <v>-285441.03583333333</v>
      </c>
      <c r="S62" s="283">
        <f t="shared" si="23"/>
        <v>-285441.03583333333</v>
      </c>
      <c r="T62" s="283">
        <f t="shared" si="23"/>
        <v>-285441.03583333333</v>
      </c>
      <c r="U62" s="282"/>
      <c r="V62" s="282"/>
      <c r="W62" s="282"/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4"/>
      <c r="BN62" s="284"/>
      <c r="BO62" s="284"/>
      <c r="BP62" s="284"/>
      <c r="BQ62" s="284"/>
      <c r="BR62" s="284"/>
      <c r="BS62" s="284"/>
      <c r="BT62" s="284"/>
      <c r="BU62" s="284"/>
      <c r="BV62" s="284"/>
      <c r="BW62" s="284"/>
      <c r="BX62" s="284"/>
      <c r="BY62" s="285">
        <f t="shared" si="22"/>
        <v>-2074514.1433333338</v>
      </c>
      <c r="BZ62" s="597"/>
      <c r="CA62" s="222"/>
      <c r="CB62" s="248"/>
      <c r="CC62" s="597"/>
      <c r="CD62" s="222"/>
      <c r="CE62" s="222"/>
      <c r="CF62" s="222"/>
      <c r="CG62" s="222"/>
      <c r="CH62" s="222"/>
      <c r="CI62" s="222"/>
      <c r="CJ62" s="222"/>
      <c r="CK62" s="222"/>
      <c r="CL62" s="222"/>
      <c r="CM62" s="222"/>
      <c r="CN62" s="222"/>
      <c r="CO62" s="222"/>
      <c r="CP62" s="222"/>
      <c r="CQ62" s="222"/>
      <c r="CR62" s="222"/>
      <c r="CS62" s="222"/>
      <c r="CT62" s="222"/>
      <c r="CU62" s="222"/>
      <c r="CV62" s="222"/>
      <c r="CW62" s="222"/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222"/>
      <c r="DT62" s="222"/>
      <c r="DU62" s="222"/>
      <c r="DV62" s="222"/>
      <c r="DW62" s="222"/>
      <c r="DX62" s="222"/>
      <c r="DY62" s="222"/>
      <c r="DZ62" s="222"/>
      <c r="EA62" s="222"/>
      <c r="EB62" s="222"/>
      <c r="EC62" s="222"/>
      <c r="ED62" s="222"/>
      <c r="EE62" s="222"/>
      <c r="EF62" s="222"/>
      <c r="EG62" s="222"/>
      <c r="EH62" s="222"/>
    </row>
    <row r="63" spans="1:138" ht="15.95" collapsed="1">
      <c r="A63" s="505"/>
      <c r="B63" s="600"/>
      <c r="C63" s="244" t="s">
        <v>256</v>
      </c>
      <c r="D63" s="245"/>
      <c r="E63" s="246">
        <f t="shared" ref="E63:BY63" si="24">SUM(E64:E86)</f>
        <v>0</v>
      </c>
      <c r="F63" s="246">
        <f t="shared" si="24"/>
        <v>0</v>
      </c>
      <c r="G63" s="246">
        <f t="shared" si="24"/>
        <v>0</v>
      </c>
      <c r="H63" s="246">
        <f t="shared" si="24"/>
        <v>0</v>
      </c>
      <c r="I63" s="246">
        <f t="shared" si="24"/>
        <v>0</v>
      </c>
      <c r="J63" s="246">
        <f t="shared" si="24"/>
        <v>0</v>
      </c>
      <c r="K63" s="246">
        <f t="shared" si="24"/>
        <v>0</v>
      </c>
      <c r="L63" s="246">
        <f t="shared" si="24"/>
        <v>0</v>
      </c>
      <c r="M63" s="246">
        <f t="shared" si="24"/>
        <v>0</v>
      </c>
      <c r="N63" s="246">
        <f t="shared" si="24"/>
        <v>0</v>
      </c>
      <c r="O63" s="246">
        <f t="shared" si="24"/>
        <v>0</v>
      </c>
      <c r="P63" s="246">
        <f t="shared" si="24"/>
        <v>0</v>
      </c>
      <c r="Q63" s="246">
        <f t="shared" si="24"/>
        <v>-98230.703999999983</v>
      </c>
      <c r="R63" s="246">
        <f t="shared" si="24"/>
        <v>-98230.703999999983</v>
      </c>
      <c r="S63" s="246">
        <f t="shared" si="24"/>
        <v>-98230.703999999983</v>
      </c>
      <c r="T63" s="246">
        <f t="shared" si="24"/>
        <v>-98230.703999999983</v>
      </c>
      <c r="U63" s="246">
        <f t="shared" si="24"/>
        <v>0</v>
      </c>
      <c r="V63" s="246">
        <f t="shared" si="24"/>
        <v>0</v>
      </c>
      <c r="W63" s="246">
        <f t="shared" si="24"/>
        <v>0</v>
      </c>
      <c r="X63" s="246">
        <f t="shared" si="24"/>
        <v>0</v>
      </c>
      <c r="Y63" s="246">
        <f t="shared" si="24"/>
        <v>0</v>
      </c>
      <c r="Z63" s="246">
        <f t="shared" si="24"/>
        <v>0</v>
      </c>
      <c r="AA63" s="246">
        <f t="shared" si="24"/>
        <v>0</v>
      </c>
      <c r="AB63" s="246">
        <f t="shared" si="24"/>
        <v>0</v>
      </c>
      <c r="AC63" s="246">
        <f t="shared" si="24"/>
        <v>0</v>
      </c>
      <c r="AD63" s="246">
        <f t="shared" si="24"/>
        <v>0</v>
      </c>
      <c r="AE63" s="246">
        <f t="shared" si="24"/>
        <v>0</v>
      </c>
      <c r="AF63" s="246">
        <f t="shared" si="24"/>
        <v>0</v>
      </c>
      <c r="AG63" s="246">
        <f t="shared" si="24"/>
        <v>0</v>
      </c>
      <c r="AH63" s="246">
        <f t="shared" si="24"/>
        <v>0</v>
      </c>
      <c r="AI63" s="246">
        <f t="shared" si="24"/>
        <v>0</v>
      </c>
      <c r="AJ63" s="246">
        <f t="shared" si="24"/>
        <v>0</v>
      </c>
      <c r="AK63" s="246">
        <f t="shared" si="24"/>
        <v>0</v>
      </c>
      <c r="AL63" s="246">
        <f t="shared" si="24"/>
        <v>0</v>
      </c>
      <c r="AM63" s="246">
        <f t="shared" si="24"/>
        <v>0</v>
      </c>
      <c r="AN63" s="246">
        <f t="shared" si="24"/>
        <v>0</v>
      </c>
      <c r="AO63" s="246">
        <f t="shared" si="24"/>
        <v>0</v>
      </c>
      <c r="AP63" s="246">
        <f t="shared" si="24"/>
        <v>0</v>
      </c>
      <c r="AQ63" s="246">
        <f t="shared" si="24"/>
        <v>0</v>
      </c>
      <c r="AR63" s="246">
        <f t="shared" si="24"/>
        <v>0</v>
      </c>
      <c r="AS63" s="246">
        <f t="shared" si="24"/>
        <v>0</v>
      </c>
      <c r="AT63" s="246">
        <f t="shared" si="24"/>
        <v>0</v>
      </c>
      <c r="AU63" s="246">
        <f t="shared" si="24"/>
        <v>0</v>
      </c>
      <c r="AV63" s="246">
        <f t="shared" si="24"/>
        <v>0</v>
      </c>
      <c r="AW63" s="246">
        <f t="shared" si="24"/>
        <v>0</v>
      </c>
      <c r="AX63" s="246">
        <f t="shared" si="24"/>
        <v>0</v>
      </c>
      <c r="AY63" s="246">
        <f t="shared" si="24"/>
        <v>0</v>
      </c>
      <c r="AZ63" s="246">
        <f t="shared" si="24"/>
        <v>0</v>
      </c>
      <c r="BA63" s="246">
        <f t="shared" si="24"/>
        <v>0</v>
      </c>
      <c r="BB63" s="246">
        <f t="shared" si="24"/>
        <v>0</v>
      </c>
      <c r="BC63" s="246">
        <f t="shared" si="24"/>
        <v>0</v>
      </c>
      <c r="BD63" s="246">
        <f t="shared" si="24"/>
        <v>0</v>
      </c>
      <c r="BE63" s="246">
        <f t="shared" si="24"/>
        <v>0</v>
      </c>
      <c r="BF63" s="246">
        <f t="shared" si="24"/>
        <v>0</v>
      </c>
      <c r="BG63" s="246">
        <f t="shared" si="24"/>
        <v>0</v>
      </c>
      <c r="BH63" s="246">
        <f t="shared" si="24"/>
        <v>0</v>
      </c>
      <c r="BI63" s="246">
        <f t="shared" si="24"/>
        <v>0</v>
      </c>
      <c r="BJ63" s="246">
        <f t="shared" si="24"/>
        <v>0</v>
      </c>
      <c r="BK63" s="246">
        <f t="shared" si="24"/>
        <v>0</v>
      </c>
      <c r="BL63" s="246">
        <f t="shared" si="24"/>
        <v>0</v>
      </c>
      <c r="BM63" s="246">
        <f t="shared" si="24"/>
        <v>0</v>
      </c>
      <c r="BN63" s="246">
        <f t="shared" si="24"/>
        <v>0</v>
      </c>
      <c r="BO63" s="246">
        <f t="shared" si="24"/>
        <v>0</v>
      </c>
      <c r="BP63" s="246">
        <f t="shared" si="24"/>
        <v>0</v>
      </c>
      <c r="BQ63" s="246">
        <f t="shared" si="24"/>
        <v>0</v>
      </c>
      <c r="BR63" s="246">
        <f t="shared" si="24"/>
        <v>0</v>
      </c>
      <c r="BS63" s="246">
        <f t="shared" si="24"/>
        <v>0</v>
      </c>
      <c r="BT63" s="246">
        <f t="shared" si="24"/>
        <v>0</v>
      </c>
      <c r="BU63" s="246">
        <f t="shared" si="24"/>
        <v>0</v>
      </c>
      <c r="BV63" s="246">
        <f t="shared" si="24"/>
        <v>0</v>
      </c>
      <c r="BW63" s="246">
        <f t="shared" si="24"/>
        <v>0</v>
      </c>
      <c r="BX63" s="246">
        <f t="shared" si="24"/>
        <v>0</v>
      </c>
      <c r="BY63" s="247">
        <f t="shared" si="24"/>
        <v>-392922.81599999993</v>
      </c>
      <c r="BZ63" s="597"/>
      <c r="CA63" s="222"/>
      <c r="CB63" s="248"/>
      <c r="CC63" s="597"/>
      <c r="CD63" s="222"/>
      <c r="CE63" s="222">
        <v>-165083.33333333334</v>
      </c>
      <c r="CF63" s="222">
        <v>-215833.33333333337</v>
      </c>
      <c r="CG63" s="222">
        <v>-271833.33333333337</v>
      </c>
      <c r="CH63" s="222">
        <v>-280000.00000000006</v>
      </c>
      <c r="CI63" s="222">
        <v>-165083.33333333334</v>
      </c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2"/>
      <c r="DI63" s="222"/>
      <c r="DJ63" s="222"/>
      <c r="DK63" s="222"/>
      <c r="DL63" s="222"/>
      <c r="DM63" s="222"/>
      <c r="DN63" s="222"/>
      <c r="DO63" s="222"/>
      <c r="DP63" s="222"/>
      <c r="DQ63" s="222"/>
      <c r="DR63" s="222"/>
      <c r="DS63" s="222"/>
      <c r="DT63" s="222"/>
      <c r="DU63" s="222"/>
      <c r="DV63" s="222"/>
      <c r="DW63" s="222"/>
      <c r="DX63" s="222"/>
      <c r="DY63" s="222"/>
      <c r="DZ63" s="222"/>
      <c r="EA63" s="222"/>
      <c r="EB63" s="222"/>
      <c r="EC63" s="222"/>
      <c r="ED63" s="222"/>
      <c r="EE63" s="222"/>
      <c r="EF63" s="222"/>
      <c r="EG63" s="222"/>
      <c r="EH63" s="222"/>
    </row>
    <row r="64" spans="1:138" ht="15.95" hidden="1" outlineLevel="1">
      <c r="A64" s="505"/>
      <c r="B64" s="600"/>
      <c r="C64" s="286" t="s">
        <v>257</v>
      </c>
      <c r="D64" s="250" t="s">
        <v>223</v>
      </c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87">
        <f t="shared" ref="BY64:BY86" si="25">SUM(E64:BX64)</f>
        <v>0</v>
      </c>
      <c r="BZ64" s="597"/>
      <c r="CA64" s="222"/>
      <c r="CB64" s="248"/>
      <c r="CC64" s="597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</row>
    <row r="65" spans="1:138" ht="15.95" hidden="1" outlineLevel="1">
      <c r="A65" s="505"/>
      <c r="B65" s="600"/>
      <c r="C65" s="288" t="s">
        <v>258</v>
      </c>
      <c r="D65" s="250" t="s">
        <v>223</v>
      </c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87">
        <f t="shared" si="25"/>
        <v>0</v>
      </c>
      <c r="BZ65" s="597"/>
      <c r="CA65" s="222"/>
      <c r="CB65" s="248"/>
      <c r="CC65" s="597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2"/>
      <c r="DC65" s="222"/>
      <c r="DD65" s="222"/>
      <c r="DE65" s="222"/>
      <c r="DF65" s="222"/>
      <c r="DG65" s="222"/>
      <c r="DH65" s="222"/>
      <c r="DI65" s="222"/>
      <c r="DJ65" s="222"/>
      <c r="DK65" s="222"/>
      <c r="DL65" s="222"/>
      <c r="DM65" s="222"/>
      <c r="DN65" s="222"/>
      <c r="DO65" s="222"/>
      <c r="DP65" s="222"/>
      <c r="DQ65" s="222"/>
      <c r="DR65" s="222"/>
      <c r="DS65" s="222"/>
      <c r="DT65" s="222"/>
      <c r="DU65" s="222"/>
      <c r="DV65" s="222"/>
      <c r="DW65" s="222"/>
      <c r="DX65" s="222"/>
      <c r="DY65" s="222"/>
      <c r="DZ65" s="222"/>
      <c r="EA65" s="222"/>
      <c r="EB65" s="222"/>
      <c r="EC65" s="222"/>
      <c r="ED65" s="222"/>
      <c r="EE65" s="222"/>
      <c r="EF65" s="222"/>
      <c r="EG65" s="222"/>
      <c r="EH65" s="222"/>
    </row>
    <row r="66" spans="1:138" ht="15.95" hidden="1" outlineLevel="1">
      <c r="A66" s="505"/>
      <c r="B66" s="600"/>
      <c r="C66" s="288" t="s">
        <v>259</v>
      </c>
      <c r="D66" s="250" t="s">
        <v>223</v>
      </c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87">
        <f t="shared" si="25"/>
        <v>0</v>
      </c>
      <c r="BZ66" s="597"/>
      <c r="CA66" s="222"/>
      <c r="CB66" s="248"/>
      <c r="CC66" s="597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</row>
    <row r="67" spans="1:138" ht="15.95" hidden="1" outlineLevel="1">
      <c r="A67" s="505"/>
      <c r="B67" s="600"/>
      <c r="C67" s="288" t="s">
        <v>260</v>
      </c>
      <c r="D67" s="250" t="s">
        <v>223</v>
      </c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87">
        <f t="shared" si="25"/>
        <v>0</v>
      </c>
      <c r="BZ67" s="597"/>
      <c r="CA67" s="222"/>
      <c r="CB67" s="248"/>
      <c r="CC67" s="597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</row>
    <row r="68" spans="1:138" ht="15.95" hidden="1" outlineLevel="1">
      <c r="A68" s="505"/>
      <c r="B68" s="600"/>
      <c r="C68" s="288" t="s">
        <v>261</v>
      </c>
      <c r="D68" s="250" t="s">
        <v>223</v>
      </c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87">
        <f t="shared" si="25"/>
        <v>0</v>
      </c>
      <c r="BZ68" s="597"/>
      <c r="CA68" s="222"/>
      <c r="CB68" s="248"/>
      <c r="CC68" s="597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</row>
    <row r="69" spans="1:138" ht="15.95" hidden="1" outlineLevel="1">
      <c r="A69" s="505"/>
      <c r="B69" s="600"/>
      <c r="C69" s="288" t="s">
        <v>262</v>
      </c>
      <c r="D69" s="250" t="s">
        <v>223</v>
      </c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87">
        <f t="shared" si="25"/>
        <v>0</v>
      </c>
      <c r="BZ69" s="597"/>
      <c r="CA69" s="222"/>
      <c r="CB69" s="248"/>
      <c r="CC69" s="597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</row>
    <row r="70" spans="1:138" ht="15.95" hidden="1" outlineLevel="1">
      <c r="A70" s="505"/>
      <c r="B70" s="600"/>
      <c r="C70" s="288" t="s">
        <v>263</v>
      </c>
      <c r="D70" s="250" t="s">
        <v>223</v>
      </c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87">
        <f t="shared" si="25"/>
        <v>0</v>
      </c>
      <c r="BZ70" s="597"/>
      <c r="CA70" s="222"/>
      <c r="CB70" s="248"/>
      <c r="CC70" s="597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2"/>
      <c r="DI70" s="222"/>
      <c r="DJ70" s="222"/>
      <c r="DK70" s="222"/>
      <c r="DL70" s="222"/>
      <c r="DM70" s="222"/>
      <c r="DN70" s="222"/>
      <c r="DO70" s="222"/>
      <c r="DP70" s="222"/>
      <c r="DQ70" s="222"/>
      <c r="DR70" s="222"/>
      <c r="DS70" s="222"/>
      <c r="DT70" s="222"/>
      <c r="DU70" s="222"/>
      <c r="DV70" s="222"/>
      <c r="DW70" s="222"/>
      <c r="DX70" s="222"/>
      <c r="DY70" s="222"/>
      <c r="DZ70" s="222"/>
      <c r="EA70" s="222"/>
      <c r="EB70" s="222"/>
      <c r="EC70" s="222"/>
      <c r="ED70" s="222"/>
      <c r="EE70" s="222"/>
      <c r="EF70" s="222"/>
      <c r="EG70" s="222"/>
      <c r="EH70" s="222"/>
    </row>
    <row r="71" spans="1:138" ht="15.95" hidden="1" outlineLevel="1">
      <c r="A71" s="505"/>
      <c r="B71" s="600"/>
      <c r="C71" s="288" t="s">
        <v>264</v>
      </c>
      <c r="D71" s="250" t="s">
        <v>223</v>
      </c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87">
        <f t="shared" si="25"/>
        <v>0</v>
      </c>
      <c r="BZ71" s="597"/>
      <c r="CA71" s="222"/>
      <c r="CB71" s="248"/>
      <c r="CC71" s="597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D71" s="222"/>
      <c r="EE71" s="222"/>
      <c r="EF71" s="222"/>
      <c r="EG71" s="222"/>
      <c r="EH71" s="222"/>
    </row>
    <row r="72" spans="1:138" ht="15.95" hidden="1" outlineLevel="1">
      <c r="A72" s="505"/>
      <c r="B72" s="600"/>
      <c r="C72" s="288" t="s">
        <v>265</v>
      </c>
      <c r="D72" s="250" t="s">
        <v>223</v>
      </c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87">
        <f t="shared" si="25"/>
        <v>0</v>
      </c>
      <c r="BZ72" s="597"/>
      <c r="CA72" s="222"/>
      <c r="CB72" s="248"/>
      <c r="CC72" s="597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2"/>
      <c r="DI72" s="222"/>
      <c r="DJ72" s="222"/>
      <c r="DK72" s="222"/>
      <c r="DL72" s="222"/>
      <c r="DM72" s="222"/>
      <c r="DN72" s="222"/>
      <c r="DO72" s="222"/>
      <c r="DP72" s="222"/>
      <c r="DQ72" s="222"/>
      <c r="DR72" s="222"/>
      <c r="DS72" s="222"/>
      <c r="DT72" s="222"/>
      <c r="DU72" s="222"/>
      <c r="DV72" s="222"/>
      <c r="DW72" s="222"/>
      <c r="DX72" s="222"/>
      <c r="DY72" s="222"/>
      <c r="DZ72" s="222"/>
      <c r="EA72" s="222"/>
      <c r="EB72" s="222"/>
      <c r="EC72" s="222"/>
      <c r="ED72" s="222"/>
      <c r="EE72" s="222"/>
      <c r="EF72" s="222"/>
      <c r="EG72" s="222"/>
      <c r="EH72" s="222"/>
    </row>
    <row r="73" spans="1:138" ht="15.95" hidden="1" outlineLevel="1">
      <c r="A73" s="505"/>
      <c r="B73" s="600"/>
      <c r="C73" s="288" t="s">
        <v>266</v>
      </c>
      <c r="D73" s="250" t="s">
        <v>223</v>
      </c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87">
        <f t="shared" si="25"/>
        <v>0</v>
      </c>
      <c r="BZ73" s="597"/>
      <c r="CA73" s="222"/>
      <c r="CB73" s="248"/>
      <c r="CC73" s="597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  <c r="DI73" s="222"/>
      <c r="DJ73" s="222"/>
      <c r="DK73" s="222"/>
      <c r="DL73" s="222"/>
      <c r="DM73" s="222"/>
      <c r="DN73" s="222"/>
      <c r="DO73" s="222"/>
      <c r="DP73" s="222"/>
      <c r="DQ73" s="222"/>
      <c r="DR73" s="222"/>
      <c r="DS73" s="222"/>
      <c r="DT73" s="222"/>
      <c r="DU73" s="222"/>
      <c r="DV73" s="222"/>
      <c r="DW73" s="222"/>
      <c r="DX73" s="222"/>
      <c r="DY73" s="222"/>
      <c r="DZ73" s="222"/>
      <c r="EA73" s="222"/>
      <c r="EB73" s="222"/>
      <c r="EC73" s="222"/>
      <c r="ED73" s="222"/>
      <c r="EE73" s="222"/>
      <c r="EF73" s="222"/>
      <c r="EG73" s="222"/>
      <c r="EH73" s="222"/>
    </row>
    <row r="74" spans="1:138" ht="15.95" hidden="1" outlineLevel="1">
      <c r="A74" s="505"/>
      <c r="B74" s="600"/>
      <c r="C74" s="288" t="s">
        <v>267</v>
      </c>
      <c r="D74" s="250" t="s">
        <v>223</v>
      </c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87">
        <f t="shared" si="25"/>
        <v>0</v>
      </c>
      <c r="BZ74" s="597"/>
      <c r="CA74" s="222"/>
      <c r="CB74" s="248"/>
      <c r="CC74" s="597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2"/>
      <c r="DI74" s="222"/>
      <c r="DJ74" s="222"/>
      <c r="DK74" s="222"/>
      <c r="DL74" s="222"/>
      <c r="DM74" s="222"/>
      <c r="DN74" s="222"/>
      <c r="DO74" s="222"/>
      <c r="DP74" s="222"/>
      <c r="DQ74" s="222"/>
      <c r="DR74" s="222"/>
      <c r="DS74" s="222"/>
      <c r="DT74" s="222"/>
      <c r="DU74" s="222"/>
      <c r="DV74" s="222"/>
      <c r="DW74" s="222"/>
      <c r="DX74" s="222"/>
      <c r="DY74" s="222"/>
      <c r="DZ74" s="222"/>
      <c r="EA74" s="222"/>
      <c r="EB74" s="222"/>
      <c r="EC74" s="222"/>
      <c r="ED74" s="222"/>
      <c r="EE74" s="222"/>
      <c r="EF74" s="222"/>
      <c r="EG74" s="222"/>
      <c r="EH74" s="222"/>
    </row>
    <row r="75" spans="1:138" ht="15.95" hidden="1" outlineLevel="1">
      <c r="A75" s="505"/>
      <c r="B75" s="600"/>
      <c r="C75" s="288" t="s">
        <v>268</v>
      </c>
      <c r="D75" s="250" t="s">
        <v>223</v>
      </c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87">
        <f t="shared" si="25"/>
        <v>0</v>
      </c>
      <c r="BZ75" s="597"/>
      <c r="CA75" s="222"/>
      <c r="CB75" s="248"/>
      <c r="CC75" s="597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</row>
    <row r="76" spans="1:138" ht="15.95" hidden="1" outlineLevel="1">
      <c r="A76" s="505"/>
      <c r="B76" s="600"/>
      <c r="C76" s="288" t="s">
        <v>269</v>
      </c>
      <c r="D76" s="250" t="s">
        <v>223</v>
      </c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87">
        <f t="shared" si="25"/>
        <v>0</v>
      </c>
      <c r="BZ76" s="597"/>
      <c r="CA76" s="222"/>
      <c r="CB76" s="248"/>
      <c r="CC76" s="597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</row>
    <row r="77" spans="1:138" ht="15.95" hidden="1" outlineLevel="1">
      <c r="A77" s="505"/>
      <c r="B77" s="600"/>
      <c r="C77" s="288" t="s">
        <v>270</v>
      </c>
      <c r="D77" s="250" t="s">
        <v>223</v>
      </c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87">
        <f t="shared" si="25"/>
        <v>0</v>
      </c>
      <c r="BZ77" s="597"/>
      <c r="CA77" s="222"/>
      <c r="CB77" s="248"/>
      <c r="CC77" s="597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</row>
    <row r="78" spans="1:138" ht="15.95" hidden="1" outlineLevel="1">
      <c r="A78" s="505"/>
      <c r="B78" s="600"/>
      <c r="C78" s="288" t="s">
        <v>271</v>
      </c>
      <c r="D78" s="250" t="s">
        <v>223</v>
      </c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87">
        <f t="shared" si="25"/>
        <v>0</v>
      </c>
      <c r="BZ78" s="597"/>
      <c r="CA78" s="222"/>
      <c r="CB78" s="248"/>
      <c r="CC78" s="597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</row>
    <row r="79" spans="1:138" ht="15.95" hidden="1" outlineLevel="1">
      <c r="A79" s="505"/>
      <c r="B79" s="600"/>
      <c r="C79" s="288" t="s">
        <v>272</v>
      </c>
      <c r="D79" s="250" t="s">
        <v>223</v>
      </c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87">
        <f t="shared" si="25"/>
        <v>0</v>
      </c>
      <c r="BZ79" s="597"/>
      <c r="CA79" s="222"/>
      <c r="CB79" s="248"/>
      <c r="CC79" s="597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</row>
    <row r="80" spans="1:138" ht="15.95" hidden="1" outlineLevel="1">
      <c r="A80" s="505"/>
      <c r="B80" s="600"/>
      <c r="C80" s="288" t="s">
        <v>273</v>
      </c>
      <c r="D80" s="250" t="s">
        <v>223</v>
      </c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87">
        <f t="shared" si="25"/>
        <v>0</v>
      </c>
      <c r="BZ80" s="597"/>
      <c r="CA80" s="222"/>
      <c r="CB80" s="248"/>
      <c r="CC80" s="597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</row>
    <row r="81" spans="1:138" ht="15.95" hidden="1" outlineLevel="1">
      <c r="A81" s="505"/>
      <c r="B81" s="600"/>
      <c r="C81" s="288" t="s">
        <v>274</v>
      </c>
      <c r="D81" s="250" t="s">
        <v>223</v>
      </c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87">
        <f t="shared" si="25"/>
        <v>0</v>
      </c>
      <c r="BZ81" s="597"/>
      <c r="CA81" s="222"/>
      <c r="CB81" s="248"/>
      <c r="CC81" s="597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</row>
    <row r="82" spans="1:138" ht="15.95" hidden="1" outlineLevel="1">
      <c r="A82" s="505"/>
      <c r="B82" s="600"/>
      <c r="C82" s="289" t="s">
        <v>178</v>
      </c>
      <c r="D82" s="250" t="s">
        <v>223</v>
      </c>
      <c r="E82" s="252"/>
      <c r="F82" s="251"/>
      <c r="G82" s="251"/>
      <c r="H82" s="252"/>
      <c r="I82" s="252"/>
      <c r="J82" s="252"/>
      <c r="K82" s="252"/>
      <c r="L82" s="252"/>
      <c r="M82" s="252"/>
      <c r="N82" s="252"/>
      <c r="O82" s="252"/>
      <c r="P82" s="252"/>
      <c r="Q82" s="252">
        <f>-Businessplan_prodej!$N$19/12*1.21</f>
        <v>-98230.703999999983</v>
      </c>
      <c r="R82" s="252">
        <f>-Businessplan_prodej!$N$19/12*1.21</f>
        <v>-98230.703999999983</v>
      </c>
      <c r="S82" s="252">
        <f>-Businessplan_prodej!$N$19/12*1.21</f>
        <v>-98230.703999999983</v>
      </c>
      <c r="T82" s="252">
        <f>-Businessplan_prodej!$N$19/12*1.21</f>
        <v>-98230.703999999983</v>
      </c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87">
        <f t="shared" si="25"/>
        <v>-392922.81599999993</v>
      </c>
      <c r="BZ82" s="597"/>
      <c r="CA82" s="222"/>
      <c r="CB82" s="248"/>
      <c r="CC82" s="597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</row>
    <row r="83" spans="1:138" ht="15.95" hidden="1" outlineLevel="1">
      <c r="A83" s="505"/>
      <c r="B83" s="600"/>
      <c r="C83" s="288" t="s">
        <v>179</v>
      </c>
      <c r="D83" s="250" t="s">
        <v>223</v>
      </c>
      <c r="E83" s="252"/>
      <c r="F83" s="251"/>
      <c r="G83" s="251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87">
        <f t="shared" si="25"/>
        <v>0</v>
      </c>
      <c r="BZ83" s="597"/>
      <c r="CA83" s="222"/>
      <c r="CB83" s="248"/>
      <c r="CC83" s="597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</row>
    <row r="84" spans="1:138" ht="15.95" hidden="1" outlineLevel="1">
      <c r="A84" s="505"/>
      <c r="B84" s="600"/>
      <c r="C84" s="288" t="s">
        <v>189</v>
      </c>
      <c r="D84" s="250" t="s">
        <v>223</v>
      </c>
      <c r="E84" s="252"/>
      <c r="F84" s="251"/>
      <c r="G84" s="251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87">
        <f t="shared" si="25"/>
        <v>0</v>
      </c>
      <c r="BZ84" s="597"/>
      <c r="CA84" s="222"/>
      <c r="CB84" s="248"/>
      <c r="CC84" s="597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</row>
    <row r="85" spans="1:138" ht="15.95" hidden="1" outlineLevel="1">
      <c r="A85" s="505"/>
      <c r="B85" s="600"/>
      <c r="C85" s="288" t="s">
        <v>190</v>
      </c>
      <c r="D85" s="250" t="s">
        <v>223</v>
      </c>
      <c r="E85" s="252"/>
      <c r="F85" s="251"/>
      <c r="G85" s="251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87">
        <f t="shared" si="25"/>
        <v>0</v>
      </c>
      <c r="BZ85" s="597"/>
      <c r="CA85" s="222"/>
      <c r="CB85" s="248"/>
      <c r="CC85" s="597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</row>
    <row r="86" spans="1:138" ht="15.95" hidden="1" outlineLevel="1">
      <c r="A86" s="505"/>
      <c r="B86" s="600"/>
      <c r="C86" s="290" t="s">
        <v>275</v>
      </c>
      <c r="D86" s="254" t="s">
        <v>223</v>
      </c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87">
        <f t="shared" si="25"/>
        <v>0</v>
      </c>
      <c r="BZ86" s="597"/>
      <c r="CA86" s="222"/>
      <c r="CB86" s="248"/>
      <c r="CC86" s="597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</row>
    <row r="87" spans="1:138" ht="15.95" collapsed="1">
      <c r="A87" s="505"/>
      <c r="B87" s="600"/>
      <c r="C87" s="244" t="s">
        <v>276</v>
      </c>
      <c r="D87" s="245"/>
      <c r="E87" s="246">
        <f t="shared" ref="E87:BY87" si="26">SUM(E88:E89)</f>
        <v>0</v>
      </c>
      <c r="F87" s="246">
        <f t="shared" si="26"/>
        <v>0</v>
      </c>
      <c r="G87" s="246">
        <f t="shared" si="26"/>
        <v>0</v>
      </c>
      <c r="H87" s="246">
        <f t="shared" si="26"/>
        <v>0</v>
      </c>
      <c r="I87" s="246">
        <f t="shared" si="26"/>
        <v>0</v>
      </c>
      <c r="J87" s="246">
        <f t="shared" si="26"/>
        <v>0</v>
      </c>
      <c r="K87" s="246">
        <f t="shared" si="26"/>
        <v>0</v>
      </c>
      <c r="L87" s="246">
        <f t="shared" si="26"/>
        <v>0</v>
      </c>
      <c r="M87" s="246">
        <f t="shared" si="26"/>
        <v>0</v>
      </c>
      <c r="N87" s="246">
        <f t="shared" si="26"/>
        <v>0</v>
      </c>
      <c r="O87" s="246">
        <f t="shared" si="26"/>
        <v>0</v>
      </c>
      <c r="P87" s="246">
        <f t="shared" si="26"/>
        <v>0</v>
      </c>
      <c r="Q87" s="246">
        <f t="shared" si="26"/>
        <v>0</v>
      </c>
      <c r="R87" s="246">
        <f t="shared" si="26"/>
        <v>0</v>
      </c>
      <c r="S87" s="246">
        <f t="shared" si="26"/>
        <v>0</v>
      </c>
      <c r="T87" s="246">
        <f t="shared" si="26"/>
        <v>0</v>
      </c>
      <c r="U87" s="246">
        <f t="shared" si="26"/>
        <v>0</v>
      </c>
      <c r="V87" s="246">
        <f t="shared" si="26"/>
        <v>0</v>
      </c>
      <c r="W87" s="246">
        <f t="shared" si="26"/>
        <v>0</v>
      </c>
      <c r="X87" s="246">
        <f t="shared" si="26"/>
        <v>0</v>
      </c>
      <c r="Y87" s="246">
        <f t="shared" si="26"/>
        <v>0</v>
      </c>
      <c r="Z87" s="246">
        <f t="shared" si="26"/>
        <v>0</v>
      </c>
      <c r="AA87" s="246">
        <f t="shared" si="26"/>
        <v>0</v>
      </c>
      <c r="AB87" s="246">
        <f t="shared" si="26"/>
        <v>0</v>
      </c>
      <c r="AC87" s="246">
        <f t="shared" si="26"/>
        <v>0</v>
      </c>
      <c r="AD87" s="246">
        <f t="shared" si="26"/>
        <v>0</v>
      </c>
      <c r="AE87" s="246">
        <f t="shared" si="26"/>
        <v>0</v>
      </c>
      <c r="AF87" s="246">
        <f t="shared" si="26"/>
        <v>0</v>
      </c>
      <c r="AG87" s="246">
        <f t="shared" si="26"/>
        <v>0</v>
      </c>
      <c r="AH87" s="246">
        <f t="shared" si="26"/>
        <v>0</v>
      </c>
      <c r="AI87" s="246">
        <f t="shared" si="26"/>
        <v>0</v>
      </c>
      <c r="AJ87" s="246">
        <f t="shared" si="26"/>
        <v>0</v>
      </c>
      <c r="AK87" s="246">
        <f t="shared" si="26"/>
        <v>0</v>
      </c>
      <c r="AL87" s="246">
        <f t="shared" si="26"/>
        <v>0</v>
      </c>
      <c r="AM87" s="246">
        <f t="shared" si="26"/>
        <v>0</v>
      </c>
      <c r="AN87" s="246">
        <f t="shared" si="26"/>
        <v>0</v>
      </c>
      <c r="AO87" s="246">
        <f t="shared" si="26"/>
        <v>0</v>
      </c>
      <c r="AP87" s="246">
        <f t="shared" si="26"/>
        <v>0</v>
      </c>
      <c r="AQ87" s="246">
        <f t="shared" si="26"/>
        <v>0</v>
      </c>
      <c r="AR87" s="246">
        <f t="shared" si="26"/>
        <v>0</v>
      </c>
      <c r="AS87" s="246">
        <f t="shared" si="26"/>
        <v>0</v>
      </c>
      <c r="AT87" s="246">
        <f t="shared" si="26"/>
        <v>0</v>
      </c>
      <c r="AU87" s="246">
        <f t="shared" si="26"/>
        <v>0</v>
      </c>
      <c r="AV87" s="246">
        <f t="shared" si="26"/>
        <v>0</v>
      </c>
      <c r="AW87" s="246">
        <f t="shared" si="26"/>
        <v>0</v>
      </c>
      <c r="AX87" s="246">
        <f t="shared" si="26"/>
        <v>0</v>
      </c>
      <c r="AY87" s="246">
        <f t="shared" si="26"/>
        <v>0</v>
      </c>
      <c r="AZ87" s="246">
        <f t="shared" si="26"/>
        <v>0</v>
      </c>
      <c r="BA87" s="246">
        <f t="shared" si="26"/>
        <v>0</v>
      </c>
      <c r="BB87" s="246">
        <f t="shared" si="26"/>
        <v>0</v>
      </c>
      <c r="BC87" s="246">
        <f t="shared" si="26"/>
        <v>0</v>
      </c>
      <c r="BD87" s="246">
        <f t="shared" si="26"/>
        <v>0</v>
      </c>
      <c r="BE87" s="246">
        <f t="shared" si="26"/>
        <v>0</v>
      </c>
      <c r="BF87" s="246">
        <f t="shared" si="26"/>
        <v>0</v>
      </c>
      <c r="BG87" s="246">
        <f t="shared" si="26"/>
        <v>0</v>
      </c>
      <c r="BH87" s="246">
        <f t="shared" si="26"/>
        <v>0</v>
      </c>
      <c r="BI87" s="246">
        <f t="shared" si="26"/>
        <v>0</v>
      </c>
      <c r="BJ87" s="246">
        <f t="shared" si="26"/>
        <v>0</v>
      </c>
      <c r="BK87" s="246">
        <f t="shared" si="26"/>
        <v>0</v>
      </c>
      <c r="BL87" s="246">
        <f t="shared" si="26"/>
        <v>0</v>
      </c>
      <c r="BM87" s="246">
        <f t="shared" si="26"/>
        <v>0</v>
      </c>
      <c r="BN87" s="246">
        <f t="shared" si="26"/>
        <v>0</v>
      </c>
      <c r="BO87" s="246">
        <f t="shared" si="26"/>
        <v>0</v>
      </c>
      <c r="BP87" s="246">
        <f t="shared" si="26"/>
        <v>0</v>
      </c>
      <c r="BQ87" s="246">
        <f t="shared" si="26"/>
        <v>0</v>
      </c>
      <c r="BR87" s="246">
        <f t="shared" si="26"/>
        <v>0</v>
      </c>
      <c r="BS87" s="246">
        <f t="shared" si="26"/>
        <v>0</v>
      </c>
      <c r="BT87" s="246">
        <f t="shared" si="26"/>
        <v>0</v>
      </c>
      <c r="BU87" s="246">
        <f t="shared" si="26"/>
        <v>0</v>
      </c>
      <c r="BV87" s="246">
        <f t="shared" si="26"/>
        <v>0</v>
      </c>
      <c r="BW87" s="246">
        <f t="shared" si="26"/>
        <v>0</v>
      </c>
      <c r="BX87" s="246">
        <f t="shared" si="26"/>
        <v>0</v>
      </c>
      <c r="BY87" s="247">
        <f t="shared" si="26"/>
        <v>0</v>
      </c>
      <c r="BZ87" s="597"/>
      <c r="CA87" s="222"/>
      <c r="CB87" s="248"/>
      <c r="CC87" s="597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</row>
    <row r="88" spans="1:138" ht="15.95" hidden="1" outlineLevel="1">
      <c r="A88" s="505"/>
      <c r="B88" s="600"/>
      <c r="C88" s="286" t="s">
        <v>277</v>
      </c>
      <c r="D88" s="250" t="s">
        <v>223</v>
      </c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  <c r="AR88" s="256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92">
        <f t="shared" ref="BY88:BY89" si="27">SUM(E88:BX88)</f>
        <v>0</v>
      </c>
      <c r="BZ88" s="597"/>
      <c r="CA88" s="222"/>
      <c r="CB88" s="248"/>
      <c r="CC88" s="597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</row>
    <row r="89" spans="1:138" ht="15.95" hidden="1" outlineLevel="1">
      <c r="A89" s="505"/>
      <c r="B89" s="600"/>
      <c r="C89" s="290" t="s">
        <v>278</v>
      </c>
      <c r="D89" s="254" t="s">
        <v>223</v>
      </c>
      <c r="E89" s="283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  <c r="BS89" s="284"/>
      <c r="BT89" s="284"/>
      <c r="BU89" s="284"/>
      <c r="BV89" s="284"/>
      <c r="BW89" s="284"/>
      <c r="BX89" s="284"/>
      <c r="BY89" s="293">
        <f t="shared" si="27"/>
        <v>0</v>
      </c>
      <c r="BZ89" s="592"/>
      <c r="CA89" s="222"/>
      <c r="CB89" s="248"/>
      <c r="CC89" s="59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</row>
    <row r="90" spans="1:138" collapsed="1">
      <c r="A90" s="505"/>
      <c r="B90" s="600"/>
      <c r="C90" s="244" t="s">
        <v>279</v>
      </c>
      <c r="D90" s="245"/>
      <c r="E90" s="246">
        <f t="shared" ref="E90:BX90" si="28">SUM(E91:E97)</f>
        <v>0</v>
      </c>
      <c r="F90" s="246">
        <f t="shared" si="28"/>
        <v>0</v>
      </c>
      <c r="G90" s="246">
        <f t="shared" si="28"/>
        <v>0</v>
      </c>
      <c r="H90" s="246">
        <f t="shared" si="28"/>
        <v>0</v>
      </c>
      <c r="I90" s="246">
        <f t="shared" si="28"/>
        <v>0</v>
      </c>
      <c r="J90" s="246">
        <f t="shared" si="28"/>
        <v>0</v>
      </c>
      <c r="K90" s="246">
        <f t="shared" si="28"/>
        <v>0</v>
      </c>
      <c r="L90" s="246">
        <f t="shared" si="28"/>
        <v>0</v>
      </c>
      <c r="M90" s="246">
        <f t="shared" si="28"/>
        <v>0</v>
      </c>
      <c r="N90" s="246">
        <f t="shared" si="28"/>
        <v>0</v>
      </c>
      <c r="O90" s="246">
        <f t="shared" si="28"/>
        <v>0</v>
      </c>
      <c r="P90" s="246">
        <f t="shared" si="28"/>
        <v>0</v>
      </c>
      <c r="Q90" s="246">
        <f t="shared" si="28"/>
        <v>-60405.454753502156</v>
      </c>
      <c r="R90" s="246">
        <f t="shared" si="28"/>
        <v>-60405.454753502156</v>
      </c>
      <c r="S90" s="246">
        <f t="shared" si="28"/>
        <v>-60405.454753502156</v>
      </c>
      <c r="T90" s="246">
        <f t="shared" si="28"/>
        <v>-72987201.63573949</v>
      </c>
      <c r="U90" s="246">
        <f t="shared" si="28"/>
        <v>0</v>
      </c>
      <c r="V90" s="246">
        <f t="shared" si="28"/>
        <v>0</v>
      </c>
      <c r="W90" s="246">
        <f t="shared" si="28"/>
        <v>0</v>
      </c>
      <c r="X90" s="246">
        <f t="shared" si="28"/>
        <v>0</v>
      </c>
      <c r="Y90" s="246">
        <f t="shared" si="28"/>
        <v>0</v>
      </c>
      <c r="Z90" s="246">
        <f t="shared" si="28"/>
        <v>0</v>
      </c>
      <c r="AA90" s="246">
        <f t="shared" si="28"/>
        <v>0</v>
      </c>
      <c r="AB90" s="246">
        <f t="shared" si="28"/>
        <v>0</v>
      </c>
      <c r="AC90" s="246">
        <f t="shared" si="28"/>
        <v>0</v>
      </c>
      <c r="AD90" s="246">
        <f t="shared" si="28"/>
        <v>0</v>
      </c>
      <c r="AE90" s="246">
        <f t="shared" si="28"/>
        <v>0</v>
      </c>
      <c r="AF90" s="246">
        <f t="shared" si="28"/>
        <v>0</v>
      </c>
      <c r="AG90" s="246">
        <f t="shared" si="28"/>
        <v>0</v>
      </c>
      <c r="AH90" s="246">
        <f t="shared" si="28"/>
        <v>0</v>
      </c>
      <c r="AI90" s="246">
        <f t="shared" si="28"/>
        <v>0</v>
      </c>
      <c r="AJ90" s="246">
        <f t="shared" si="28"/>
        <v>0</v>
      </c>
      <c r="AK90" s="246">
        <f t="shared" si="28"/>
        <v>0</v>
      </c>
      <c r="AL90" s="246">
        <f t="shared" si="28"/>
        <v>0</v>
      </c>
      <c r="AM90" s="246">
        <f t="shared" si="28"/>
        <v>0</v>
      </c>
      <c r="AN90" s="246">
        <f t="shared" si="28"/>
        <v>0</v>
      </c>
      <c r="AO90" s="246">
        <f t="shared" si="28"/>
        <v>0</v>
      </c>
      <c r="AP90" s="246">
        <f t="shared" si="28"/>
        <v>0</v>
      </c>
      <c r="AQ90" s="246">
        <f t="shared" si="28"/>
        <v>0</v>
      </c>
      <c r="AR90" s="246">
        <f t="shared" si="28"/>
        <v>0</v>
      </c>
      <c r="AS90" s="246">
        <f t="shared" si="28"/>
        <v>0</v>
      </c>
      <c r="AT90" s="246">
        <f t="shared" si="28"/>
        <v>0</v>
      </c>
      <c r="AU90" s="246">
        <f t="shared" si="28"/>
        <v>0</v>
      </c>
      <c r="AV90" s="246">
        <f t="shared" si="28"/>
        <v>0</v>
      </c>
      <c r="AW90" s="246">
        <f t="shared" si="28"/>
        <v>0</v>
      </c>
      <c r="AX90" s="246">
        <f t="shared" si="28"/>
        <v>0</v>
      </c>
      <c r="AY90" s="246">
        <f t="shared" si="28"/>
        <v>0</v>
      </c>
      <c r="AZ90" s="246">
        <f t="shared" si="28"/>
        <v>0</v>
      </c>
      <c r="BA90" s="246">
        <f t="shared" si="28"/>
        <v>0</v>
      </c>
      <c r="BB90" s="246">
        <f t="shared" si="28"/>
        <v>0</v>
      </c>
      <c r="BC90" s="246">
        <f t="shared" si="28"/>
        <v>0</v>
      </c>
      <c r="BD90" s="246">
        <f t="shared" si="28"/>
        <v>0</v>
      </c>
      <c r="BE90" s="246">
        <f t="shared" si="28"/>
        <v>0</v>
      </c>
      <c r="BF90" s="246">
        <f t="shared" si="28"/>
        <v>0</v>
      </c>
      <c r="BG90" s="246">
        <f t="shared" si="28"/>
        <v>0</v>
      </c>
      <c r="BH90" s="246">
        <f t="shared" si="28"/>
        <v>0</v>
      </c>
      <c r="BI90" s="246">
        <f t="shared" si="28"/>
        <v>0</v>
      </c>
      <c r="BJ90" s="246">
        <f t="shared" si="28"/>
        <v>0</v>
      </c>
      <c r="BK90" s="246">
        <f t="shared" si="28"/>
        <v>0</v>
      </c>
      <c r="BL90" s="246">
        <f t="shared" si="28"/>
        <v>0</v>
      </c>
      <c r="BM90" s="246">
        <f t="shared" si="28"/>
        <v>0</v>
      </c>
      <c r="BN90" s="246">
        <f t="shared" si="28"/>
        <v>0</v>
      </c>
      <c r="BO90" s="246">
        <f t="shared" si="28"/>
        <v>0</v>
      </c>
      <c r="BP90" s="246">
        <f t="shared" si="28"/>
        <v>0</v>
      </c>
      <c r="BQ90" s="246">
        <f t="shared" si="28"/>
        <v>0</v>
      </c>
      <c r="BR90" s="246">
        <f t="shared" si="28"/>
        <v>0</v>
      </c>
      <c r="BS90" s="246">
        <f t="shared" si="28"/>
        <v>0</v>
      </c>
      <c r="BT90" s="246">
        <f t="shared" si="28"/>
        <v>0</v>
      </c>
      <c r="BU90" s="246">
        <f t="shared" si="28"/>
        <v>0</v>
      </c>
      <c r="BV90" s="246">
        <f t="shared" si="28"/>
        <v>0</v>
      </c>
      <c r="BW90" s="246">
        <f t="shared" si="28"/>
        <v>0</v>
      </c>
      <c r="BX90" s="246">
        <f t="shared" si="28"/>
        <v>0</v>
      </c>
      <c r="BY90" s="564" t="e">
        <f>BZ17</f>
        <v>#REF!</v>
      </c>
      <c r="BZ90" s="599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</row>
    <row r="91" spans="1:138" hidden="1" outlineLevel="1">
      <c r="A91" s="505"/>
      <c r="B91" s="600"/>
      <c r="C91" s="249" t="s">
        <v>280</v>
      </c>
      <c r="D91" s="250" t="s">
        <v>223</v>
      </c>
      <c r="E91" s="251"/>
      <c r="F91" s="251"/>
      <c r="G91" s="251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>
        <f t="shared" ref="T91:T92" si="29">-BY5</f>
        <v>-16365002</v>
      </c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2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60"/>
      <c r="BY91" s="292">
        <f t="shared" ref="BY91:BY97" si="30">SUM(E91:BX91)</f>
        <v>-16365002</v>
      </c>
      <c r="BZ91" s="562">
        <f>SUM(BY91:BY97)</f>
        <v>-73168418</v>
      </c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</row>
    <row r="92" spans="1:138" hidden="1" outlineLevel="1">
      <c r="A92" s="249" t="s">
        <v>281</v>
      </c>
      <c r="B92" s="600"/>
      <c r="C92" s="249" t="s">
        <v>282</v>
      </c>
      <c r="D92" s="250" t="s">
        <v>223</v>
      </c>
      <c r="E92" s="251"/>
      <c r="F92" s="251"/>
      <c r="G92" s="251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>
        <f t="shared" si="29"/>
        <v>-7870667</v>
      </c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60"/>
      <c r="BY92" s="287">
        <f t="shared" si="30"/>
        <v>-7870667</v>
      </c>
      <c r="BZ92" s="597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</row>
    <row r="93" spans="1:138" hidden="1" outlineLevel="1">
      <c r="A93" s="249" t="s">
        <v>283</v>
      </c>
      <c r="B93" s="600"/>
      <c r="C93" s="289" t="s">
        <v>281</v>
      </c>
      <c r="D93" s="250" t="s">
        <v>223</v>
      </c>
      <c r="E93" s="251"/>
      <c r="F93" s="251"/>
      <c r="G93" s="251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60"/>
      <c r="BY93" s="287">
        <f t="shared" si="30"/>
        <v>0</v>
      </c>
      <c r="BZ93" s="597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</row>
    <row r="94" spans="1:138" hidden="1" outlineLevel="1">
      <c r="A94" s="505"/>
      <c r="B94" s="600"/>
      <c r="C94" s="288" t="s">
        <v>283</v>
      </c>
      <c r="D94" s="250" t="s">
        <v>223</v>
      </c>
      <c r="E94" s="251"/>
      <c r="F94" s="251"/>
      <c r="G94" s="251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60"/>
      <c r="BY94" s="287">
        <f t="shared" si="30"/>
        <v>0</v>
      </c>
      <c r="BZ94" s="597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</row>
    <row r="95" spans="1:138" hidden="1" outlineLevel="1">
      <c r="A95" s="505"/>
      <c r="B95" s="600"/>
      <c r="C95" s="249" t="s">
        <v>284</v>
      </c>
      <c r="D95" s="250" t="s">
        <v>223</v>
      </c>
      <c r="E95" s="251"/>
      <c r="F95" s="251"/>
      <c r="G95" s="251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2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60"/>
      <c r="BY95" s="287">
        <f t="shared" si="30"/>
        <v>0</v>
      </c>
      <c r="BZ95" s="597"/>
      <c r="CA95" s="222"/>
      <c r="CB95" s="222"/>
      <c r="CC95" s="222"/>
      <c r="CD95" s="222"/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222"/>
      <c r="DU95" s="222"/>
      <c r="DV95" s="222"/>
      <c r="DW95" s="222"/>
      <c r="DX95" s="222"/>
      <c r="DY95" s="222"/>
      <c r="DZ95" s="222"/>
      <c r="EA95" s="222"/>
      <c r="EB95" s="222"/>
      <c r="EC95" s="222"/>
      <c r="ED95" s="222"/>
      <c r="EE95" s="222"/>
      <c r="EF95" s="222"/>
      <c r="EG95" s="222"/>
      <c r="EH95" s="222"/>
    </row>
    <row r="96" spans="1:138" hidden="1" outlineLevel="1">
      <c r="A96" s="505"/>
      <c r="B96" s="600"/>
      <c r="C96" s="249" t="s">
        <v>330</v>
      </c>
      <c r="D96" s="250" t="s">
        <v>223</v>
      </c>
      <c r="E96" s="251"/>
      <c r="F96" s="251"/>
      <c r="G96" s="251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2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60"/>
      <c r="BY96" s="294">
        <f t="shared" si="30"/>
        <v>0</v>
      </c>
      <c r="BZ96" s="597"/>
      <c r="CA96" s="222"/>
      <c r="CB96" s="222"/>
      <c r="CC96" s="222"/>
      <c r="CD96" s="222"/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2"/>
      <c r="CQ96" s="222"/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2"/>
      <c r="DI96" s="222"/>
      <c r="DJ96" s="222"/>
      <c r="DK96" s="222"/>
      <c r="DL96" s="222"/>
      <c r="DM96" s="222"/>
      <c r="DN96" s="222"/>
      <c r="DO96" s="222"/>
      <c r="DP96" s="222"/>
      <c r="DQ96" s="222"/>
      <c r="DR96" s="222"/>
      <c r="DS96" s="222"/>
      <c r="DT96" s="222"/>
      <c r="DU96" s="222"/>
      <c r="DV96" s="222"/>
      <c r="DW96" s="222"/>
      <c r="DX96" s="222"/>
      <c r="DY96" s="222"/>
      <c r="DZ96" s="222"/>
      <c r="EA96" s="222"/>
      <c r="EB96" s="222"/>
      <c r="EC96" s="222"/>
      <c r="ED96" s="222"/>
      <c r="EE96" s="222"/>
      <c r="EF96" s="222"/>
      <c r="EG96" s="222"/>
      <c r="EH96" s="222"/>
    </row>
    <row r="97" spans="1:138" hidden="1" outlineLevel="1">
      <c r="A97" s="505"/>
      <c r="B97" s="601"/>
      <c r="C97" s="280" t="s">
        <v>286</v>
      </c>
      <c r="D97" s="295" t="s">
        <v>223</v>
      </c>
      <c r="E97" s="282"/>
      <c r="F97" s="282"/>
      <c r="G97" s="282"/>
      <c r="H97" s="283"/>
      <c r="I97" s="283"/>
      <c r="J97" s="283"/>
      <c r="K97" s="283"/>
      <c r="L97" s="283"/>
      <c r="M97" s="283"/>
      <c r="N97" s="283"/>
      <c r="O97" s="283"/>
      <c r="P97" s="283"/>
      <c r="Q97" s="283">
        <f t="shared" ref="Q97:S97" si="31">PMT($D$62/12,25*12,$BY11)-Q62</f>
        <v>-60405.454753502156</v>
      </c>
      <c r="R97" s="283">
        <f t="shared" si="31"/>
        <v>-60405.454753502156</v>
      </c>
      <c r="S97" s="283">
        <f t="shared" si="31"/>
        <v>-60405.454753502156</v>
      </c>
      <c r="T97" s="283">
        <f>-BY11-SUM(P97:S97)</f>
        <v>-48751532.63573949</v>
      </c>
      <c r="U97" s="282"/>
      <c r="V97" s="282"/>
      <c r="W97" s="282"/>
      <c r="X97" s="282"/>
      <c r="Y97" s="282"/>
      <c r="Z97" s="282"/>
      <c r="AA97" s="282"/>
      <c r="AB97" s="282"/>
      <c r="AC97" s="282"/>
      <c r="AD97" s="282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  <c r="BW97" s="282"/>
      <c r="BX97" s="284"/>
      <c r="BY97" s="264">
        <f t="shared" si="30"/>
        <v>-48932749</v>
      </c>
      <c r="BZ97" s="602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2"/>
      <c r="DI97" s="222"/>
      <c r="DJ97" s="222"/>
      <c r="DK97" s="222"/>
      <c r="DL97" s="222"/>
      <c r="DM97" s="222"/>
      <c r="DN97" s="222"/>
      <c r="DO97" s="222"/>
      <c r="DP97" s="222"/>
      <c r="DQ97" s="222"/>
      <c r="DR97" s="222"/>
      <c r="DS97" s="222"/>
      <c r="DT97" s="222"/>
      <c r="DU97" s="222"/>
      <c r="DV97" s="222"/>
      <c r="DW97" s="222"/>
      <c r="DX97" s="222"/>
      <c r="DY97" s="222"/>
      <c r="DZ97" s="222"/>
      <c r="EA97" s="222"/>
      <c r="EB97" s="222"/>
      <c r="EC97" s="222"/>
      <c r="ED97" s="222"/>
      <c r="EE97" s="222"/>
      <c r="EF97" s="222"/>
      <c r="EG97" s="222"/>
      <c r="EH97" s="222"/>
    </row>
    <row r="98" spans="1:138" ht="15.95">
      <c r="A98" s="505"/>
      <c r="B98" s="571" t="s">
        <v>287</v>
      </c>
      <c r="C98" s="592"/>
      <c r="D98" s="296" t="s">
        <v>223</v>
      </c>
      <c r="E98" s="297">
        <f t="shared" ref="E98:BX98" si="32">(E17+E23+E26+E34+E37+E49+E55+E63+E87+E90)</f>
        <v>0</v>
      </c>
      <c r="F98" s="297">
        <f t="shared" si="32"/>
        <v>0</v>
      </c>
      <c r="G98" s="297">
        <f t="shared" si="32"/>
        <v>0</v>
      </c>
      <c r="H98" s="297">
        <f t="shared" si="32"/>
        <v>-10722241.097148759</v>
      </c>
      <c r="I98" s="297">
        <f t="shared" si="32"/>
        <v>-1732151.6082231405</v>
      </c>
      <c r="J98" s="297">
        <f t="shared" si="32"/>
        <v>-2702921.6865833336</v>
      </c>
      <c r="K98" s="297">
        <f t="shared" si="32"/>
        <v>-7884965.489583333</v>
      </c>
      <c r="L98" s="297">
        <f t="shared" si="32"/>
        <v>-8250579.5795833329</v>
      </c>
      <c r="M98" s="297">
        <f t="shared" si="32"/>
        <v>-21609523.912916664</v>
      </c>
      <c r="N98" s="297">
        <f t="shared" si="32"/>
        <v>-9355707.9129166678</v>
      </c>
      <c r="O98" s="297">
        <f t="shared" si="32"/>
        <v>-9705822.2819166686</v>
      </c>
      <c r="P98" s="297">
        <f t="shared" si="32"/>
        <v>-6513774.1195833329</v>
      </c>
      <c r="Q98" s="297">
        <f t="shared" si="32"/>
        <v>-475582.96417016879</v>
      </c>
      <c r="R98" s="297">
        <f t="shared" si="32"/>
        <v>-475582.96417016879</v>
      </c>
      <c r="S98" s="297">
        <f t="shared" si="32"/>
        <v>-475582.96417016879</v>
      </c>
      <c r="T98" s="297" t="e">
        <f t="shared" si="32"/>
        <v>#REF!</v>
      </c>
      <c r="U98" s="297">
        <f t="shared" si="32"/>
        <v>0</v>
      </c>
      <c r="V98" s="297">
        <f t="shared" si="32"/>
        <v>0</v>
      </c>
      <c r="W98" s="297">
        <f t="shared" si="32"/>
        <v>0</v>
      </c>
      <c r="X98" s="297">
        <f t="shared" si="32"/>
        <v>0</v>
      </c>
      <c r="Y98" s="297">
        <f t="shared" si="32"/>
        <v>0</v>
      </c>
      <c r="Z98" s="297">
        <f t="shared" si="32"/>
        <v>0</v>
      </c>
      <c r="AA98" s="297">
        <f t="shared" si="32"/>
        <v>0</v>
      </c>
      <c r="AB98" s="297">
        <f t="shared" si="32"/>
        <v>0</v>
      </c>
      <c r="AC98" s="297">
        <f t="shared" si="32"/>
        <v>0</v>
      </c>
      <c r="AD98" s="297">
        <f t="shared" si="32"/>
        <v>0</v>
      </c>
      <c r="AE98" s="297">
        <f t="shared" si="32"/>
        <v>0</v>
      </c>
      <c r="AF98" s="297">
        <f t="shared" si="32"/>
        <v>0</v>
      </c>
      <c r="AG98" s="297">
        <f t="shared" si="32"/>
        <v>0</v>
      </c>
      <c r="AH98" s="297">
        <f t="shared" si="32"/>
        <v>0</v>
      </c>
      <c r="AI98" s="297">
        <f t="shared" si="32"/>
        <v>0</v>
      </c>
      <c r="AJ98" s="297">
        <f t="shared" si="32"/>
        <v>0</v>
      </c>
      <c r="AK98" s="297">
        <f t="shared" si="32"/>
        <v>0</v>
      </c>
      <c r="AL98" s="297">
        <f t="shared" si="32"/>
        <v>0</v>
      </c>
      <c r="AM98" s="297">
        <f t="shared" si="32"/>
        <v>0</v>
      </c>
      <c r="AN98" s="297">
        <f t="shared" si="32"/>
        <v>0</v>
      </c>
      <c r="AO98" s="297">
        <f t="shared" si="32"/>
        <v>0</v>
      </c>
      <c r="AP98" s="297">
        <f t="shared" si="32"/>
        <v>0</v>
      </c>
      <c r="AQ98" s="297">
        <f t="shared" si="32"/>
        <v>0</v>
      </c>
      <c r="AR98" s="297">
        <f t="shared" si="32"/>
        <v>0</v>
      </c>
      <c r="AS98" s="297">
        <f t="shared" si="32"/>
        <v>0</v>
      </c>
      <c r="AT98" s="297">
        <f t="shared" si="32"/>
        <v>0</v>
      </c>
      <c r="AU98" s="297">
        <f t="shared" si="32"/>
        <v>0</v>
      </c>
      <c r="AV98" s="297">
        <f t="shared" si="32"/>
        <v>0</v>
      </c>
      <c r="AW98" s="297">
        <f t="shared" si="32"/>
        <v>0</v>
      </c>
      <c r="AX98" s="297">
        <f t="shared" si="32"/>
        <v>0</v>
      </c>
      <c r="AY98" s="297">
        <f t="shared" si="32"/>
        <v>0</v>
      </c>
      <c r="AZ98" s="297">
        <f t="shared" si="32"/>
        <v>0</v>
      </c>
      <c r="BA98" s="297">
        <f t="shared" si="32"/>
        <v>0</v>
      </c>
      <c r="BB98" s="297">
        <f t="shared" si="32"/>
        <v>0</v>
      </c>
      <c r="BC98" s="297">
        <f t="shared" si="32"/>
        <v>0</v>
      </c>
      <c r="BD98" s="297">
        <f t="shared" si="32"/>
        <v>0</v>
      </c>
      <c r="BE98" s="297">
        <f t="shared" si="32"/>
        <v>0</v>
      </c>
      <c r="BF98" s="297">
        <f t="shared" si="32"/>
        <v>0</v>
      </c>
      <c r="BG98" s="297">
        <f t="shared" si="32"/>
        <v>0</v>
      </c>
      <c r="BH98" s="297">
        <f t="shared" si="32"/>
        <v>0</v>
      </c>
      <c r="BI98" s="297">
        <f t="shared" si="32"/>
        <v>0</v>
      </c>
      <c r="BJ98" s="297">
        <f t="shared" si="32"/>
        <v>0</v>
      </c>
      <c r="BK98" s="297">
        <f t="shared" si="32"/>
        <v>0</v>
      </c>
      <c r="BL98" s="297">
        <f t="shared" si="32"/>
        <v>0</v>
      </c>
      <c r="BM98" s="297">
        <f t="shared" si="32"/>
        <v>0</v>
      </c>
      <c r="BN98" s="297">
        <f t="shared" si="32"/>
        <v>0</v>
      </c>
      <c r="BO98" s="297">
        <f t="shared" si="32"/>
        <v>0</v>
      </c>
      <c r="BP98" s="297">
        <f t="shared" si="32"/>
        <v>0</v>
      </c>
      <c r="BQ98" s="297">
        <f t="shared" si="32"/>
        <v>0</v>
      </c>
      <c r="BR98" s="297">
        <f t="shared" si="32"/>
        <v>0</v>
      </c>
      <c r="BS98" s="297">
        <f t="shared" si="32"/>
        <v>0</v>
      </c>
      <c r="BT98" s="297">
        <f t="shared" si="32"/>
        <v>0</v>
      </c>
      <c r="BU98" s="297">
        <f t="shared" si="32"/>
        <v>0</v>
      </c>
      <c r="BV98" s="297">
        <f t="shared" si="32"/>
        <v>0</v>
      </c>
      <c r="BW98" s="297">
        <f t="shared" si="32"/>
        <v>0</v>
      </c>
      <c r="BX98" s="297">
        <f t="shared" si="32"/>
        <v>0</v>
      </c>
      <c r="BY98" s="565">
        <f>BZ91</f>
        <v>-73168418</v>
      </c>
      <c r="BZ98" s="601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</row>
    <row r="99" spans="1:138" ht="15.95" hidden="1">
      <c r="A99" s="505"/>
      <c r="B99" s="572" t="s">
        <v>288</v>
      </c>
      <c r="C99" s="592"/>
      <c r="D99" s="303"/>
      <c r="E99" s="299">
        <f t="shared" ref="E99:BX99" si="33">E16+E98</f>
        <v>0</v>
      </c>
      <c r="F99" s="299">
        <f t="shared" si="33"/>
        <v>0</v>
      </c>
      <c r="G99" s="299">
        <f t="shared" si="33"/>
        <v>0</v>
      </c>
      <c r="H99" s="299">
        <f t="shared" si="33"/>
        <v>5642760.9028512407</v>
      </c>
      <c r="I99" s="299">
        <f t="shared" si="33"/>
        <v>-1725924.6082231405</v>
      </c>
      <c r="J99" s="299">
        <f t="shared" si="33"/>
        <v>5184768.6670127325</v>
      </c>
      <c r="K99" s="299">
        <f t="shared" si="33"/>
        <v>-7772945.169933036</v>
      </c>
      <c r="L99" s="299">
        <f t="shared" si="33"/>
        <v>-1622126.505145316</v>
      </c>
      <c r="M99" s="300">
        <f t="shared" si="33"/>
        <v>686020.82981060818</v>
      </c>
      <c r="N99" s="299">
        <f t="shared" si="33"/>
        <v>-379335.51820592396</v>
      </c>
      <c r="O99" s="300">
        <f t="shared" si="33"/>
        <v>8696550.1127940733</v>
      </c>
      <c r="P99" s="300">
        <f t="shared" si="33"/>
        <v>-6243234.7248725891</v>
      </c>
      <c r="Q99" s="300">
        <f t="shared" si="33"/>
        <v>249131.40154057479</v>
      </c>
      <c r="R99" s="300">
        <f t="shared" si="33"/>
        <v>95956.129218260816</v>
      </c>
      <c r="S99" s="300">
        <f t="shared" si="33"/>
        <v>36435.820540574903</v>
      </c>
      <c r="T99" s="300" t="e">
        <f t="shared" si="33"/>
        <v>#REF!</v>
      </c>
      <c r="U99" s="299">
        <f t="shared" si="33"/>
        <v>0</v>
      </c>
      <c r="V99" s="299">
        <f t="shared" si="33"/>
        <v>0</v>
      </c>
      <c r="W99" s="299">
        <f t="shared" si="33"/>
        <v>0</v>
      </c>
      <c r="X99" s="300">
        <f t="shared" si="33"/>
        <v>0</v>
      </c>
      <c r="Y99" s="300">
        <f t="shared" si="33"/>
        <v>0</v>
      </c>
      <c r="Z99" s="300">
        <f t="shared" si="33"/>
        <v>0</v>
      </c>
      <c r="AA99" s="300">
        <f t="shared" si="33"/>
        <v>0</v>
      </c>
      <c r="AB99" s="300">
        <f t="shared" si="33"/>
        <v>0</v>
      </c>
      <c r="AC99" s="299">
        <f t="shared" si="33"/>
        <v>0</v>
      </c>
      <c r="AD99" s="300">
        <f t="shared" si="33"/>
        <v>0</v>
      </c>
      <c r="AE99" s="300">
        <f t="shared" si="33"/>
        <v>0</v>
      </c>
      <c r="AF99" s="300">
        <f t="shared" si="33"/>
        <v>0</v>
      </c>
      <c r="AG99" s="300">
        <f t="shared" si="33"/>
        <v>0</v>
      </c>
      <c r="AH99" s="300">
        <f t="shared" si="33"/>
        <v>0</v>
      </c>
      <c r="AI99" s="300">
        <f t="shared" si="33"/>
        <v>0</v>
      </c>
      <c r="AJ99" s="300">
        <f t="shared" si="33"/>
        <v>0</v>
      </c>
      <c r="AK99" s="300">
        <f t="shared" si="33"/>
        <v>0</v>
      </c>
      <c r="AL99" s="300">
        <f t="shared" si="33"/>
        <v>0</v>
      </c>
      <c r="AM99" s="300">
        <f t="shared" si="33"/>
        <v>0</v>
      </c>
      <c r="AN99" s="300">
        <f t="shared" si="33"/>
        <v>0</v>
      </c>
      <c r="AO99" s="299">
        <f t="shared" si="33"/>
        <v>0</v>
      </c>
      <c r="AP99" s="300">
        <f t="shared" si="33"/>
        <v>0</v>
      </c>
      <c r="AQ99" s="300">
        <f t="shared" si="33"/>
        <v>0</v>
      </c>
      <c r="AR99" s="300">
        <f t="shared" si="33"/>
        <v>0</v>
      </c>
      <c r="AS99" s="299">
        <f t="shared" si="33"/>
        <v>0</v>
      </c>
      <c r="AT99" s="299">
        <f t="shared" si="33"/>
        <v>0</v>
      </c>
      <c r="AU99" s="299">
        <f t="shared" si="33"/>
        <v>0</v>
      </c>
      <c r="AV99" s="299">
        <f t="shared" si="33"/>
        <v>0</v>
      </c>
      <c r="AW99" s="299">
        <f t="shared" si="33"/>
        <v>0</v>
      </c>
      <c r="AX99" s="299">
        <f t="shared" si="33"/>
        <v>0</v>
      </c>
      <c r="AY99" s="299">
        <f t="shared" si="33"/>
        <v>0</v>
      </c>
      <c r="AZ99" s="299">
        <f t="shared" si="33"/>
        <v>0</v>
      </c>
      <c r="BA99" s="299">
        <f t="shared" si="33"/>
        <v>0</v>
      </c>
      <c r="BB99" s="299">
        <f t="shared" si="33"/>
        <v>0</v>
      </c>
      <c r="BC99" s="299">
        <f t="shared" si="33"/>
        <v>0</v>
      </c>
      <c r="BD99" s="299">
        <f t="shared" si="33"/>
        <v>0</v>
      </c>
      <c r="BE99" s="299">
        <f t="shared" si="33"/>
        <v>0</v>
      </c>
      <c r="BF99" s="299">
        <f t="shared" si="33"/>
        <v>0</v>
      </c>
      <c r="BG99" s="299">
        <f t="shared" si="33"/>
        <v>0</v>
      </c>
      <c r="BH99" s="299">
        <f t="shared" si="33"/>
        <v>0</v>
      </c>
      <c r="BI99" s="299">
        <f t="shared" si="33"/>
        <v>0</v>
      </c>
      <c r="BJ99" s="299">
        <f t="shared" si="33"/>
        <v>0</v>
      </c>
      <c r="BK99" s="299">
        <f t="shared" si="33"/>
        <v>0</v>
      </c>
      <c r="BL99" s="304">
        <f t="shared" si="33"/>
        <v>0</v>
      </c>
      <c r="BM99" s="304">
        <f t="shared" si="33"/>
        <v>0</v>
      </c>
      <c r="BN99" s="304">
        <f t="shared" si="33"/>
        <v>0</v>
      </c>
      <c r="BO99" s="304">
        <f t="shared" si="33"/>
        <v>0</v>
      </c>
      <c r="BP99" s="304">
        <f t="shared" si="33"/>
        <v>0</v>
      </c>
      <c r="BQ99" s="304">
        <f t="shared" si="33"/>
        <v>0</v>
      </c>
      <c r="BR99" s="304">
        <f t="shared" si="33"/>
        <v>0</v>
      </c>
      <c r="BS99" s="304">
        <f t="shared" si="33"/>
        <v>0</v>
      </c>
      <c r="BT99" s="304">
        <f t="shared" si="33"/>
        <v>0</v>
      </c>
      <c r="BU99" s="304">
        <f t="shared" si="33"/>
        <v>0</v>
      </c>
      <c r="BV99" s="304">
        <f t="shared" si="33"/>
        <v>0</v>
      </c>
      <c r="BW99" s="304">
        <f t="shared" si="33"/>
        <v>0</v>
      </c>
      <c r="BX99" s="304">
        <f t="shared" si="33"/>
        <v>0</v>
      </c>
      <c r="BY99" s="566" t="e">
        <f>BY16+BY90+BY98</f>
        <v>#REF!</v>
      </c>
      <c r="BZ99" s="603"/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2"/>
      <c r="DI99" s="222"/>
      <c r="DJ99" s="222"/>
      <c r="DK99" s="222"/>
      <c r="DL99" s="222"/>
      <c r="DM99" s="222"/>
      <c r="DN99" s="222"/>
      <c r="DO99" s="222"/>
      <c r="DP99" s="222"/>
      <c r="DQ99" s="222"/>
      <c r="DR99" s="222"/>
      <c r="DS99" s="222"/>
      <c r="DT99" s="222"/>
      <c r="DU99" s="222"/>
      <c r="DV99" s="222"/>
      <c r="DW99" s="222"/>
      <c r="DX99" s="222"/>
      <c r="DY99" s="222"/>
      <c r="DZ99" s="222"/>
      <c r="EA99" s="222"/>
      <c r="EB99" s="222"/>
      <c r="EC99" s="222"/>
      <c r="ED99" s="222"/>
      <c r="EE99" s="222"/>
      <c r="EF99" s="222"/>
      <c r="EG99" s="222"/>
      <c r="EH99" s="222"/>
    </row>
    <row r="100" spans="1:138" hidden="1">
      <c r="A100" s="505"/>
      <c r="B100" s="573" t="s">
        <v>289</v>
      </c>
      <c r="C100" s="592"/>
      <c r="D100" s="305"/>
      <c r="E100" s="306">
        <f>E99</f>
        <v>0</v>
      </c>
      <c r="F100" s="306">
        <f>F99+E100</f>
        <v>0</v>
      </c>
      <c r="G100" s="306">
        <f>655760.63+24.98*24.5-16.85*22</f>
        <v>656001.94000000006</v>
      </c>
      <c r="H100" s="306">
        <f>H99+G100-66</f>
        <v>6298696.8428512411</v>
      </c>
      <c r="I100" s="306">
        <f t="shared" ref="I100:BX100" si="34">I99+H100</f>
        <v>4572772.2346281009</v>
      </c>
      <c r="J100" s="306">
        <f t="shared" si="34"/>
        <v>9757540.9016408324</v>
      </c>
      <c r="K100" s="306">
        <f t="shared" si="34"/>
        <v>1984595.7317077965</v>
      </c>
      <c r="L100" s="306">
        <f t="shared" si="34"/>
        <v>362469.22656248044</v>
      </c>
      <c r="M100" s="306">
        <f t="shared" si="34"/>
        <v>1048490.0563730886</v>
      </c>
      <c r="N100" s="306">
        <f t="shared" si="34"/>
        <v>669154.53816716466</v>
      </c>
      <c r="O100" s="306">
        <f t="shared" si="34"/>
        <v>9365704.6509612389</v>
      </c>
      <c r="P100" s="306">
        <f t="shared" si="34"/>
        <v>3122469.9260886498</v>
      </c>
      <c r="Q100" s="306">
        <f t="shared" si="34"/>
        <v>3371601.3276292244</v>
      </c>
      <c r="R100" s="306">
        <f t="shared" si="34"/>
        <v>3467557.4568474852</v>
      </c>
      <c r="S100" s="306">
        <f t="shared" si="34"/>
        <v>3503993.27738806</v>
      </c>
      <c r="T100" s="306" t="e">
        <f t="shared" si="34"/>
        <v>#REF!</v>
      </c>
      <c r="U100" s="306" t="e">
        <f t="shared" si="34"/>
        <v>#REF!</v>
      </c>
      <c r="V100" s="306" t="e">
        <f t="shared" si="34"/>
        <v>#REF!</v>
      </c>
      <c r="W100" s="306" t="e">
        <f t="shared" si="34"/>
        <v>#REF!</v>
      </c>
      <c r="X100" s="306" t="e">
        <f t="shared" si="34"/>
        <v>#REF!</v>
      </c>
      <c r="Y100" s="306" t="e">
        <f t="shared" si="34"/>
        <v>#REF!</v>
      </c>
      <c r="Z100" s="306" t="e">
        <f t="shared" si="34"/>
        <v>#REF!</v>
      </c>
      <c r="AA100" s="306" t="e">
        <f t="shared" si="34"/>
        <v>#REF!</v>
      </c>
      <c r="AB100" s="306" t="e">
        <f t="shared" si="34"/>
        <v>#REF!</v>
      </c>
      <c r="AC100" s="306" t="e">
        <f t="shared" si="34"/>
        <v>#REF!</v>
      </c>
      <c r="AD100" s="306" t="e">
        <f t="shared" si="34"/>
        <v>#REF!</v>
      </c>
      <c r="AE100" s="306" t="e">
        <f t="shared" si="34"/>
        <v>#REF!</v>
      </c>
      <c r="AF100" s="306" t="e">
        <f t="shared" si="34"/>
        <v>#REF!</v>
      </c>
      <c r="AG100" s="306" t="e">
        <f t="shared" si="34"/>
        <v>#REF!</v>
      </c>
      <c r="AH100" s="306" t="e">
        <f t="shared" si="34"/>
        <v>#REF!</v>
      </c>
      <c r="AI100" s="306" t="e">
        <f t="shared" si="34"/>
        <v>#REF!</v>
      </c>
      <c r="AJ100" s="306" t="e">
        <f t="shared" si="34"/>
        <v>#REF!</v>
      </c>
      <c r="AK100" s="306" t="e">
        <f t="shared" si="34"/>
        <v>#REF!</v>
      </c>
      <c r="AL100" s="306" t="e">
        <f t="shared" si="34"/>
        <v>#REF!</v>
      </c>
      <c r="AM100" s="306" t="e">
        <f t="shared" si="34"/>
        <v>#REF!</v>
      </c>
      <c r="AN100" s="306" t="e">
        <f t="shared" si="34"/>
        <v>#REF!</v>
      </c>
      <c r="AO100" s="306" t="e">
        <f t="shared" si="34"/>
        <v>#REF!</v>
      </c>
      <c r="AP100" s="306" t="e">
        <f t="shared" si="34"/>
        <v>#REF!</v>
      </c>
      <c r="AQ100" s="306" t="e">
        <f t="shared" si="34"/>
        <v>#REF!</v>
      </c>
      <c r="AR100" s="306" t="e">
        <f t="shared" si="34"/>
        <v>#REF!</v>
      </c>
      <c r="AS100" s="306" t="e">
        <f t="shared" si="34"/>
        <v>#REF!</v>
      </c>
      <c r="AT100" s="306" t="e">
        <f t="shared" si="34"/>
        <v>#REF!</v>
      </c>
      <c r="AU100" s="306" t="e">
        <f t="shared" si="34"/>
        <v>#REF!</v>
      </c>
      <c r="AV100" s="306" t="e">
        <f t="shared" si="34"/>
        <v>#REF!</v>
      </c>
      <c r="AW100" s="306" t="e">
        <f t="shared" si="34"/>
        <v>#REF!</v>
      </c>
      <c r="AX100" s="306" t="e">
        <f t="shared" si="34"/>
        <v>#REF!</v>
      </c>
      <c r="AY100" s="306" t="e">
        <f t="shared" si="34"/>
        <v>#REF!</v>
      </c>
      <c r="AZ100" s="306" t="e">
        <f t="shared" si="34"/>
        <v>#REF!</v>
      </c>
      <c r="BA100" s="306" t="e">
        <f t="shared" si="34"/>
        <v>#REF!</v>
      </c>
      <c r="BB100" s="306" t="e">
        <f t="shared" si="34"/>
        <v>#REF!</v>
      </c>
      <c r="BC100" s="306" t="e">
        <f t="shared" si="34"/>
        <v>#REF!</v>
      </c>
      <c r="BD100" s="306" t="e">
        <f t="shared" si="34"/>
        <v>#REF!</v>
      </c>
      <c r="BE100" s="306" t="e">
        <f t="shared" si="34"/>
        <v>#REF!</v>
      </c>
      <c r="BF100" s="306" t="e">
        <f t="shared" si="34"/>
        <v>#REF!</v>
      </c>
      <c r="BG100" s="306" t="e">
        <f t="shared" si="34"/>
        <v>#REF!</v>
      </c>
      <c r="BH100" s="306" t="e">
        <f t="shared" si="34"/>
        <v>#REF!</v>
      </c>
      <c r="BI100" s="306" t="e">
        <f t="shared" si="34"/>
        <v>#REF!</v>
      </c>
      <c r="BJ100" s="306" t="e">
        <f t="shared" si="34"/>
        <v>#REF!</v>
      </c>
      <c r="BK100" s="306" t="e">
        <f t="shared" si="34"/>
        <v>#REF!</v>
      </c>
      <c r="BL100" s="306" t="e">
        <f t="shared" si="34"/>
        <v>#REF!</v>
      </c>
      <c r="BM100" s="306" t="e">
        <f t="shared" si="34"/>
        <v>#REF!</v>
      </c>
      <c r="BN100" s="306" t="e">
        <f t="shared" si="34"/>
        <v>#REF!</v>
      </c>
      <c r="BO100" s="306" t="e">
        <f t="shared" si="34"/>
        <v>#REF!</v>
      </c>
      <c r="BP100" s="306" t="e">
        <f t="shared" si="34"/>
        <v>#REF!</v>
      </c>
      <c r="BQ100" s="306" t="e">
        <f t="shared" si="34"/>
        <v>#REF!</v>
      </c>
      <c r="BR100" s="306" t="e">
        <f t="shared" si="34"/>
        <v>#REF!</v>
      </c>
      <c r="BS100" s="306" t="e">
        <f t="shared" si="34"/>
        <v>#REF!</v>
      </c>
      <c r="BT100" s="306" t="e">
        <f t="shared" si="34"/>
        <v>#REF!</v>
      </c>
      <c r="BU100" s="306" t="e">
        <f t="shared" si="34"/>
        <v>#REF!</v>
      </c>
      <c r="BV100" s="306" t="e">
        <f t="shared" si="34"/>
        <v>#REF!</v>
      </c>
      <c r="BW100" s="306" t="e">
        <f t="shared" si="34"/>
        <v>#REF!</v>
      </c>
      <c r="BX100" s="306" t="e">
        <f t="shared" si="34"/>
        <v>#REF!</v>
      </c>
      <c r="BY100" s="222"/>
      <c r="BZ100" s="222"/>
      <c r="CA100" s="222"/>
      <c r="CB100" s="222"/>
      <c r="CC100" s="222"/>
      <c r="CD100" s="222"/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2"/>
      <c r="CQ100" s="222"/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E100" s="222"/>
      <c r="EF100" s="222"/>
      <c r="EG100" s="222"/>
      <c r="EH100" s="222"/>
    </row>
    <row r="101" spans="1:138" hidden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2"/>
      <c r="BK101" s="222"/>
      <c r="BL101" s="222"/>
      <c r="BM101" s="222"/>
      <c r="BN101" s="222"/>
      <c r="BO101" s="222"/>
      <c r="BP101" s="222"/>
      <c r="BQ101" s="222"/>
      <c r="BR101" s="222"/>
      <c r="BS101" s="222"/>
      <c r="BT101" s="222"/>
      <c r="BU101" s="222"/>
      <c r="BV101" s="222"/>
      <c r="BW101" s="222"/>
      <c r="BX101" s="222"/>
      <c r="BY101" s="307"/>
      <c r="BZ101" s="222" t="e">
        <f>T100-8333333</f>
        <v>#REF!</v>
      </c>
      <c r="CA101" s="222"/>
      <c r="CB101" s="222"/>
      <c r="CC101" s="222"/>
      <c r="CD101" s="222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2"/>
      <c r="CV101" s="222"/>
      <c r="CW101" s="222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2"/>
      <c r="DI101" s="222"/>
      <c r="DJ101" s="222"/>
      <c r="DK101" s="222"/>
      <c r="DL101" s="222"/>
      <c r="DM101" s="222"/>
      <c r="DN101" s="222"/>
      <c r="DO101" s="222"/>
      <c r="DP101" s="222"/>
      <c r="DQ101" s="222"/>
      <c r="DR101" s="222"/>
      <c r="DS101" s="222"/>
      <c r="DT101" s="222"/>
      <c r="DU101" s="222"/>
      <c r="DV101" s="222"/>
      <c r="DW101" s="222"/>
      <c r="DX101" s="222"/>
      <c r="DY101" s="222"/>
      <c r="DZ101" s="222"/>
      <c r="EA101" s="222"/>
      <c r="EB101" s="222"/>
      <c r="EC101" s="222"/>
      <c r="ED101" s="222"/>
      <c r="EE101" s="222"/>
      <c r="EF101" s="222"/>
      <c r="EG101" s="222"/>
      <c r="EH101" s="222"/>
    </row>
    <row r="102" spans="1:138" hidden="1">
      <c r="A102" s="222"/>
      <c r="B102" s="222"/>
      <c r="C102" s="222"/>
      <c r="D102" s="308" t="s">
        <v>290</v>
      </c>
      <c r="E102" s="308"/>
      <c r="F102" s="308"/>
      <c r="G102" s="308"/>
      <c r="H102" s="308"/>
      <c r="I102" s="308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9"/>
      <c r="W102" s="309"/>
      <c r="X102" s="309"/>
      <c r="Y102" s="309"/>
      <c r="Z102" s="309"/>
      <c r="AA102" s="309"/>
      <c r="AB102" s="309"/>
      <c r="AC102" s="309"/>
      <c r="AD102" s="309"/>
      <c r="AE102" s="309"/>
      <c r="AF102" s="309"/>
      <c r="AG102" s="309"/>
      <c r="AH102" s="309"/>
      <c r="AI102" s="309"/>
      <c r="AJ102" s="309"/>
      <c r="AK102" s="309"/>
      <c r="AL102" s="309"/>
      <c r="AM102" s="309"/>
      <c r="AN102" s="309"/>
      <c r="AO102" s="309"/>
      <c r="AP102" s="309"/>
      <c r="AQ102" s="309"/>
      <c r="AR102" s="309"/>
      <c r="AS102" s="309"/>
      <c r="AT102" s="309"/>
      <c r="AU102" s="309"/>
      <c r="AV102" s="309"/>
      <c r="AW102" s="309"/>
      <c r="AX102" s="309"/>
      <c r="AY102" s="309"/>
      <c r="AZ102" s="309"/>
      <c r="BA102" s="309"/>
      <c r="BB102" s="309"/>
      <c r="BC102" s="309"/>
      <c r="BD102" s="309"/>
      <c r="BE102" s="309"/>
      <c r="BF102" s="309"/>
      <c r="BG102" s="309"/>
      <c r="BH102" s="309"/>
      <c r="BI102" s="309"/>
      <c r="BJ102" s="309"/>
      <c r="BK102" s="309"/>
      <c r="BL102" s="309"/>
      <c r="BM102" s="309"/>
      <c r="BN102" s="309"/>
      <c r="BO102" s="309"/>
      <c r="BP102" s="309"/>
      <c r="BQ102" s="309"/>
      <c r="BR102" s="309"/>
      <c r="BS102" s="309"/>
      <c r="BT102" s="309"/>
      <c r="BU102" s="309"/>
      <c r="BV102" s="309"/>
      <c r="BW102" s="309"/>
      <c r="BX102" s="309"/>
      <c r="BY102" s="307"/>
      <c r="BZ102" s="222"/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</row>
    <row r="103" spans="1:138" hidden="1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222"/>
      <c r="AF103" s="222"/>
      <c r="AG103" s="222"/>
      <c r="AH103" s="222"/>
      <c r="AI103" s="222"/>
      <c r="AJ103" s="222"/>
      <c r="AK103" s="222"/>
      <c r="AL103" s="222"/>
      <c r="AM103" s="222"/>
      <c r="AN103" s="222"/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2"/>
      <c r="BB103" s="222"/>
      <c r="BC103" s="222"/>
      <c r="BD103" s="222"/>
      <c r="BE103" s="222"/>
      <c r="BF103" s="222"/>
      <c r="BG103" s="222"/>
      <c r="BH103" s="222"/>
      <c r="BI103" s="222"/>
      <c r="BJ103" s="222"/>
      <c r="BK103" s="222"/>
      <c r="BL103" s="222"/>
      <c r="BM103" s="222"/>
      <c r="BN103" s="222"/>
      <c r="BO103" s="222"/>
      <c r="BP103" s="222"/>
      <c r="BQ103" s="222"/>
      <c r="BR103" s="222"/>
      <c r="BS103" s="222"/>
      <c r="BT103" s="222"/>
      <c r="BU103" s="222"/>
      <c r="BV103" s="222"/>
      <c r="BW103" s="222"/>
      <c r="BX103" s="222"/>
      <c r="BY103" s="307"/>
      <c r="BZ103" s="222"/>
      <c r="CA103" s="222"/>
      <c r="CB103" s="222"/>
      <c r="CC103" s="222"/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2"/>
      <c r="CV103" s="222"/>
      <c r="CW103" s="222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2"/>
      <c r="DI103" s="222"/>
      <c r="DJ103" s="222"/>
      <c r="DK103" s="222"/>
      <c r="DL103" s="222"/>
      <c r="DM103" s="222"/>
      <c r="DN103" s="222"/>
      <c r="DO103" s="222"/>
      <c r="DP103" s="222"/>
      <c r="DQ103" s="222"/>
      <c r="DR103" s="222"/>
      <c r="DS103" s="222"/>
      <c r="DT103" s="222"/>
      <c r="DU103" s="222"/>
      <c r="DV103" s="222"/>
      <c r="DW103" s="222"/>
      <c r="DX103" s="222"/>
      <c r="DY103" s="222"/>
      <c r="DZ103" s="222"/>
      <c r="EA103" s="222"/>
      <c r="EB103" s="222"/>
      <c r="EC103" s="222"/>
      <c r="ED103" s="222"/>
      <c r="EE103" s="222"/>
      <c r="EF103" s="222"/>
      <c r="EG103" s="222"/>
      <c r="EH103" s="222"/>
    </row>
    <row r="104" spans="1:138" hidden="1">
      <c r="A104" s="222"/>
      <c r="B104" s="222"/>
      <c r="C104" s="310" t="s">
        <v>291</v>
      </c>
      <c r="D104" s="311"/>
      <c r="E104" s="312">
        <f>E112+E130+E162+E178</f>
        <v>0</v>
      </c>
      <c r="F104" s="312">
        <f t="shared" ref="F104:BW104" si="35">F112+F178</f>
        <v>0</v>
      </c>
      <c r="G104" s="312">
        <f t="shared" si="35"/>
        <v>0</v>
      </c>
      <c r="H104" s="312">
        <f t="shared" si="35"/>
        <v>-21706207.5</v>
      </c>
      <c r="I104" s="312">
        <f t="shared" si="35"/>
        <v>0</v>
      </c>
      <c r="J104" s="312">
        <f t="shared" si="35"/>
        <v>-7870667</v>
      </c>
      <c r="K104" s="312">
        <f t="shared" si="35"/>
        <v>0</v>
      </c>
      <c r="L104" s="312">
        <f t="shared" si="35"/>
        <v>0</v>
      </c>
      <c r="M104" s="312">
        <f t="shared" si="35"/>
        <v>0</v>
      </c>
      <c r="N104" s="312">
        <f t="shared" si="35"/>
        <v>0</v>
      </c>
      <c r="O104" s="312">
        <f t="shared" si="35"/>
        <v>0</v>
      </c>
      <c r="P104" s="312">
        <f t="shared" si="35"/>
        <v>0</v>
      </c>
      <c r="Q104" s="312">
        <f t="shared" si="35"/>
        <v>0</v>
      </c>
      <c r="R104" s="312">
        <f t="shared" si="35"/>
        <v>0</v>
      </c>
      <c r="S104" s="312">
        <f t="shared" si="35"/>
        <v>0</v>
      </c>
      <c r="T104" s="312">
        <f t="shared" si="35"/>
        <v>29576874.5</v>
      </c>
      <c r="U104" s="312">
        <f t="shared" si="35"/>
        <v>0</v>
      </c>
      <c r="V104" s="312">
        <f t="shared" si="35"/>
        <v>0</v>
      </c>
      <c r="W104" s="312">
        <f t="shared" si="35"/>
        <v>0</v>
      </c>
      <c r="X104" s="312">
        <f t="shared" si="35"/>
        <v>0</v>
      </c>
      <c r="Y104" s="312">
        <f t="shared" si="35"/>
        <v>0</v>
      </c>
      <c r="Z104" s="312">
        <f t="shared" si="35"/>
        <v>0</v>
      </c>
      <c r="AA104" s="312">
        <f t="shared" si="35"/>
        <v>0</v>
      </c>
      <c r="AB104" s="312">
        <f t="shared" si="35"/>
        <v>0</v>
      </c>
      <c r="AC104" s="312">
        <f t="shared" si="35"/>
        <v>0</v>
      </c>
      <c r="AD104" s="312">
        <f t="shared" si="35"/>
        <v>0</v>
      </c>
      <c r="AE104" s="312">
        <f t="shared" si="35"/>
        <v>0</v>
      </c>
      <c r="AF104" s="312">
        <f t="shared" si="35"/>
        <v>0</v>
      </c>
      <c r="AG104" s="312">
        <f t="shared" si="35"/>
        <v>0</v>
      </c>
      <c r="AH104" s="312">
        <f t="shared" si="35"/>
        <v>0</v>
      </c>
      <c r="AI104" s="312">
        <f t="shared" si="35"/>
        <v>0</v>
      </c>
      <c r="AJ104" s="312">
        <f t="shared" si="35"/>
        <v>0</v>
      </c>
      <c r="AK104" s="312">
        <f t="shared" si="35"/>
        <v>0</v>
      </c>
      <c r="AL104" s="312">
        <f t="shared" si="35"/>
        <v>0</v>
      </c>
      <c r="AM104" s="312">
        <f t="shared" si="35"/>
        <v>0</v>
      </c>
      <c r="AN104" s="312">
        <f t="shared" si="35"/>
        <v>0</v>
      </c>
      <c r="AO104" s="312">
        <f t="shared" si="35"/>
        <v>0</v>
      </c>
      <c r="AP104" s="312">
        <f t="shared" si="35"/>
        <v>0</v>
      </c>
      <c r="AQ104" s="312">
        <f t="shared" si="35"/>
        <v>0</v>
      </c>
      <c r="AR104" s="312">
        <f t="shared" si="35"/>
        <v>0</v>
      </c>
      <c r="AS104" s="312">
        <f t="shared" si="35"/>
        <v>0</v>
      </c>
      <c r="AT104" s="312">
        <f t="shared" si="35"/>
        <v>0</v>
      </c>
      <c r="AU104" s="312">
        <f t="shared" si="35"/>
        <v>0</v>
      </c>
      <c r="AV104" s="312">
        <f t="shared" si="35"/>
        <v>0</v>
      </c>
      <c r="AW104" s="312">
        <f t="shared" si="35"/>
        <v>0</v>
      </c>
      <c r="AX104" s="312">
        <f t="shared" si="35"/>
        <v>0</v>
      </c>
      <c r="AY104" s="312">
        <f t="shared" si="35"/>
        <v>0</v>
      </c>
      <c r="AZ104" s="312">
        <f t="shared" si="35"/>
        <v>0</v>
      </c>
      <c r="BA104" s="312">
        <f t="shared" si="35"/>
        <v>0</v>
      </c>
      <c r="BB104" s="312">
        <f t="shared" si="35"/>
        <v>0</v>
      </c>
      <c r="BC104" s="312">
        <f t="shared" si="35"/>
        <v>0</v>
      </c>
      <c r="BD104" s="312">
        <f t="shared" si="35"/>
        <v>0</v>
      </c>
      <c r="BE104" s="312">
        <f t="shared" si="35"/>
        <v>0</v>
      </c>
      <c r="BF104" s="312">
        <f t="shared" si="35"/>
        <v>0</v>
      </c>
      <c r="BG104" s="312">
        <f t="shared" si="35"/>
        <v>0</v>
      </c>
      <c r="BH104" s="312">
        <f t="shared" si="35"/>
        <v>0</v>
      </c>
      <c r="BI104" s="312">
        <f t="shared" si="35"/>
        <v>0</v>
      </c>
      <c r="BJ104" s="312">
        <f t="shared" si="35"/>
        <v>0</v>
      </c>
      <c r="BK104" s="312">
        <f t="shared" si="35"/>
        <v>0</v>
      </c>
      <c r="BL104" s="312">
        <f t="shared" si="35"/>
        <v>0</v>
      </c>
      <c r="BM104" s="312">
        <f t="shared" si="35"/>
        <v>0</v>
      </c>
      <c r="BN104" s="312">
        <f t="shared" si="35"/>
        <v>0</v>
      </c>
      <c r="BO104" s="312">
        <f t="shared" si="35"/>
        <v>0</v>
      </c>
      <c r="BP104" s="312">
        <f t="shared" si="35"/>
        <v>0</v>
      </c>
      <c r="BQ104" s="312">
        <f t="shared" si="35"/>
        <v>0</v>
      </c>
      <c r="BR104" s="312">
        <f t="shared" si="35"/>
        <v>0</v>
      </c>
      <c r="BS104" s="312">
        <f t="shared" si="35"/>
        <v>0</v>
      </c>
      <c r="BT104" s="312">
        <f t="shared" si="35"/>
        <v>0</v>
      </c>
      <c r="BU104" s="312">
        <f t="shared" si="35"/>
        <v>0</v>
      </c>
      <c r="BV104" s="312">
        <f t="shared" si="35"/>
        <v>0</v>
      </c>
      <c r="BW104" s="312">
        <f t="shared" si="35"/>
        <v>0</v>
      </c>
      <c r="BX104" s="312" t="e">
        <f>BX112+BX178+BX100</f>
        <v>#REF!</v>
      </c>
      <c r="BY104" s="307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</row>
    <row r="105" spans="1:138" hidden="1">
      <c r="A105" s="222"/>
      <c r="B105" s="222"/>
      <c r="C105" s="313" t="s">
        <v>292</v>
      </c>
      <c r="D105" s="574" t="e">
        <f>IRR(E104:BX104)*12</f>
        <v>#VALUE!</v>
      </c>
      <c r="E105" s="599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2"/>
      <c r="BN105" s="222"/>
      <c r="BO105" s="222"/>
      <c r="BP105" s="222"/>
      <c r="BQ105" s="222"/>
      <c r="BR105" s="222"/>
      <c r="BS105" s="222"/>
      <c r="BT105" s="222"/>
      <c r="BU105" s="222"/>
      <c r="BV105" s="222"/>
      <c r="BW105" s="222"/>
      <c r="BX105" s="222"/>
      <c r="BY105" s="307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</row>
    <row r="106" spans="1:138" hidden="1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22"/>
      <c r="BU106" s="222"/>
      <c r="BV106" s="222"/>
      <c r="BW106" s="222"/>
      <c r="BX106" s="222"/>
      <c r="BY106" s="307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  <c r="DF106" s="222"/>
      <c r="DG106" s="222"/>
      <c r="DH106" s="222"/>
      <c r="DI106" s="222"/>
      <c r="DJ106" s="222"/>
      <c r="DK106" s="222"/>
      <c r="DL106" s="222"/>
      <c r="DM106" s="222"/>
      <c r="DN106" s="222"/>
      <c r="DO106" s="222"/>
      <c r="DP106" s="222"/>
      <c r="DQ106" s="222"/>
      <c r="DR106" s="222"/>
      <c r="DS106" s="222"/>
      <c r="DT106" s="222"/>
      <c r="DU106" s="222"/>
      <c r="DV106" s="222"/>
      <c r="DW106" s="222"/>
      <c r="DX106" s="222"/>
      <c r="DY106" s="222"/>
      <c r="DZ106" s="222"/>
      <c r="EA106" s="222"/>
      <c r="EB106" s="222"/>
      <c r="EC106" s="222"/>
      <c r="ED106" s="222"/>
      <c r="EE106" s="222"/>
      <c r="EF106" s="222"/>
      <c r="EG106" s="222"/>
      <c r="EH106" s="222"/>
    </row>
    <row r="107" spans="1:138" hidden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307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2"/>
      <c r="DD107" s="222"/>
      <c r="DE107" s="222"/>
      <c r="DF107" s="222"/>
      <c r="DG107" s="222"/>
      <c r="DH107" s="222"/>
      <c r="DI107" s="222"/>
      <c r="DJ107" s="222"/>
      <c r="DK107" s="222"/>
      <c r="DL107" s="222"/>
      <c r="DM107" s="222"/>
      <c r="DN107" s="222"/>
      <c r="DO107" s="222"/>
      <c r="DP107" s="222"/>
      <c r="DQ107" s="222"/>
      <c r="DR107" s="222"/>
      <c r="DS107" s="222"/>
      <c r="DT107" s="222"/>
      <c r="DU107" s="222"/>
      <c r="DV107" s="222"/>
      <c r="DW107" s="222"/>
      <c r="DX107" s="222"/>
      <c r="DY107" s="222"/>
      <c r="DZ107" s="222"/>
      <c r="EA107" s="222"/>
      <c r="EB107" s="222"/>
      <c r="EC107" s="222"/>
      <c r="ED107" s="222"/>
      <c r="EE107" s="222"/>
      <c r="EF107" s="222"/>
      <c r="EG107" s="222"/>
      <c r="EH107" s="222"/>
    </row>
    <row r="108" spans="1:138" ht="17.100000000000001" hidden="1">
      <c r="A108" s="222"/>
      <c r="B108" s="222"/>
      <c r="C108" s="310" t="s">
        <v>293</v>
      </c>
      <c r="D108" s="604"/>
      <c r="E108" s="598"/>
      <c r="F108" s="598"/>
      <c r="G108" s="598"/>
      <c r="H108" s="598"/>
      <c r="I108" s="598"/>
      <c r="J108" s="598"/>
      <c r="K108" s="598"/>
      <c r="L108" s="598"/>
      <c r="M108" s="598"/>
      <c r="N108" s="598"/>
      <c r="O108" s="598"/>
      <c r="P108" s="598"/>
      <c r="Q108" s="598"/>
      <c r="R108" s="598"/>
      <c r="S108" s="598"/>
      <c r="T108" s="598"/>
      <c r="U108" s="598"/>
      <c r="V108" s="598"/>
      <c r="W108" s="598"/>
      <c r="X108" s="598"/>
      <c r="Y108" s="598"/>
      <c r="Z108" s="598"/>
      <c r="AA108" s="598"/>
      <c r="AB108" s="598"/>
      <c r="AC108" s="598"/>
      <c r="AD108" s="598"/>
      <c r="AE108" s="598"/>
      <c r="AF108" s="598"/>
      <c r="AG108" s="598"/>
      <c r="AH108" s="598"/>
      <c r="AI108" s="598"/>
      <c r="AJ108" s="598"/>
      <c r="AK108" s="598"/>
      <c r="AL108" s="598"/>
      <c r="AM108" s="598"/>
      <c r="AN108" s="598"/>
      <c r="AO108" s="598"/>
      <c r="AP108" s="598"/>
      <c r="AQ108" s="598"/>
      <c r="AR108" s="598"/>
      <c r="AS108" s="598"/>
      <c r="AT108" s="598"/>
      <c r="AU108" s="598"/>
      <c r="AV108" s="598"/>
      <c r="AW108" s="598"/>
      <c r="AX108" s="598"/>
      <c r="AY108" s="598"/>
      <c r="AZ108" s="598"/>
      <c r="BA108" s="598"/>
      <c r="BB108" s="598"/>
      <c r="BC108" s="598"/>
      <c r="BD108" s="598"/>
      <c r="BE108" s="598"/>
      <c r="BF108" s="598"/>
      <c r="BG108" s="598"/>
      <c r="BH108" s="598"/>
      <c r="BI108" s="598"/>
      <c r="BJ108" s="598"/>
      <c r="BK108" s="598"/>
      <c r="BL108" s="598"/>
      <c r="BM108" s="598"/>
      <c r="BN108" s="598"/>
      <c r="BO108" s="598"/>
      <c r="BP108" s="598"/>
      <c r="BQ108" s="598"/>
      <c r="BR108" s="598"/>
      <c r="BS108" s="598"/>
      <c r="BT108" s="598"/>
      <c r="BU108" s="598"/>
      <c r="BV108" s="598"/>
      <c r="BW108" s="599"/>
      <c r="BX108" s="315" t="e">
        <f>BX100*C109</f>
        <v>#REF!</v>
      </c>
      <c r="BY108" s="307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2"/>
      <c r="DD108" s="222"/>
      <c r="DE108" s="222"/>
      <c r="DF108" s="222"/>
      <c r="DG108" s="222"/>
      <c r="DH108" s="222"/>
      <c r="DI108" s="222"/>
      <c r="DJ108" s="222"/>
      <c r="DK108" s="222"/>
      <c r="DL108" s="222"/>
      <c r="DM108" s="222"/>
      <c r="DN108" s="222"/>
      <c r="DO108" s="222"/>
      <c r="DP108" s="222"/>
      <c r="DQ108" s="222"/>
      <c r="DR108" s="222"/>
      <c r="DS108" s="222"/>
      <c r="DT108" s="222"/>
      <c r="DU108" s="222"/>
      <c r="DV108" s="222"/>
      <c r="DW108" s="222"/>
      <c r="DX108" s="222"/>
      <c r="DY108" s="222"/>
      <c r="DZ108" s="222"/>
      <c r="EA108" s="222"/>
      <c r="EB108" s="222"/>
      <c r="EC108" s="222"/>
      <c r="ED108" s="222"/>
      <c r="EE108" s="222"/>
      <c r="EF108" s="222"/>
      <c r="EG108" s="222"/>
      <c r="EH108" s="222"/>
    </row>
    <row r="109" spans="1:138" ht="18.95" hidden="1">
      <c r="A109" s="222"/>
      <c r="B109" s="222"/>
      <c r="C109" s="316">
        <v>0.2</v>
      </c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2"/>
      <c r="AM109" s="222"/>
      <c r="AN109" s="222"/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2"/>
      <c r="BA109" s="222"/>
      <c r="BB109" s="222"/>
      <c r="BC109" s="222"/>
      <c r="BD109" s="222"/>
      <c r="BE109" s="222"/>
      <c r="BF109" s="222"/>
      <c r="BG109" s="222"/>
      <c r="BH109" s="222"/>
      <c r="BI109" s="222"/>
      <c r="BJ109" s="222"/>
      <c r="BK109" s="222"/>
      <c r="BL109" s="222"/>
      <c r="BM109" s="222"/>
      <c r="BN109" s="222"/>
      <c r="BO109" s="222"/>
      <c r="BP109" s="222"/>
      <c r="BQ109" s="222"/>
      <c r="BR109" s="222"/>
      <c r="BS109" s="222"/>
      <c r="BT109" s="222"/>
      <c r="BU109" s="222"/>
      <c r="BV109" s="222"/>
      <c r="BW109" s="222"/>
      <c r="BX109" s="222"/>
      <c r="BY109" s="307"/>
      <c r="BZ109" s="222"/>
      <c r="CA109" s="222"/>
      <c r="CB109" s="222"/>
      <c r="CC109" s="222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222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222"/>
      <c r="DA109" s="222"/>
      <c r="DB109" s="222"/>
      <c r="DC109" s="222"/>
      <c r="DD109" s="222"/>
      <c r="DE109" s="222"/>
      <c r="DF109" s="222"/>
      <c r="DG109" s="222"/>
      <c r="DH109" s="222"/>
      <c r="DI109" s="222"/>
      <c r="DJ109" s="222"/>
      <c r="DK109" s="222"/>
      <c r="DL109" s="222"/>
      <c r="DM109" s="222"/>
      <c r="DN109" s="222"/>
      <c r="DO109" s="222"/>
      <c r="DP109" s="222"/>
      <c r="DQ109" s="222"/>
      <c r="DR109" s="222"/>
      <c r="DS109" s="222"/>
      <c r="DT109" s="222"/>
      <c r="DU109" s="222"/>
      <c r="DV109" s="222"/>
      <c r="DW109" s="222"/>
      <c r="DX109" s="222"/>
      <c r="DY109" s="222"/>
      <c r="DZ109" s="222"/>
      <c r="EA109" s="222"/>
      <c r="EB109" s="222"/>
      <c r="EC109" s="222"/>
      <c r="ED109" s="222"/>
      <c r="EE109" s="222"/>
      <c r="EF109" s="222"/>
      <c r="EG109" s="222"/>
      <c r="EH109" s="222"/>
    </row>
    <row r="110" spans="1:138" hidden="1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  <c r="AL110" s="222"/>
      <c r="AM110" s="222"/>
      <c r="AN110" s="222"/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  <c r="BB110" s="222"/>
      <c r="BC110" s="222"/>
      <c r="BD110" s="222"/>
      <c r="BE110" s="222"/>
      <c r="BF110" s="222"/>
      <c r="BG110" s="222"/>
      <c r="BH110" s="222"/>
      <c r="BI110" s="222"/>
      <c r="BJ110" s="222"/>
      <c r="BK110" s="222"/>
      <c r="BL110" s="222"/>
      <c r="BM110" s="222"/>
      <c r="BN110" s="222"/>
      <c r="BO110" s="222"/>
      <c r="BP110" s="222"/>
      <c r="BQ110" s="222"/>
      <c r="BR110" s="222"/>
      <c r="BS110" s="222"/>
      <c r="BT110" s="222"/>
      <c r="BU110" s="222"/>
      <c r="BV110" s="222"/>
      <c r="BW110" s="222"/>
      <c r="BX110" s="222"/>
      <c r="BY110" s="307"/>
      <c r="BZ110" s="222"/>
      <c r="CA110" s="222"/>
      <c r="CB110" s="222"/>
      <c r="CC110" s="222"/>
      <c r="CD110" s="222"/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2"/>
      <c r="CQ110" s="222"/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2"/>
      <c r="DD110" s="222"/>
      <c r="DE110" s="222"/>
      <c r="DF110" s="222"/>
      <c r="DG110" s="222"/>
      <c r="DH110" s="222"/>
      <c r="DI110" s="222"/>
      <c r="DJ110" s="222"/>
      <c r="DK110" s="222"/>
      <c r="DL110" s="222"/>
      <c r="DM110" s="222"/>
      <c r="DN110" s="222"/>
      <c r="DO110" s="222"/>
      <c r="DP110" s="222"/>
      <c r="DQ110" s="222"/>
      <c r="DR110" s="222"/>
      <c r="DS110" s="222"/>
      <c r="DT110" s="222"/>
      <c r="DU110" s="222"/>
      <c r="DV110" s="222"/>
      <c r="DW110" s="222"/>
      <c r="DX110" s="222"/>
      <c r="DY110" s="222"/>
      <c r="DZ110" s="222"/>
      <c r="EA110" s="222"/>
      <c r="EB110" s="222"/>
      <c r="EC110" s="222"/>
      <c r="ED110" s="222"/>
      <c r="EE110" s="222"/>
      <c r="EF110" s="222"/>
      <c r="EG110" s="222"/>
      <c r="EH110" s="222"/>
    </row>
    <row r="111" spans="1:138" hidden="1">
      <c r="A111" s="222"/>
      <c r="B111" s="222"/>
      <c r="C111" s="317"/>
      <c r="D111" s="317"/>
      <c r="E111" s="317"/>
      <c r="F111" s="317"/>
      <c r="G111" s="317"/>
      <c r="H111" s="317"/>
      <c r="I111" s="317"/>
      <c r="J111" s="317"/>
      <c r="K111" s="317"/>
      <c r="L111" s="317"/>
      <c r="M111" s="317"/>
      <c r="N111" s="317"/>
      <c r="O111" s="317"/>
      <c r="P111" s="317"/>
      <c r="Q111" s="317"/>
      <c r="R111" s="317"/>
      <c r="S111" s="317"/>
      <c r="T111" s="317"/>
      <c r="U111" s="317"/>
      <c r="V111" s="317"/>
      <c r="W111" s="317"/>
      <c r="X111" s="317"/>
      <c r="Y111" s="317"/>
      <c r="Z111" s="317"/>
      <c r="AA111" s="317"/>
      <c r="AB111" s="317"/>
      <c r="AC111" s="317"/>
      <c r="AD111" s="317"/>
      <c r="AE111" s="317"/>
      <c r="AF111" s="317"/>
      <c r="AG111" s="317"/>
      <c r="AH111" s="317"/>
      <c r="AI111" s="317"/>
      <c r="AJ111" s="317"/>
      <c r="AK111" s="317"/>
      <c r="AL111" s="317"/>
      <c r="AM111" s="317"/>
      <c r="AN111" s="317"/>
      <c r="AO111" s="317"/>
      <c r="AP111" s="317"/>
      <c r="AQ111" s="317"/>
      <c r="AR111" s="317"/>
      <c r="AS111" s="317"/>
      <c r="AT111" s="317"/>
      <c r="AU111" s="317"/>
      <c r="AV111" s="317"/>
      <c r="AW111" s="317"/>
      <c r="AX111" s="317"/>
      <c r="AY111" s="317"/>
      <c r="AZ111" s="317"/>
      <c r="BA111" s="317"/>
      <c r="BB111" s="317"/>
      <c r="BC111" s="317"/>
      <c r="BD111" s="317"/>
      <c r="BE111" s="317"/>
      <c r="BF111" s="317"/>
      <c r="BG111" s="317"/>
      <c r="BH111" s="317"/>
      <c r="BI111" s="317"/>
      <c r="BJ111" s="317"/>
      <c r="BK111" s="317"/>
      <c r="BL111" s="317"/>
      <c r="BM111" s="222"/>
      <c r="BN111" s="222"/>
      <c r="BO111" s="222"/>
      <c r="BP111" s="222"/>
      <c r="BQ111" s="222"/>
      <c r="BR111" s="222"/>
      <c r="BS111" s="222"/>
      <c r="BT111" s="222"/>
      <c r="BU111" s="222"/>
      <c r="BV111" s="222"/>
      <c r="BW111" s="222"/>
      <c r="BX111" s="222"/>
      <c r="BY111" s="222"/>
      <c r="BZ111" s="222"/>
      <c r="CA111" s="222"/>
      <c r="CB111" s="222"/>
      <c r="CC111" s="222"/>
      <c r="CD111" s="222"/>
      <c r="CE111" s="222"/>
      <c r="CF111" s="222"/>
      <c r="CG111" s="222"/>
      <c r="CH111" s="222"/>
      <c r="CI111" s="222"/>
      <c r="CJ111" s="222"/>
      <c r="CK111" s="222"/>
      <c r="CL111" s="222"/>
      <c r="CM111" s="222"/>
      <c r="CN111" s="222"/>
      <c r="CO111" s="222"/>
      <c r="CP111" s="222"/>
      <c r="CQ111" s="222"/>
      <c r="CR111" s="222"/>
      <c r="CS111" s="222"/>
      <c r="CT111" s="222"/>
      <c r="CU111" s="222"/>
      <c r="CV111" s="222"/>
      <c r="CW111" s="222"/>
      <c r="CX111" s="222"/>
      <c r="CY111" s="222"/>
      <c r="CZ111" s="222"/>
      <c r="DA111" s="222"/>
      <c r="DB111" s="222"/>
      <c r="DC111" s="222"/>
      <c r="DD111" s="222"/>
      <c r="DE111" s="222"/>
      <c r="DF111" s="222"/>
      <c r="DG111" s="222"/>
      <c r="DH111" s="222"/>
      <c r="DI111" s="222"/>
      <c r="DJ111" s="222"/>
      <c r="DK111" s="222"/>
      <c r="DL111" s="222"/>
      <c r="DM111" s="222"/>
      <c r="DN111" s="222"/>
      <c r="DO111" s="222"/>
      <c r="DP111" s="222"/>
      <c r="DQ111" s="222"/>
      <c r="DR111" s="222"/>
      <c r="DS111" s="222"/>
      <c r="DT111" s="222"/>
      <c r="DU111" s="222"/>
      <c r="DV111" s="222"/>
      <c r="DW111" s="222"/>
      <c r="DX111" s="222"/>
      <c r="DY111" s="222"/>
      <c r="DZ111" s="222"/>
      <c r="EA111" s="222"/>
      <c r="EB111" s="222"/>
      <c r="EC111" s="222"/>
      <c r="ED111" s="222"/>
      <c r="EE111" s="222"/>
      <c r="EF111" s="222"/>
      <c r="EG111" s="222"/>
      <c r="EH111" s="222"/>
    </row>
    <row r="112" spans="1:138" hidden="1">
      <c r="A112" s="222"/>
      <c r="B112" s="318"/>
      <c r="C112" s="310" t="s">
        <v>294</v>
      </c>
      <c r="D112" s="311"/>
      <c r="E112" s="312">
        <f t="shared" ref="E112:BM112" si="36">-(E5+E6+E91+E92)</f>
        <v>0</v>
      </c>
      <c r="F112" s="312">
        <f t="shared" si="36"/>
        <v>0</v>
      </c>
      <c r="G112" s="312">
        <f t="shared" si="36"/>
        <v>0</v>
      </c>
      <c r="H112" s="312">
        <f t="shared" si="36"/>
        <v>-16365002</v>
      </c>
      <c r="I112" s="312">
        <f t="shared" si="36"/>
        <v>0</v>
      </c>
      <c r="J112" s="312">
        <f t="shared" si="36"/>
        <v>-7870667</v>
      </c>
      <c r="K112" s="312">
        <f t="shared" si="36"/>
        <v>0</v>
      </c>
      <c r="L112" s="312">
        <f t="shared" si="36"/>
        <v>0</v>
      </c>
      <c r="M112" s="312">
        <f t="shared" si="36"/>
        <v>0</v>
      </c>
      <c r="N112" s="312">
        <f t="shared" si="36"/>
        <v>0</v>
      </c>
      <c r="O112" s="312">
        <f t="shared" si="36"/>
        <v>0</v>
      </c>
      <c r="P112" s="312">
        <f t="shared" si="36"/>
        <v>0</v>
      </c>
      <c r="Q112" s="312">
        <f t="shared" si="36"/>
        <v>0</v>
      </c>
      <c r="R112" s="312">
        <f t="shared" si="36"/>
        <v>0</v>
      </c>
      <c r="S112" s="312">
        <f t="shared" si="36"/>
        <v>0</v>
      </c>
      <c r="T112" s="312">
        <f t="shared" si="36"/>
        <v>24235669</v>
      </c>
      <c r="U112" s="312">
        <f t="shared" si="36"/>
        <v>0</v>
      </c>
      <c r="V112" s="312">
        <f t="shared" si="36"/>
        <v>0</v>
      </c>
      <c r="W112" s="312">
        <f t="shared" si="36"/>
        <v>0</v>
      </c>
      <c r="X112" s="312">
        <f t="shared" si="36"/>
        <v>0</v>
      </c>
      <c r="Y112" s="312">
        <f t="shared" si="36"/>
        <v>0</v>
      </c>
      <c r="Z112" s="312">
        <f t="shared" si="36"/>
        <v>0</v>
      </c>
      <c r="AA112" s="312">
        <f t="shared" si="36"/>
        <v>0</v>
      </c>
      <c r="AB112" s="312">
        <f t="shared" si="36"/>
        <v>0</v>
      </c>
      <c r="AC112" s="312">
        <f t="shared" si="36"/>
        <v>0</v>
      </c>
      <c r="AD112" s="312">
        <f t="shared" si="36"/>
        <v>0</v>
      </c>
      <c r="AE112" s="312">
        <f t="shared" si="36"/>
        <v>0</v>
      </c>
      <c r="AF112" s="312">
        <f t="shared" si="36"/>
        <v>0</v>
      </c>
      <c r="AG112" s="312">
        <f t="shared" si="36"/>
        <v>0</v>
      </c>
      <c r="AH112" s="312">
        <f t="shared" si="36"/>
        <v>0</v>
      </c>
      <c r="AI112" s="312">
        <f t="shared" si="36"/>
        <v>0</v>
      </c>
      <c r="AJ112" s="312">
        <f t="shared" si="36"/>
        <v>0</v>
      </c>
      <c r="AK112" s="312">
        <f t="shared" si="36"/>
        <v>0</v>
      </c>
      <c r="AL112" s="312">
        <f t="shared" si="36"/>
        <v>0</v>
      </c>
      <c r="AM112" s="312">
        <f t="shared" si="36"/>
        <v>0</v>
      </c>
      <c r="AN112" s="312">
        <f t="shared" si="36"/>
        <v>0</v>
      </c>
      <c r="AO112" s="312">
        <f t="shared" si="36"/>
        <v>0</v>
      </c>
      <c r="AP112" s="312">
        <f t="shared" si="36"/>
        <v>0</v>
      </c>
      <c r="AQ112" s="312">
        <f t="shared" si="36"/>
        <v>0</v>
      </c>
      <c r="AR112" s="312">
        <f t="shared" si="36"/>
        <v>0</v>
      </c>
      <c r="AS112" s="312">
        <f t="shared" si="36"/>
        <v>0</v>
      </c>
      <c r="AT112" s="312">
        <f t="shared" si="36"/>
        <v>0</v>
      </c>
      <c r="AU112" s="312">
        <f t="shared" si="36"/>
        <v>0</v>
      </c>
      <c r="AV112" s="312">
        <f t="shared" si="36"/>
        <v>0</v>
      </c>
      <c r="AW112" s="312">
        <f t="shared" si="36"/>
        <v>0</v>
      </c>
      <c r="AX112" s="312">
        <f t="shared" si="36"/>
        <v>0</v>
      </c>
      <c r="AY112" s="312">
        <f t="shared" si="36"/>
        <v>0</v>
      </c>
      <c r="AZ112" s="312">
        <f t="shared" si="36"/>
        <v>0</v>
      </c>
      <c r="BA112" s="312">
        <f t="shared" si="36"/>
        <v>0</v>
      </c>
      <c r="BB112" s="312">
        <f t="shared" si="36"/>
        <v>0</v>
      </c>
      <c r="BC112" s="312">
        <f t="shared" si="36"/>
        <v>0</v>
      </c>
      <c r="BD112" s="312">
        <f t="shared" si="36"/>
        <v>0</v>
      </c>
      <c r="BE112" s="312">
        <f t="shared" si="36"/>
        <v>0</v>
      </c>
      <c r="BF112" s="312">
        <f t="shared" si="36"/>
        <v>0</v>
      </c>
      <c r="BG112" s="312">
        <f t="shared" si="36"/>
        <v>0</v>
      </c>
      <c r="BH112" s="312">
        <f t="shared" si="36"/>
        <v>0</v>
      </c>
      <c r="BI112" s="312">
        <f t="shared" si="36"/>
        <v>0</v>
      </c>
      <c r="BJ112" s="312">
        <f t="shared" si="36"/>
        <v>0</v>
      </c>
      <c r="BK112" s="312">
        <f t="shared" si="36"/>
        <v>0</v>
      </c>
      <c r="BL112" s="312">
        <f t="shared" si="36"/>
        <v>0</v>
      </c>
      <c r="BM112" s="312">
        <f t="shared" si="36"/>
        <v>0</v>
      </c>
      <c r="BN112" s="312">
        <f t="shared" ref="BN112:BX112" si="37">-(BN5+BN91)</f>
        <v>0</v>
      </c>
      <c r="BO112" s="312">
        <f t="shared" si="37"/>
        <v>0</v>
      </c>
      <c r="BP112" s="312">
        <f t="shared" si="37"/>
        <v>0</v>
      </c>
      <c r="BQ112" s="312">
        <f t="shared" si="37"/>
        <v>0</v>
      </c>
      <c r="BR112" s="312">
        <f t="shared" si="37"/>
        <v>0</v>
      </c>
      <c r="BS112" s="312">
        <f t="shared" si="37"/>
        <v>0</v>
      </c>
      <c r="BT112" s="312">
        <f t="shared" si="37"/>
        <v>0</v>
      </c>
      <c r="BU112" s="312">
        <f t="shared" si="37"/>
        <v>0</v>
      </c>
      <c r="BV112" s="312">
        <f t="shared" si="37"/>
        <v>0</v>
      </c>
      <c r="BW112" s="312">
        <f t="shared" si="37"/>
        <v>0</v>
      </c>
      <c r="BX112" s="312">
        <f t="shared" si="37"/>
        <v>0</v>
      </c>
      <c r="BY112" s="222"/>
      <c r="BZ112" s="222"/>
      <c r="CA112" s="222"/>
      <c r="CB112" s="222"/>
      <c r="CC112" s="222"/>
      <c r="CD112" s="222"/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2"/>
      <c r="CQ112" s="222"/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2"/>
      <c r="DD112" s="222"/>
      <c r="DE112" s="222"/>
      <c r="DF112" s="222"/>
      <c r="DG112" s="222"/>
      <c r="DH112" s="222"/>
      <c r="DI112" s="222"/>
      <c r="DJ112" s="222"/>
      <c r="DK112" s="222"/>
      <c r="DL112" s="222"/>
      <c r="DM112" s="222"/>
      <c r="DN112" s="222"/>
      <c r="DO112" s="222"/>
      <c r="DP112" s="222"/>
      <c r="DQ112" s="222"/>
      <c r="DR112" s="222"/>
      <c r="DS112" s="222"/>
      <c r="DT112" s="222"/>
      <c r="DU112" s="222"/>
      <c r="DV112" s="222"/>
      <c r="DW112" s="222"/>
      <c r="DX112" s="222"/>
      <c r="DY112" s="222"/>
      <c r="DZ112" s="222"/>
      <c r="EA112" s="222"/>
      <c r="EB112" s="222"/>
      <c r="EC112" s="222"/>
      <c r="ED112" s="222"/>
      <c r="EE112" s="222"/>
      <c r="EF112" s="222"/>
      <c r="EG112" s="222"/>
      <c r="EH112" s="222"/>
    </row>
    <row r="113" spans="1:138" hidden="1">
      <c r="A113" s="222"/>
      <c r="B113" s="318"/>
      <c r="C113" s="310" t="s">
        <v>295</v>
      </c>
      <c r="D113" s="319"/>
      <c r="E113" s="311"/>
      <c r="F113" s="311"/>
      <c r="G113" s="311"/>
      <c r="H113" s="311">
        <f>-8333333</f>
        <v>-8333333</v>
      </c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222"/>
      <c r="BZ113" s="222"/>
      <c r="CA113" s="222"/>
      <c r="CB113" s="222"/>
      <c r="CC113" s="222"/>
      <c r="CD113" s="222"/>
      <c r="CE113" s="222"/>
      <c r="CF113" s="222"/>
      <c r="CG113" s="222"/>
      <c r="CH113" s="222"/>
      <c r="CI113" s="222"/>
      <c r="CJ113" s="222"/>
      <c r="CK113" s="222"/>
      <c r="CL113" s="222"/>
      <c r="CM113" s="222"/>
      <c r="CN113" s="222"/>
      <c r="CO113" s="222"/>
      <c r="CP113" s="222"/>
      <c r="CQ113" s="222"/>
      <c r="CR113" s="222"/>
      <c r="CS113" s="222"/>
      <c r="CT113" s="222"/>
      <c r="CU113" s="222"/>
      <c r="CV113" s="222"/>
      <c r="CW113" s="222"/>
      <c r="CX113" s="222"/>
      <c r="CY113" s="222"/>
      <c r="CZ113" s="222"/>
      <c r="DA113" s="222"/>
      <c r="DB113" s="222"/>
      <c r="DC113" s="222"/>
      <c r="DD113" s="222"/>
      <c r="DE113" s="222"/>
      <c r="DF113" s="222"/>
      <c r="DG113" s="222"/>
      <c r="DH113" s="222"/>
      <c r="DI113" s="222"/>
      <c r="DJ113" s="222"/>
      <c r="DK113" s="222"/>
      <c r="DL113" s="222"/>
      <c r="DM113" s="222"/>
      <c r="DN113" s="222"/>
      <c r="DO113" s="222"/>
      <c r="DP113" s="222"/>
      <c r="DQ113" s="222"/>
      <c r="DR113" s="222"/>
      <c r="DS113" s="222"/>
      <c r="DT113" s="222"/>
      <c r="DU113" s="222"/>
      <c r="DV113" s="222"/>
      <c r="DW113" s="222"/>
      <c r="DX113" s="222"/>
      <c r="DY113" s="222"/>
      <c r="DZ113" s="222"/>
      <c r="EA113" s="222"/>
      <c r="EB113" s="222"/>
      <c r="EC113" s="222"/>
      <c r="ED113" s="222"/>
      <c r="EE113" s="222"/>
      <c r="EF113" s="222"/>
      <c r="EG113" s="222"/>
      <c r="EH113" s="222"/>
    </row>
    <row r="114" spans="1:138" hidden="1">
      <c r="A114" s="222"/>
      <c r="B114" s="318"/>
      <c r="C114" s="310" t="s">
        <v>296</v>
      </c>
      <c r="D114" s="319"/>
      <c r="E114" s="311">
        <f t="shared" ref="E114:S114" si="38">-E56</f>
        <v>0</v>
      </c>
      <c r="F114" s="311">
        <f t="shared" si="38"/>
        <v>0</v>
      </c>
      <c r="G114" s="311">
        <f t="shared" si="38"/>
        <v>0</v>
      </c>
      <c r="H114" s="311">
        <f t="shared" si="38"/>
        <v>0</v>
      </c>
      <c r="I114" s="311">
        <f t="shared" si="38"/>
        <v>0</v>
      </c>
      <c r="J114" s="311">
        <f t="shared" si="38"/>
        <v>0</v>
      </c>
      <c r="K114" s="311">
        <f t="shared" si="38"/>
        <v>0</v>
      </c>
      <c r="L114" s="311">
        <f t="shared" si="38"/>
        <v>0</v>
      </c>
      <c r="M114" s="311">
        <f t="shared" si="38"/>
        <v>0</v>
      </c>
      <c r="N114" s="311">
        <f t="shared" si="38"/>
        <v>0</v>
      </c>
      <c r="O114" s="311">
        <f t="shared" si="38"/>
        <v>0</v>
      </c>
      <c r="P114" s="311">
        <f t="shared" si="38"/>
        <v>0</v>
      </c>
      <c r="Q114" s="311">
        <f t="shared" si="38"/>
        <v>0</v>
      </c>
      <c r="R114" s="311">
        <f t="shared" si="38"/>
        <v>0</v>
      </c>
      <c r="S114" s="311">
        <f t="shared" si="38"/>
        <v>0</v>
      </c>
      <c r="T114" s="311" t="e">
        <f>-T56-T57</f>
        <v>#REF!</v>
      </c>
      <c r="U114" s="311">
        <f t="shared" ref="U114:BX114" si="39">-U56</f>
        <v>0</v>
      </c>
      <c r="V114" s="311">
        <f t="shared" si="39"/>
        <v>0</v>
      </c>
      <c r="W114" s="311">
        <f t="shared" si="39"/>
        <v>0</v>
      </c>
      <c r="X114" s="311">
        <f t="shared" si="39"/>
        <v>0</v>
      </c>
      <c r="Y114" s="311">
        <f t="shared" si="39"/>
        <v>0</v>
      </c>
      <c r="Z114" s="311">
        <f t="shared" si="39"/>
        <v>0</v>
      </c>
      <c r="AA114" s="311">
        <f t="shared" si="39"/>
        <v>0</v>
      </c>
      <c r="AB114" s="311">
        <f t="shared" si="39"/>
        <v>0</v>
      </c>
      <c r="AC114" s="311">
        <f t="shared" si="39"/>
        <v>0</v>
      </c>
      <c r="AD114" s="311">
        <f t="shared" si="39"/>
        <v>0</v>
      </c>
      <c r="AE114" s="311">
        <f t="shared" si="39"/>
        <v>0</v>
      </c>
      <c r="AF114" s="311">
        <f t="shared" si="39"/>
        <v>0</v>
      </c>
      <c r="AG114" s="311">
        <f t="shared" si="39"/>
        <v>0</v>
      </c>
      <c r="AH114" s="311">
        <f t="shared" si="39"/>
        <v>0</v>
      </c>
      <c r="AI114" s="311">
        <f t="shared" si="39"/>
        <v>0</v>
      </c>
      <c r="AJ114" s="311">
        <f t="shared" si="39"/>
        <v>0</v>
      </c>
      <c r="AK114" s="311">
        <f t="shared" si="39"/>
        <v>0</v>
      </c>
      <c r="AL114" s="311">
        <f t="shared" si="39"/>
        <v>0</v>
      </c>
      <c r="AM114" s="311">
        <f t="shared" si="39"/>
        <v>0</v>
      </c>
      <c r="AN114" s="311">
        <f t="shared" si="39"/>
        <v>0</v>
      </c>
      <c r="AO114" s="311">
        <f t="shared" si="39"/>
        <v>0</v>
      </c>
      <c r="AP114" s="311">
        <f t="shared" si="39"/>
        <v>0</v>
      </c>
      <c r="AQ114" s="311">
        <f t="shared" si="39"/>
        <v>0</v>
      </c>
      <c r="AR114" s="311">
        <f t="shared" si="39"/>
        <v>0</v>
      </c>
      <c r="AS114" s="311">
        <f t="shared" si="39"/>
        <v>0</v>
      </c>
      <c r="AT114" s="311">
        <f t="shared" si="39"/>
        <v>0</v>
      </c>
      <c r="AU114" s="311">
        <f t="shared" si="39"/>
        <v>0</v>
      </c>
      <c r="AV114" s="311">
        <f t="shared" si="39"/>
        <v>0</v>
      </c>
      <c r="AW114" s="311">
        <f t="shared" si="39"/>
        <v>0</v>
      </c>
      <c r="AX114" s="311">
        <f t="shared" si="39"/>
        <v>0</v>
      </c>
      <c r="AY114" s="311">
        <f t="shared" si="39"/>
        <v>0</v>
      </c>
      <c r="AZ114" s="311">
        <f t="shared" si="39"/>
        <v>0</v>
      </c>
      <c r="BA114" s="311">
        <f t="shared" si="39"/>
        <v>0</v>
      </c>
      <c r="BB114" s="311">
        <f t="shared" si="39"/>
        <v>0</v>
      </c>
      <c r="BC114" s="311">
        <f t="shared" si="39"/>
        <v>0</v>
      </c>
      <c r="BD114" s="311">
        <f t="shared" si="39"/>
        <v>0</v>
      </c>
      <c r="BE114" s="311">
        <f t="shared" si="39"/>
        <v>0</v>
      </c>
      <c r="BF114" s="311">
        <f t="shared" si="39"/>
        <v>0</v>
      </c>
      <c r="BG114" s="311">
        <f t="shared" si="39"/>
        <v>0</v>
      </c>
      <c r="BH114" s="311">
        <f t="shared" si="39"/>
        <v>0</v>
      </c>
      <c r="BI114" s="311">
        <f t="shared" si="39"/>
        <v>0</v>
      </c>
      <c r="BJ114" s="311">
        <f t="shared" si="39"/>
        <v>0</v>
      </c>
      <c r="BK114" s="311">
        <f t="shared" si="39"/>
        <v>0</v>
      </c>
      <c r="BL114" s="311">
        <f t="shared" si="39"/>
        <v>0</v>
      </c>
      <c r="BM114" s="311">
        <f t="shared" si="39"/>
        <v>0</v>
      </c>
      <c r="BN114" s="311">
        <f t="shared" si="39"/>
        <v>0</v>
      </c>
      <c r="BO114" s="311">
        <f t="shared" si="39"/>
        <v>0</v>
      </c>
      <c r="BP114" s="311">
        <f t="shared" si="39"/>
        <v>0</v>
      </c>
      <c r="BQ114" s="311">
        <f t="shared" si="39"/>
        <v>0</v>
      </c>
      <c r="BR114" s="311">
        <f t="shared" si="39"/>
        <v>0</v>
      </c>
      <c r="BS114" s="311">
        <f t="shared" si="39"/>
        <v>0</v>
      </c>
      <c r="BT114" s="311">
        <f t="shared" si="39"/>
        <v>0</v>
      </c>
      <c r="BU114" s="311">
        <f t="shared" si="39"/>
        <v>0</v>
      </c>
      <c r="BV114" s="311">
        <f t="shared" si="39"/>
        <v>0</v>
      </c>
      <c r="BW114" s="311">
        <f t="shared" si="39"/>
        <v>0</v>
      </c>
      <c r="BX114" s="311">
        <f t="shared" si="39"/>
        <v>0</v>
      </c>
      <c r="BY114" s="222"/>
      <c r="BZ114" s="238"/>
      <c r="CA114" s="222"/>
      <c r="CB114" s="222"/>
      <c r="CC114" s="222"/>
      <c r="CD114" s="222"/>
      <c r="CE114" s="222"/>
      <c r="CF114" s="222"/>
      <c r="CG114" s="222"/>
      <c r="CH114" s="222"/>
      <c r="CI114" s="222"/>
      <c r="CJ114" s="222"/>
      <c r="CK114" s="222"/>
      <c r="CL114" s="222"/>
      <c r="CM114" s="222"/>
      <c r="CN114" s="222"/>
      <c r="CO114" s="222"/>
      <c r="CP114" s="222"/>
      <c r="CQ114" s="222"/>
      <c r="CR114" s="222"/>
      <c r="CS114" s="222"/>
      <c r="CT114" s="222"/>
      <c r="CU114" s="222"/>
      <c r="CV114" s="222"/>
      <c r="CW114" s="222"/>
      <c r="CX114" s="222"/>
      <c r="CY114" s="222"/>
      <c r="CZ114" s="222"/>
      <c r="DA114" s="222"/>
      <c r="DB114" s="222"/>
      <c r="DC114" s="222"/>
      <c r="DD114" s="222"/>
      <c r="DE114" s="222"/>
      <c r="DF114" s="222"/>
      <c r="DG114" s="222"/>
      <c r="DH114" s="222"/>
      <c r="DI114" s="222"/>
      <c r="DJ114" s="222"/>
      <c r="DK114" s="222"/>
      <c r="DL114" s="222"/>
      <c r="DM114" s="222"/>
      <c r="DN114" s="222"/>
      <c r="DO114" s="222"/>
      <c r="DP114" s="222"/>
      <c r="DQ114" s="222"/>
      <c r="DR114" s="222"/>
      <c r="DS114" s="222"/>
      <c r="DT114" s="222"/>
      <c r="DU114" s="222"/>
      <c r="DV114" s="222"/>
      <c r="DW114" s="222"/>
      <c r="DX114" s="222"/>
      <c r="DY114" s="222"/>
      <c r="DZ114" s="222"/>
      <c r="EA114" s="222"/>
      <c r="EB114" s="222"/>
      <c r="EC114" s="222"/>
      <c r="ED114" s="222"/>
      <c r="EE114" s="222"/>
      <c r="EF114" s="222"/>
      <c r="EG114" s="222"/>
      <c r="EH114" s="222"/>
    </row>
    <row r="115" spans="1:138" hidden="1">
      <c r="A115" s="222"/>
      <c r="B115" s="318"/>
      <c r="C115" s="310" t="s">
        <v>297</v>
      </c>
      <c r="D115" s="319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 t="e">
        <f>IF(D105&gt;0.25,(BX100-BX108)*D117,BX100*D117)</f>
        <v>#VALUE!</v>
      </c>
      <c r="BY115" s="222"/>
      <c r="BZ115" s="222"/>
      <c r="CA115" s="222"/>
      <c r="CB115" s="222"/>
      <c r="CC115" s="222"/>
      <c r="CD115" s="222"/>
      <c r="CE115" s="222"/>
      <c r="CF115" s="222"/>
      <c r="CG115" s="222"/>
      <c r="CH115" s="222"/>
      <c r="CI115" s="222"/>
      <c r="CJ115" s="222"/>
      <c r="CK115" s="222"/>
      <c r="CL115" s="222"/>
      <c r="CM115" s="222"/>
      <c r="CN115" s="222"/>
      <c r="CO115" s="222"/>
      <c r="CP115" s="222"/>
      <c r="CQ115" s="222"/>
      <c r="CR115" s="222"/>
      <c r="CS115" s="222"/>
      <c r="CT115" s="222"/>
      <c r="CU115" s="222"/>
      <c r="CV115" s="222"/>
      <c r="CW115" s="222"/>
      <c r="CX115" s="222"/>
      <c r="CY115" s="222"/>
      <c r="CZ115" s="222"/>
      <c r="DA115" s="222"/>
      <c r="DB115" s="222"/>
      <c r="DC115" s="222"/>
      <c r="DD115" s="222"/>
      <c r="DE115" s="222"/>
      <c r="DF115" s="222"/>
      <c r="DG115" s="222"/>
      <c r="DH115" s="222"/>
      <c r="DI115" s="222"/>
      <c r="DJ115" s="222"/>
      <c r="DK115" s="222"/>
      <c r="DL115" s="222"/>
      <c r="DM115" s="222"/>
      <c r="DN115" s="222"/>
      <c r="DO115" s="222"/>
      <c r="DP115" s="222"/>
      <c r="DQ115" s="222"/>
      <c r="DR115" s="222"/>
      <c r="DS115" s="222"/>
      <c r="DT115" s="222"/>
      <c r="DU115" s="222"/>
      <c r="DV115" s="222"/>
      <c r="DW115" s="222"/>
      <c r="DX115" s="222"/>
      <c r="DY115" s="222"/>
      <c r="DZ115" s="222"/>
      <c r="EA115" s="222"/>
      <c r="EB115" s="222"/>
      <c r="EC115" s="222"/>
      <c r="ED115" s="222"/>
      <c r="EE115" s="222"/>
      <c r="EF115" s="222"/>
      <c r="EG115" s="222"/>
      <c r="EH115" s="222"/>
    </row>
    <row r="116" spans="1:138" hidden="1">
      <c r="A116" s="222"/>
      <c r="B116" s="318"/>
      <c r="C116" s="310" t="s">
        <v>293</v>
      </c>
      <c r="D116" s="319"/>
      <c r="E116" s="311"/>
      <c r="F116" s="311"/>
      <c r="G116" s="311"/>
      <c r="H116" s="311"/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/>
      <c r="AB116" s="311"/>
      <c r="AC116" s="311"/>
      <c r="AD116" s="311"/>
      <c r="AE116" s="311"/>
      <c r="AF116" s="311"/>
      <c r="AG116" s="311"/>
      <c r="AH116" s="311"/>
      <c r="AI116" s="311"/>
      <c r="AJ116" s="311"/>
      <c r="AK116" s="311"/>
      <c r="AL116" s="311"/>
      <c r="AM116" s="311"/>
      <c r="AN116" s="311"/>
      <c r="AO116" s="311"/>
      <c r="AP116" s="311"/>
      <c r="AQ116" s="311"/>
      <c r="AR116" s="311"/>
      <c r="AS116" s="311"/>
      <c r="AT116" s="311"/>
      <c r="AU116" s="311"/>
      <c r="AV116" s="311"/>
      <c r="AW116" s="311"/>
      <c r="AX116" s="311"/>
      <c r="AY116" s="311"/>
      <c r="AZ116" s="311"/>
      <c r="BA116" s="311"/>
      <c r="BB116" s="311"/>
      <c r="BC116" s="311"/>
      <c r="BD116" s="311"/>
      <c r="BE116" s="311"/>
      <c r="BF116" s="311"/>
      <c r="BG116" s="311"/>
      <c r="BH116" s="311"/>
      <c r="BI116" s="311"/>
      <c r="BJ116" s="311"/>
      <c r="BK116" s="311"/>
      <c r="BL116" s="311"/>
      <c r="BM116" s="311"/>
      <c r="BN116" s="311"/>
      <c r="BO116" s="311"/>
      <c r="BP116" s="311"/>
      <c r="BQ116" s="311"/>
      <c r="BR116" s="311"/>
      <c r="BS116" s="311"/>
      <c r="BT116" s="311"/>
      <c r="BU116" s="311"/>
      <c r="BV116" s="311"/>
      <c r="BW116" s="311"/>
      <c r="BX116" s="311" t="e">
        <f>IF(D105&gt;0.25,BX108,0)</f>
        <v>#VALUE!</v>
      </c>
      <c r="BY116" s="222"/>
      <c r="BZ116" s="222"/>
      <c r="CA116" s="222"/>
      <c r="CB116" s="222"/>
      <c r="CC116" s="222"/>
      <c r="CD116" s="222"/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2"/>
      <c r="CQ116" s="222"/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2"/>
      <c r="DD116" s="222"/>
      <c r="DE116" s="222"/>
      <c r="DF116" s="222"/>
      <c r="DG116" s="222"/>
      <c r="DH116" s="222"/>
      <c r="DI116" s="222"/>
      <c r="DJ116" s="222"/>
      <c r="DK116" s="222"/>
      <c r="DL116" s="222"/>
      <c r="DM116" s="222"/>
      <c r="DN116" s="222"/>
      <c r="DO116" s="222"/>
      <c r="DP116" s="222"/>
      <c r="DQ116" s="222"/>
      <c r="DR116" s="222"/>
      <c r="DS116" s="222"/>
      <c r="DT116" s="222"/>
      <c r="DU116" s="222"/>
      <c r="DV116" s="222"/>
      <c r="DW116" s="222"/>
      <c r="DX116" s="222"/>
      <c r="DY116" s="222"/>
      <c r="DZ116" s="222"/>
      <c r="EA116" s="222"/>
      <c r="EB116" s="222"/>
      <c r="EC116" s="222"/>
      <c r="ED116" s="222"/>
      <c r="EE116" s="222"/>
      <c r="EF116" s="222"/>
      <c r="EG116" s="222"/>
      <c r="EH116" s="222"/>
    </row>
    <row r="117" spans="1:138" hidden="1">
      <c r="A117" s="222"/>
      <c r="B117" s="318"/>
      <c r="C117" s="313" t="s">
        <v>298</v>
      </c>
      <c r="D117" s="319">
        <v>1</v>
      </c>
      <c r="E117" s="242"/>
      <c r="F117" s="242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 t="e">
        <f>T100</f>
        <v>#REF!</v>
      </c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320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</row>
    <row r="118" spans="1:138" hidden="1">
      <c r="A118" s="222"/>
      <c r="B118" s="318"/>
      <c r="C118" s="310" t="s">
        <v>299</v>
      </c>
      <c r="D118" s="314"/>
      <c r="E118" s="321">
        <f t="shared" ref="E118:BW118" si="40">E112+E113+E114+E115+E117</f>
        <v>0</v>
      </c>
      <c r="F118" s="321">
        <f t="shared" si="40"/>
        <v>0</v>
      </c>
      <c r="G118" s="321">
        <f t="shared" si="40"/>
        <v>0</v>
      </c>
      <c r="H118" s="321">
        <f t="shared" si="40"/>
        <v>-24698335</v>
      </c>
      <c r="I118" s="321">
        <f t="shared" si="40"/>
        <v>0</v>
      </c>
      <c r="J118" s="321">
        <f t="shared" si="40"/>
        <v>-7870667</v>
      </c>
      <c r="K118" s="321">
        <f t="shared" si="40"/>
        <v>0</v>
      </c>
      <c r="L118" s="321">
        <f t="shared" si="40"/>
        <v>0</v>
      </c>
      <c r="M118" s="321">
        <f t="shared" si="40"/>
        <v>0</v>
      </c>
      <c r="N118" s="321">
        <f t="shared" si="40"/>
        <v>0</v>
      </c>
      <c r="O118" s="321">
        <f t="shared" si="40"/>
        <v>0</v>
      </c>
      <c r="P118" s="321">
        <f t="shared" si="40"/>
        <v>0</v>
      </c>
      <c r="Q118" s="321">
        <f t="shared" si="40"/>
        <v>0</v>
      </c>
      <c r="R118" s="321">
        <f t="shared" si="40"/>
        <v>0</v>
      </c>
      <c r="S118" s="321">
        <f t="shared" si="40"/>
        <v>0</v>
      </c>
      <c r="T118" s="321" t="e">
        <f t="shared" si="40"/>
        <v>#REF!</v>
      </c>
      <c r="U118" s="321">
        <f t="shared" si="40"/>
        <v>0</v>
      </c>
      <c r="V118" s="321">
        <f t="shared" si="40"/>
        <v>0</v>
      </c>
      <c r="W118" s="321">
        <f t="shared" si="40"/>
        <v>0</v>
      </c>
      <c r="X118" s="321">
        <f t="shared" si="40"/>
        <v>0</v>
      </c>
      <c r="Y118" s="321">
        <f t="shared" si="40"/>
        <v>0</v>
      </c>
      <c r="Z118" s="321">
        <f t="shared" si="40"/>
        <v>0</v>
      </c>
      <c r="AA118" s="321">
        <f t="shared" si="40"/>
        <v>0</v>
      </c>
      <c r="AB118" s="321">
        <f t="shared" si="40"/>
        <v>0</v>
      </c>
      <c r="AC118" s="321">
        <f t="shared" si="40"/>
        <v>0</v>
      </c>
      <c r="AD118" s="321">
        <f t="shared" si="40"/>
        <v>0</v>
      </c>
      <c r="AE118" s="321">
        <f t="shared" si="40"/>
        <v>0</v>
      </c>
      <c r="AF118" s="321">
        <f t="shared" si="40"/>
        <v>0</v>
      </c>
      <c r="AG118" s="321">
        <f t="shared" si="40"/>
        <v>0</v>
      </c>
      <c r="AH118" s="321">
        <f t="shared" si="40"/>
        <v>0</v>
      </c>
      <c r="AI118" s="321">
        <f t="shared" si="40"/>
        <v>0</v>
      </c>
      <c r="AJ118" s="321">
        <f t="shared" si="40"/>
        <v>0</v>
      </c>
      <c r="AK118" s="321">
        <f t="shared" si="40"/>
        <v>0</v>
      </c>
      <c r="AL118" s="321">
        <f t="shared" si="40"/>
        <v>0</v>
      </c>
      <c r="AM118" s="321">
        <f t="shared" si="40"/>
        <v>0</v>
      </c>
      <c r="AN118" s="321">
        <f t="shared" si="40"/>
        <v>0</v>
      </c>
      <c r="AO118" s="321">
        <f t="shared" si="40"/>
        <v>0</v>
      </c>
      <c r="AP118" s="321">
        <f t="shared" si="40"/>
        <v>0</v>
      </c>
      <c r="AQ118" s="321">
        <f t="shared" si="40"/>
        <v>0</v>
      </c>
      <c r="AR118" s="321">
        <f t="shared" si="40"/>
        <v>0</v>
      </c>
      <c r="AS118" s="321">
        <f t="shared" si="40"/>
        <v>0</v>
      </c>
      <c r="AT118" s="321">
        <f t="shared" si="40"/>
        <v>0</v>
      </c>
      <c r="AU118" s="321">
        <f t="shared" si="40"/>
        <v>0</v>
      </c>
      <c r="AV118" s="321">
        <f t="shared" si="40"/>
        <v>0</v>
      </c>
      <c r="AW118" s="321">
        <f t="shared" si="40"/>
        <v>0</v>
      </c>
      <c r="AX118" s="321">
        <f t="shared" si="40"/>
        <v>0</v>
      </c>
      <c r="AY118" s="321">
        <f t="shared" si="40"/>
        <v>0</v>
      </c>
      <c r="AZ118" s="321">
        <f t="shared" si="40"/>
        <v>0</v>
      </c>
      <c r="BA118" s="321">
        <f t="shared" si="40"/>
        <v>0</v>
      </c>
      <c r="BB118" s="321">
        <f t="shared" si="40"/>
        <v>0</v>
      </c>
      <c r="BC118" s="321">
        <f t="shared" si="40"/>
        <v>0</v>
      </c>
      <c r="BD118" s="321">
        <f t="shared" si="40"/>
        <v>0</v>
      </c>
      <c r="BE118" s="321">
        <f t="shared" si="40"/>
        <v>0</v>
      </c>
      <c r="BF118" s="321">
        <f t="shared" si="40"/>
        <v>0</v>
      </c>
      <c r="BG118" s="321">
        <f t="shared" si="40"/>
        <v>0</v>
      </c>
      <c r="BH118" s="321">
        <f t="shared" si="40"/>
        <v>0</v>
      </c>
      <c r="BI118" s="321">
        <f t="shared" si="40"/>
        <v>0</v>
      </c>
      <c r="BJ118" s="321">
        <f t="shared" si="40"/>
        <v>0</v>
      </c>
      <c r="BK118" s="321">
        <f t="shared" si="40"/>
        <v>0</v>
      </c>
      <c r="BL118" s="321">
        <f t="shared" si="40"/>
        <v>0</v>
      </c>
      <c r="BM118" s="321">
        <f t="shared" si="40"/>
        <v>0</v>
      </c>
      <c r="BN118" s="321">
        <f t="shared" si="40"/>
        <v>0</v>
      </c>
      <c r="BO118" s="321">
        <f t="shared" si="40"/>
        <v>0</v>
      </c>
      <c r="BP118" s="321">
        <f t="shared" si="40"/>
        <v>0</v>
      </c>
      <c r="BQ118" s="321">
        <f t="shared" si="40"/>
        <v>0</v>
      </c>
      <c r="BR118" s="321">
        <f t="shared" si="40"/>
        <v>0</v>
      </c>
      <c r="BS118" s="321">
        <f t="shared" si="40"/>
        <v>0</v>
      </c>
      <c r="BT118" s="321">
        <f t="shared" si="40"/>
        <v>0</v>
      </c>
      <c r="BU118" s="321">
        <f t="shared" si="40"/>
        <v>0</v>
      </c>
      <c r="BV118" s="321">
        <f t="shared" si="40"/>
        <v>0</v>
      </c>
      <c r="BW118" s="321">
        <f t="shared" si="40"/>
        <v>0</v>
      </c>
      <c r="BX118" s="321" t="e">
        <f>BX112+BX113+BX114+BX115+BX116+BX117</f>
        <v>#VALUE!</v>
      </c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2"/>
      <c r="CQ118" s="222"/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2"/>
      <c r="DD118" s="222"/>
      <c r="DE118" s="222"/>
      <c r="DF118" s="222"/>
      <c r="DG118" s="222"/>
      <c r="DH118" s="222"/>
      <c r="DI118" s="222"/>
      <c r="DJ118" s="222"/>
      <c r="DK118" s="222"/>
      <c r="DL118" s="222"/>
      <c r="DM118" s="222"/>
      <c r="DN118" s="222"/>
      <c r="DO118" s="222"/>
      <c r="DP118" s="222"/>
      <c r="DQ118" s="222"/>
      <c r="DR118" s="222"/>
      <c r="DS118" s="222"/>
      <c r="DT118" s="222"/>
      <c r="DU118" s="222"/>
      <c r="DV118" s="222"/>
      <c r="DW118" s="222"/>
      <c r="DX118" s="222"/>
      <c r="DY118" s="222"/>
      <c r="DZ118" s="222"/>
      <c r="EA118" s="222"/>
      <c r="EB118" s="222"/>
      <c r="EC118" s="222"/>
      <c r="ED118" s="222"/>
      <c r="EE118" s="222"/>
      <c r="EF118" s="222"/>
      <c r="EG118" s="222"/>
      <c r="EH118" s="222"/>
    </row>
    <row r="119" spans="1:138" hidden="1">
      <c r="A119" s="222"/>
      <c r="B119" s="318"/>
      <c r="C119" s="313" t="s">
        <v>292</v>
      </c>
      <c r="D119" s="322" t="e">
        <f>IRR(E118:BX118)*12</f>
        <v>#VALUE!</v>
      </c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2"/>
      <c r="BN119" s="222"/>
      <c r="BO119" s="222"/>
      <c r="BP119" s="222"/>
      <c r="BQ119" s="222"/>
      <c r="BR119" s="222"/>
      <c r="BS119" s="222"/>
      <c r="BT119" s="222"/>
      <c r="BU119" s="222"/>
      <c r="BV119" s="222"/>
      <c r="BW119" s="222"/>
      <c r="BX119" s="222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  <c r="CY119" s="222"/>
      <c r="CZ119" s="222"/>
      <c r="DA119" s="222"/>
      <c r="DB119" s="222"/>
      <c r="DC119" s="222"/>
      <c r="DD119" s="222"/>
      <c r="DE119" s="222"/>
      <c r="DF119" s="222"/>
      <c r="DG119" s="222"/>
      <c r="DH119" s="222"/>
      <c r="DI119" s="222"/>
      <c r="DJ119" s="222"/>
      <c r="DK119" s="222"/>
      <c r="DL119" s="222"/>
      <c r="DM119" s="222"/>
      <c r="DN119" s="222"/>
      <c r="DO119" s="222"/>
      <c r="DP119" s="222"/>
      <c r="DQ119" s="222"/>
      <c r="DR119" s="222"/>
      <c r="DS119" s="222"/>
      <c r="DT119" s="222"/>
      <c r="DU119" s="222"/>
      <c r="DV119" s="222"/>
      <c r="DW119" s="222"/>
      <c r="DX119" s="222"/>
      <c r="DY119" s="222"/>
      <c r="DZ119" s="222"/>
      <c r="EA119" s="222"/>
      <c r="EB119" s="222"/>
      <c r="EC119" s="222"/>
      <c r="ED119" s="222"/>
      <c r="EE119" s="222"/>
      <c r="EF119" s="222"/>
      <c r="EG119" s="222"/>
      <c r="EH119" s="222"/>
    </row>
    <row r="120" spans="1:138" hidden="1">
      <c r="A120" s="222"/>
      <c r="B120" s="318"/>
      <c r="C120" s="323" t="s">
        <v>300</v>
      </c>
      <c r="D120" s="324">
        <f>SUM(BY5:BY6)</f>
        <v>24235669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2"/>
      <c r="BN120" s="222"/>
      <c r="BO120" s="222"/>
      <c r="BP120" s="222"/>
      <c r="BQ120" s="222"/>
      <c r="BR120" s="222"/>
      <c r="BS120" s="222"/>
      <c r="BT120" s="222"/>
      <c r="BU120" s="222"/>
      <c r="BV120" s="222"/>
      <c r="BW120" s="222"/>
      <c r="BX120" s="222"/>
      <c r="BY120" s="222"/>
      <c r="BZ120" s="222"/>
      <c r="CA120" s="222"/>
      <c r="CB120" s="222"/>
      <c r="CC120" s="222"/>
      <c r="CD120" s="222"/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2"/>
      <c r="CQ120" s="222"/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2"/>
      <c r="DD120" s="222"/>
      <c r="DE120" s="222"/>
      <c r="DF120" s="222"/>
      <c r="DG120" s="222"/>
      <c r="DH120" s="222"/>
      <c r="DI120" s="222"/>
      <c r="DJ120" s="222"/>
      <c r="DK120" s="222"/>
      <c r="DL120" s="222"/>
      <c r="DM120" s="222"/>
      <c r="DN120" s="222"/>
      <c r="DO120" s="222"/>
      <c r="DP120" s="222"/>
      <c r="DQ120" s="222"/>
      <c r="DR120" s="222"/>
      <c r="DS120" s="222"/>
      <c r="DT120" s="222"/>
      <c r="DU120" s="222"/>
      <c r="DV120" s="222"/>
      <c r="DW120" s="222"/>
      <c r="DX120" s="222"/>
      <c r="DY120" s="222"/>
      <c r="DZ120" s="222"/>
      <c r="EA120" s="222"/>
      <c r="EB120" s="222"/>
      <c r="EC120" s="222"/>
      <c r="ED120" s="222"/>
      <c r="EE120" s="222"/>
      <c r="EF120" s="222"/>
      <c r="EG120" s="222"/>
      <c r="EH120" s="222"/>
    </row>
    <row r="121" spans="1:138" hidden="1">
      <c r="A121" s="222"/>
      <c r="B121" s="318"/>
      <c r="C121" s="323" t="s">
        <v>301</v>
      </c>
      <c r="D121" s="324">
        <f>-SUM(E113:BM113)</f>
        <v>8333333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2"/>
      <c r="BN121" s="222"/>
      <c r="BO121" s="222"/>
      <c r="BP121" s="222"/>
      <c r="BQ121" s="222"/>
      <c r="BR121" s="222"/>
      <c r="BS121" s="222"/>
      <c r="BT121" s="222"/>
      <c r="BU121" s="222"/>
      <c r="BV121" s="222"/>
      <c r="BW121" s="222"/>
      <c r="BX121" s="222"/>
      <c r="BY121" s="222"/>
      <c r="BZ121" s="222"/>
      <c r="CA121" s="222"/>
      <c r="CB121" s="222"/>
      <c r="CC121" s="222"/>
      <c r="CD121" s="222"/>
      <c r="CE121" s="222"/>
      <c r="CF121" s="222"/>
      <c r="CG121" s="222"/>
      <c r="CH121" s="222"/>
      <c r="CI121" s="222"/>
      <c r="CJ121" s="222"/>
      <c r="CK121" s="222"/>
      <c r="CL121" s="222"/>
      <c r="CM121" s="222"/>
      <c r="CN121" s="222"/>
      <c r="CO121" s="222"/>
      <c r="CP121" s="222"/>
      <c r="CQ121" s="222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222"/>
      <c r="DC121" s="222"/>
      <c r="DD121" s="222"/>
      <c r="DE121" s="222"/>
      <c r="DF121" s="222"/>
      <c r="DG121" s="222"/>
      <c r="DH121" s="222"/>
      <c r="DI121" s="222"/>
      <c r="DJ121" s="222"/>
      <c r="DK121" s="222"/>
      <c r="DL121" s="222"/>
      <c r="DM121" s="222"/>
      <c r="DN121" s="222"/>
      <c r="DO121" s="222"/>
      <c r="DP121" s="222"/>
      <c r="DQ121" s="222"/>
      <c r="DR121" s="222"/>
      <c r="DS121" s="222"/>
      <c r="DT121" s="222"/>
      <c r="DU121" s="222"/>
      <c r="DV121" s="222"/>
      <c r="DW121" s="325"/>
      <c r="DX121" s="325"/>
      <c r="DY121" s="325"/>
      <c r="DZ121" s="325"/>
      <c r="EA121" s="325"/>
      <c r="EB121" s="325"/>
      <c r="EC121" s="325"/>
      <c r="ED121" s="325"/>
      <c r="EE121" s="325"/>
      <c r="EF121" s="325"/>
      <c r="EG121" s="325"/>
      <c r="EH121" s="325"/>
    </row>
    <row r="122" spans="1:138" hidden="1">
      <c r="A122" s="222"/>
      <c r="B122" s="318"/>
      <c r="C122" s="313" t="s">
        <v>302</v>
      </c>
      <c r="D122" s="326">
        <f>D120+D121</f>
        <v>32569002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605" t="s">
        <v>331</v>
      </c>
      <c r="T122" s="588"/>
      <c r="U122" s="222"/>
      <c r="V122" s="222">
        <f>T112+5000000+3333333</f>
        <v>32569002</v>
      </c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2"/>
      <c r="BO122" s="222"/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2"/>
      <c r="CB122" s="222"/>
      <c r="CC122" s="222"/>
      <c r="CD122" s="222"/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2"/>
      <c r="CQ122" s="222"/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22"/>
      <c r="DO122" s="222"/>
      <c r="DP122" s="222"/>
      <c r="DQ122" s="222"/>
      <c r="DR122" s="222"/>
      <c r="DS122" s="222"/>
      <c r="DT122" s="222"/>
      <c r="DU122" s="222"/>
      <c r="DV122" s="222"/>
      <c r="DW122" s="325"/>
      <c r="DX122" s="325"/>
      <c r="DY122" s="325"/>
      <c r="DZ122" s="325"/>
      <c r="EA122" s="325"/>
      <c r="EB122" s="325"/>
      <c r="EC122" s="325"/>
      <c r="ED122" s="325"/>
      <c r="EE122" s="325"/>
      <c r="EF122" s="325"/>
      <c r="EG122" s="325"/>
      <c r="EH122" s="325"/>
    </row>
    <row r="123" spans="1:138" hidden="1">
      <c r="A123" s="222"/>
      <c r="B123" s="318"/>
      <c r="C123" s="313" t="s">
        <v>303</v>
      </c>
      <c r="D123" s="326" t="e">
        <f>T118-D120</f>
        <v>#REF!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605" t="s">
        <v>332</v>
      </c>
      <c r="T123" s="588"/>
      <c r="U123" s="222"/>
      <c r="V123" s="222">
        <f>V122+11000000</f>
        <v>43569002</v>
      </c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2"/>
      <c r="BN123" s="222"/>
      <c r="BO123" s="222"/>
      <c r="BP123" s="222"/>
      <c r="BQ123" s="222"/>
      <c r="BR123" s="222"/>
      <c r="BS123" s="222"/>
      <c r="BT123" s="222"/>
      <c r="BU123" s="222"/>
      <c r="BV123" s="222"/>
      <c r="BW123" s="222"/>
      <c r="BX123" s="222"/>
      <c r="BY123" s="222"/>
      <c r="BZ123" s="238"/>
      <c r="CA123" s="222"/>
      <c r="CB123" s="222"/>
      <c r="CC123" s="222"/>
      <c r="CD123" s="222"/>
      <c r="CE123" s="222"/>
      <c r="CF123" s="222"/>
      <c r="CG123" s="222"/>
      <c r="CH123" s="222"/>
      <c r="CI123" s="222"/>
      <c r="CJ123" s="222"/>
      <c r="CK123" s="222"/>
      <c r="CL123" s="222"/>
      <c r="CM123" s="222"/>
      <c r="CN123" s="222"/>
      <c r="CO123" s="222"/>
      <c r="CP123" s="222"/>
      <c r="CQ123" s="222"/>
      <c r="CR123" s="222"/>
      <c r="CS123" s="222"/>
      <c r="CT123" s="222"/>
      <c r="CU123" s="222"/>
      <c r="CV123" s="222"/>
      <c r="CW123" s="222"/>
      <c r="CX123" s="222"/>
      <c r="CY123" s="222"/>
      <c r="CZ123" s="222"/>
      <c r="DA123" s="222"/>
      <c r="DB123" s="222"/>
      <c r="DC123" s="222"/>
      <c r="DD123" s="222"/>
      <c r="DE123" s="222"/>
      <c r="DF123" s="222"/>
      <c r="DG123" s="222"/>
      <c r="DH123" s="222"/>
      <c r="DI123" s="222"/>
      <c r="DJ123" s="222"/>
      <c r="DK123" s="222"/>
      <c r="DL123" s="222"/>
      <c r="DM123" s="222"/>
      <c r="DN123" s="222"/>
      <c r="DO123" s="222"/>
      <c r="DP123" s="222"/>
      <c r="DQ123" s="222"/>
      <c r="DR123" s="222"/>
      <c r="DS123" s="222"/>
      <c r="DT123" s="222"/>
      <c r="DU123" s="222"/>
      <c r="DV123" s="222"/>
      <c r="DW123" s="325"/>
      <c r="DX123" s="325"/>
      <c r="DY123" s="325"/>
      <c r="DZ123" s="325"/>
      <c r="EA123" s="325"/>
      <c r="EB123" s="325"/>
      <c r="EC123" s="325"/>
      <c r="ED123" s="325"/>
      <c r="EE123" s="325"/>
      <c r="EF123" s="325"/>
      <c r="EG123" s="325"/>
      <c r="EH123" s="325"/>
    </row>
    <row r="124" spans="1:138" hidden="1">
      <c r="A124" s="222"/>
      <c r="B124" s="318"/>
      <c r="C124" s="313" t="s">
        <v>147</v>
      </c>
      <c r="D124" s="322" t="e">
        <f>(D123-D121)/D122</f>
        <v>#REF!</v>
      </c>
      <c r="E124" s="222"/>
      <c r="F124" s="238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 t="s">
        <v>333</v>
      </c>
      <c r="T124" s="222"/>
      <c r="U124" s="222"/>
      <c r="V124" s="222" t="e">
        <f>T118-V123</f>
        <v>#REF!</v>
      </c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2"/>
      <c r="BV124" s="222"/>
      <c r="BW124" s="222"/>
      <c r="BX124" s="222"/>
      <c r="BY124" s="222"/>
      <c r="BZ124" s="222"/>
      <c r="CA124" s="222"/>
      <c r="CB124" s="222"/>
      <c r="CC124" s="222"/>
      <c r="CD124" s="222"/>
      <c r="CE124" s="222"/>
      <c r="CF124" s="222"/>
      <c r="CG124" s="222"/>
      <c r="CH124" s="222"/>
      <c r="CI124" s="222"/>
      <c r="CJ124" s="222"/>
      <c r="CK124" s="222"/>
      <c r="CL124" s="222"/>
      <c r="CM124" s="222"/>
      <c r="CN124" s="222"/>
      <c r="CO124" s="222"/>
      <c r="CP124" s="222"/>
      <c r="CQ124" s="222"/>
      <c r="CR124" s="222"/>
      <c r="CS124" s="222"/>
      <c r="CT124" s="222"/>
      <c r="CU124" s="222"/>
      <c r="CV124" s="222"/>
      <c r="CW124" s="222"/>
      <c r="CX124" s="222"/>
      <c r="CY124" s="222"/>
      <c r="CZ124" s="222"/>
      <c r="DA124" s="222"/>
      <c r="DB124" s="222"/>
      <c r="DC124" s="222"/>
      <c r="DD124" s="222"/>
      <c r="DE124" s="222"/>
      <c r="DF124" s="222"/>
      <c r="DG124" s="222"/>
      <c r="DH124" s="222"/>
      <c r="DI124" s="222"/>
      <c r="DJ124" s="222"/>
      <c r="DK124" s="222"/>
      <c r="DL124" s="222"/>
      <c r="DM124" s="222"/>
      <c r="DN124" s="222"/>
      <c r="DO124" s="222"/>
      <c r="DP124" s="222"/>
      <c r="DQ124" s="222"/>
      <c r="DR124" s="222"/>
      <c r="DS124" s="222"/>
      <c r="DT124" s="222"/>
      <c r="DU124" s="222"/>
      <c r="DV124" s="222"/>
      <c r="DW124" s="325"/>
      <c r="DX124" s="325"/>
      <c r="DY124" s="325"/>
      <c r="DZ124" s="325"/>
      <c r="EA124" s="325"/>
      <c r="EB124" s="325"/>
      <c r="EC124" s="325"/>
      <c r="ED124" s="325"/>
      <c r="EE124" s="325"/>
      <c r="EF124" s="325"/>
      <c r="EG124" s="325"/>
      <c r="EH124" s="325"/>
    </row>
    <row r="125" spans="1:138" hidden="1">
      <c r="A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38" t="e">
        <f>V124/-J112</f>
        <v>#REF!</v>
      </c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325"/>
      <c r="DX125" s="325"/>
      <c r="DY125" s="325"/>
      <c r="DZ125" s="325"/>
      <c r="EA125" s="325"/>
      <c r="EB125" s="325"/>
      <c r="EC125" s="325"/>
      <c r="ED125" s="325"/>
      <c r="EE125" s="325"/>
      <c r="EF125" s="325"/>
      <c r="EG125" s="325"/>
      <c r="EH125" s="325"/>
    </row>
    <row r="126" spans="1:138" hidden="1">
      <c r="A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  <c r="BB126" s="222"/>
      <c r="BC126" s="222"/>
      <c r="BD126" s="222"/>
      <c r="BE126" s="222"/>
      <c r="BF126" s="222"/>
      <c r="BG126" s="222"/>
      <c r="BH126" s="222"/>
      <c r="BI126" s="222"/>
      <c r="BJ126" s="222"/>
      <c r="BK126" s="222"/>
      <c r="BL126" s="222"/>
      <c r="BM126" s="222"/>
      <c r="BN126" s="222"/>
      <c r="BO126" s="222"/>
      <c r="BP126" s="222"/>
      <c r="BQ126" s="222"/>
      <c r="BR126" s="222"/>
      <c r="BS126" s="222"/>
      <c r="BT126" s="222"/>
      <c r="BU126" s="222"/>
      <c r="BV126" s="222"/>
      <c r="BW126" s="222"/>
      <c r="BX126" s="222"/>
      <c r="BY126" s="222"/>
      <c r="BZ126" s="222"/>
      <c r="CA126" s="222"/>
      <c r="CB126" s="222"/>
      <c r="CC126" s="222"/>
      <c r="CD126" s="222"/>
      <c r="CE126" s="222"/>
      <c r="CF126" s="222"/>
      <c r="CG126" s="222"/>
      <c r="CH126" s="222"/>
      <c r="CI126" s="222"/>
      <c r="CJ126" s="222"/>
      <c r="CK126" s="222"/>
      <c r="CL126" s="222"/>
      <c r="CM126" s="222"/>
      <c r="CN126" s="222"/>
      <c r="CO126" s="222"/>
      <c r="CP126" s="222"/>
      <c r="CQ126" s="222"/>
      <c r="CR126" s="222"/>
      <c r="CS126" s="222"/>
      <c r="CT126" s="222"/>
      <c r="CU126" s="222"/>
      <c r="CV126" s="222"/>
      <c r="CW126" s="222"/>
      <c r="CX126" s="222"/>
      <c r="CY126" s="222"/>
      <c r="CZ126" s="222"/>
      <c r="DA126" s="222"/>
      <c r="DB126" s="222"/>
      <c r="DC126" s="222"/>
      <c r="DD126" s="222"/>
      <c r="DE126" s="222"/>
      <c r="DF126" s="222"/>
      <c r="DG126" s="222"/>
      <c r="DH126" s="222"/>
      <c r="DI126" s="222"/>
      <c r="DJ126" s="222"/>
      <c r="DK126" s="222"/>
      <c r="DL126" s="222"/>
      <c r="DM126" s="222"/>
      <c r="DN126" s="222"/>
      <c r="DO126" s="222"/>
      <c r="DP126" s="222"/>
      <c r="DQ126" s="222"/>
      <c r="DR126" s="222"/>
      <c r="DS126" s="222"/>
      <c r="DT126" s="222"/>
      <c r="DU126" s="222"/>
      <c r="DV126" s="222"/>
      <c r="DW126" s="325"/>
      <c r="DX126" s="325"/>
      <c r="DY126" s="325"/>
      <c r="DZ126" s="325"/>
      <c r="EA126" s="325"/>
      <c r="EB126" s="325"/>
      <c r="EC126" s="325"/>
      <c r="ED126" s="325"/>
      <c r="EE126" s="325"/>
      <c r="EF126" s="325"/>
      <c r="EG126" s="325"/>
      <c r="EH126" s="325"/>
    </row>
    <row r="127" spans="1:138" hidden="1">
      <c r="A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  <c r="BB127" s="222"/>
      <c r="BC127" s="222"/>
      <c r="BD127" s="222"/>
      <c r="BE127" s="222"/>
      <c r="BF127" s="222"/>
      <c r="BG127" s="222"/>
      <c r="BH127" s="222"/>
      <c r="BI127" s="222"/>
      <c r="BJ127" s="222"/>
      <c r="BK127" s="222"/>
      <c r="BL127" s="222"/>
      <c r="BM127" s="222"/>
      <c r="BN127" s="222"/>
      <c r="BO127" s="222"/>
      <c r="BP127" s="222"/>
      <c r="BQ127" s="222"/>
      <c r="BR127" s="222"/>
      <c r="BS127" s="222"/>
      <c r="BT127" s="222"/>
      <c r="BU127" s="222"/>
      <c r="BV127" s="222"/>
      <c r="BW127" s="222"/>
      <c r="BX127" s="222"/>
      <c r="BY127" s="222"/>
      <c r="BZ127" s="222"/>
      <c r="CA127" s="222"/>
      <c r="CB127" s="222"/>
      <c r="CC127" s="222"/>
      <c r="CD127" s="222"/>
      <c r="CE127" s="222"/>
      <c r="CF127" s="222"/>
      <c r="CG127" s="222"/>
      <c r="CH127" s="222"/>
      <c r="CI127" s="222"/>
      <c r="CJ127" s="222"/>
      <c r="CK127" s="222"/>
      <c r="CL127" s="222"/>
      <c r="CM127" s="222"/>
      <c r="CN127" s="222"/>
      <c r="CO127" s="222"/>
      <c r="CP127" s="222"/>
      <c r="CQ127" s="222"/>
      <c r="CR127" s="222"/>
      <c r="CS127" s="222"/>
      <c r="CT127" s="222"/>
      <c r="CU127" s="222"/>
      <c r="CV127" s="222"/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2"/>
      <c r="DI127" s="222"/>
      <c r="DJ127" s="222"/>
      <c r="DK127" s="222"/>
      <c r="DL127" s="222"/>
      <c r="DM127" s="222"/>
      <c r="DN127" s="222"/>
      <c r="DO127" s="222"/>
      <c r="DP127" s="222"/>
      <c r="DQ127" s="222"/>
      <c r="DR127" s="222"/>
      <c r="DS127" s="222"/>
      <c r="DT127" s="222"/>
      <c r="DU127" s="222"/>
      <c r="DV127" s="222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</row>
    <row r="128" spans="1:138" hidden="1">
      <c r="A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222"/>
      <c r="AF128" s="222"/>
      <c r="AG128" s="222"/>
      <c r="AH128" s="222"/>
      <c r="AI128" s="222"/>
      <c r="AJ128" s="222"/>
      <c r="AK128" s="222"/>
      <c r="AL128" s="222"/>
      <c r="AM128" s="222"/>
      <c r="AN128" s="222"/>
      <c r="AO128" s="222"/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22"/>
      <c r="BC128" s="222"/>
      <c r="BD128" s="222"/>
      <c r="BE128" s="222"/>
      <c r="BF128" s="222"/>
      <c r="BG128" s="222"/>
      <c r="BH128" s="222"/>
      <c r="BI128" s="222"/>
      <c r="BJ128" s="222"/>
      <c r="BK128" s="222"/>
      <c r="BL128" s="222"/>
      <c r="BM128" s="222"/>
      <c r="BN128" s="222"/>
      <c r="BO128" s="222"/>
      <c r="BP128" s="222"/>
      <c r="BQ128" s="222"/>
      <c r="BR128" s="222"/>
      <c r="BS128" s="222"/>
      <c r="BT128" s="222"/>
      <c r="BU128" s="222"/>
      <c r="BV128" s="222"/>
      <c r="BW128" s="222"/>
      <c r="BX128" s="222"/>
      <c r="BY128" s="222"/>
      <c r="BZ128" s="222"/>
      <c r="CA128" s="222"/>
      <c r="CB128" s="222"/>
      <c r="CC128" s="222"/>
      <c r="CD128" s="222"/>
      <c r="CE128" s="222"/>
      <c r="CF128" s="222"/>
      <c r="CG128" s="222"/>
      <c r="CH128" s="222"/>
      <c r="CI128" s="222"/>
      <c r="CJ128" s="222"/>
      <c r="CK128" s="222"/>
      <c r="CL128" s="222"/>
      <c r="CM128" s="222"/>
      <c r="CN128" s="222"/>
      <c r="CO128" s="222"/>
      <c r="CP128" s="222"/>
      <c r="CQ128" s="222"/>
      <c r="CR128" s="222"/>
      <c r="CS128" s="222"/>
      <c r="CT128" s="222"/>
      <c r="CU128" s="222"/>
      <c r="CV128" s="222"/>
      <c r="CW128" s="222"/>
      <c r="CX128" s="222"/>
      <c r="CY128" s="222"/>
      <c r="CZ128" s="222"/>
      <c r="DA128" s="222"/>
      <c r="DB128" s="222"/>
      <c r="DC128" s="222"/>
      <c r="DD128" s="222"/>
      <c r="DE128" s="222"/>
      <c r="DF128" s="222"/>
      <c r="DG128" s="222"/>
      <c r="DH128" s="222"/>
      <c r="DI128" s="222"/>
      <c r="DJ128" s="222"/>
      <c r="DK128" s="222"/>
      <c r="DL128" s="222"/>
      <c r="DM128" s="222"/>
      <c r="DN128" s="222"/>
      <c r="DO128" s="222"/>
      <c r="DP128" s="222"/>
      <c r="DQ128" s="222"/>
      <c r="DR128" s="222"/>
      <c r="DS128" s="222"/>
      <c r="DT128" s="222"/>
      <c r="DU128" s="222"/>
      <c r="DV128" s="222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</row>
    <row r="129" spans="1:138" hidden="1">
      <c r="A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2"/>
      <c r="AQ129" s="222"/>
      <c r="AR129" s="222"/>
      <c r="AS129" s="222"/>
      <c r="AT129" s="222"/>
      <c r="AU129" s="222"/>
      <c r="AV129" s="222"/>
      <c r="AW129" s="222"/>
      <c r="AX129" s="222"/>
      <c r="AY129" s="222"/>
      <c r="AZ129" s="222"/>
      <c r="BA129" s="222"/>
      <c r="BB129" s="222"/>
      <c r="BC129" s="222"/>
      <c r="BD129" s="222"/>
      <c r="BE129" s="222"/>
      <c r="BF129" s="222"/>
      <c r="BG129" s="222"/>
      <c r="BH129" s="222"/>
      <c r="BI129" s="222"/>
      <c r="BJ129" s="222"/>
      <c r="BK129" s="222"/>
      <c r="BL129" s="222"/>
      <c r="BM129" s="222"/>
      <c r="BN129" s="222"/>
      <c r="BO129" s="222"/>
      <c r="BP129" s="222"/>
      <c r="BQ129" s="222"/>
      <c r="BR129" s="222"/>
      <c r="BS129" s="222"/>
      <c r="BT129" s="222"/>
      <c r="BU129" s="222"/>
      <c r="BV129" s="222"/>
      <c r="BW129" s="222"/>
      <c r="BX129" s="222"/>
      <c r="BY129" s="222"/>
      <c r="BZ129" s="222"/>
      <c r="CA129" s="222"/>
      <c r="CB129" s="222"/>
      <c r="CC129" s="222"/>
      <c r="CD129" s="222"/>
      <c r="CE129" s="222"/>
      <c r="CF129" s="222"/>
      <c r="CG129" s="222"/>
      <c r="CH129" s="222"/>
      <c r="CI129" s="222"/>
      <c r="CJ129" s="222"/>
      <c r="CK129" s="222"/>
      <c r="CL129" s="222"/>
      <c r="CM129" s="222"/>
      <c r="CN129" s="222"/>
      <c r="CO129" s="222"/>
      <c r="CP129" s="222"/>
      <c r="CQ129" s="222"/>
      <c r="CR129" s="222"/>
      <c r="CS129" s="222"/>
      <c r="CT129" s="222"/>
      <c r="CU129" s="222"/>
      <c r="CV129" s="222"/>
      <c r="CW129" s="222"/>
      <c r="CX129" s="222"/>
      <c r="CY129" s="222"/>
      <c r="CZ129" s="222"/>
      <c r="DA129" s="222"/>
      <c r="DB129" s="222"/>
      <c r="DC129" s="222"/>
      <c r="DD129" s="222"/>
      <c r="DE129" s="222"/>
      <c r="DF129" s="222"/>
      <c r="DG129" s="222"/>
      <c r="DH129" s="222"/>
      <c r="DI129" s="222"/>
      <c r="DJ129" s="222"/>
      <c r="DK129" s="222"/>
      <c r="DL129" s="222"/>
      <c r="DM129" s="222"/>
      <c r="DN129" s="222"/>
      <c r="DO129" s="222"/>
      <c r="DP129" s="222"/>
      <c r="DQ129" s="222"/>
      <c r="DR129" s="222"/>
      <c r="DS129" s="222"/>
      <c r="DT129" s="222"/>
      <c r="DU129" s="222"/>
      <c r="DV129" s="222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</row>
    <row r="130" spans="1:138" hidden="1">
      <c r="A130" s="222"/>
      <c r="B130" s="318"/>
      <c r="C130" s="310" t="s">
        <v>304</v>
      </c>
      <c r="D130" s="311"/>
      <c r="E130" s="311">
        <f t="shared" ref="E130:BX130" si="41">-(E6+E92)</f>
        <v>0</v>
      </c>
      <c r="F130" s="311">
        <f t="shared" si="41"/>
        <v>0</v>
      </c>
      <c r="G130" s="311">
        <f t="shared" si="41"/>
        <v>0</v>
      </c>
      <c r="H130" s="311">
        <f t="shared" si="41"/>
        <v>0</v>
      </c>
      <c r="I130" s="311">
        <f t="shared" si="41"/>
        <v>0</v>
      </c>
      <c r="J130" s="311">
        <f t="shared" si="41"/>
        <v>-7870667</v>
      </c>
      <c r="K130" s="311">
        <f t="shared" si="41"/>
        <v>0</v>
      </c>
      <c r="L130" s="311">
        <f t="shared" si="41"/>
        <v>0</v>
      </c>
      <c r="M130" s="311">
        <f t="shared" si="41"/>
        <v>0</v>
      </c>
      <c r="N130" s="311">
        <f t="shared" si="41"/>
        <v>0</v>
      </c>
      <c r="O130" s="311">
        <f t="shared" si="41"/>
        <v>0</v>
      </c>
      <c r="P130" s="311">
        <f t="shared" si="41"/>
        <v>0</v>
      </c>
      <c r="Q130" s="311">
        <f t="shared" si="41"/>
        <v>0</v>
      </c>
      <c r="R130" s="311">
        <f t="shared" si="41"/>
        <v>0</v>
      </c>
      <c r="S130" s="311">
        <f t="shared" si="41"/>
        <v>0</v>
      </c>
      <c r="T130" s="311">
        <f t="shared" si="41"/>
        <v>7870667</v>
      </c>
      <c r="U130" s="311">
        <f t="shared" si="41"/>
        <v>0</v>
      </c>
      <c r="V130" s="311">
        <f t="shared" si="41"/>
        <v>0</v>
      </c>
      <c r="W130" s="311">
        <f t="shared" si="41"/>
        <v>0</v>
      </c>
      <c r="X130" s="311">
        <f t="shared" si="41"/>
        <v>0</v>
      </c>
      <c r="Y130" s="311">
        <f t="shared" si="41"/>
        <v>0</v>
      </c>
      <c r="Z130" s="311">
        <f t="shared" si="41"/>
        <v>0</v>
      </c>
      <c r="AA130" s="311">
        <f t="shared" si="41"/>
        <v>0</v>
      </c>
      <c r="AB130" s="311">
        <f t="shared" si="41"/>
        <v>0</v>
      </c>
      <c r="AC130" s="311">
        <f t="shared" si="41"/>
        <v>0</v>
      </c>
      <c r="AD130" s="311">
        <f t="shared" si="41"/>
        <v>0</v>
      </c>
      <c r="AE130" s="311">
        <f t="shared" si="41"/>
        <v>0</v>
      </c>
      <c r="AF130" s="311">
        <f t="shared" si="41"/>
        <v>0</v>
      </c>
      <c r="AG130" s="311">
        <f t="shared" si="41"/>
        <v>0</v>
      </c>
      <c r="AH130" s="311">
        <f t="shared" si="41"/>
        <v>0</v>
      </c>
      <c r="AI130" s="311">
        <f t="shared" si="41"/>
        <v>0</v>
      </c>
      <c r="AJ130" s="311">
        <f t="shared" si="41"/>
        <v>0</v>
      </c>
      <c r="AK130" s="311">
        <f t="shared" si="41"/>
        <v>0</v>
      </c>
      <c r="AL130" s="311">
        <f t="shared" si="41"/>
        <v>0</v>
      </c>
      <c r="AM130" s="311">
        <f t="shared" si="41"/>
        <v>0</v>
      </c>
      <c r="AN130" s="311">
        <f t="shared" si="41"/>
        <v>0</v>
      </c>
      <c r="AO130" s="311">
        <f t="shared" si="41"/>
        <v>0</v>
      </c>
      <c r="AP130" s="311">
        <f t="shared" si="41"/>
        <v>0</v>
      </c>
      <c r="AQ130" s="311">
        <f t="shared" si="41"/>
        <v>0</v>
      </c>
      <c r="AR130" s="311">
        <f t="shared" si="41"/>
        <v>0</v>
      </c>
      <c r="AS130" s="311">
        <f t="shared" si="41"/>
        <v>0</v>
      </c>
      <c r="AT130" s="311">
        <f t="shared" si="41"/>
        <v>0</v>
      </c>
      <c r="AU130" s="311">
        <f t="shared" si="41"/>
        <v>0</v>
      </c>
      <c r="AV130" s="311">
        <f t="shared" si="41"/>
        <v>0</v>
      </c>
      <c r="AW130" s="311">
        <f t="shared" si="41"/>
        <v>0</v>
      </c>
      <c r="AX130" s="311">
        <f t="shared" si="41"/>
        <v>0</v>
      </c>
      <c r="AY130" s="311">
        <f t="shared" si="41"/>
        <v>0</v>
      </c>
      <c r="AZ130" s="311">
        <f t="shared" si="41"/>
        <v>0</v>
      </c>
      <c r="BA130" s="311">
        <f t="shared" si="41"/>
        <v>0</v>
      </c>
      <c r="BB130" s="311">
        <f t="shared" si="41"/>
        <v>0</v>
      </c>
      <c r="BC130" s="311">
        <f t="shared" si="41"/>
        <v>0</v>
      </c>
      <c r="BD130" s="311">
        <f t="shared" si="41"/>
        <v>0</v>
      </c>
      <c r="BE130" s="311">
        <f t="shared" si="41"/>
        <v>0</v>
      </c>
      <c r="BF130" s="311">
        <f t="shared" si="41"/>
        <v>0</v>
      </c>
      <c r="BG130" s="311">
        <f t="shared" si="41"/>
        <v>0</v>
      </c>
      <c r="BH130" s="311">
        <f t="shared" si="41"/>
        <v>0</v>
      </c>
      <c r="BI130" s="311">
        <f t="shared" si="41"/>
        <v>0</v>
      </c>
      <c r="BJ130" s="311">
        <f t="shared" si="41"/>
        <v>0</v>
      </c>
      <c r="BK130" s="311">
        <f t="shared" si="41"/>
        <v>0</v>
      </c>
      <c r="BL130" s="311">
        <f t="shared" si="41"/>
        <v>0</v>
      </c>
      <c r="BM130" s="311">
        <f t="shared" si="41"/>
        <v>0</v>
      </c>
      <c r="BN130" s="311">
        <f t="shared" si="41"/>
        <v>0</v>
      </c>
      <c r="BO130" s="311">
        <f t="shared" si="41"/>
        <v>0</v>
      </c>
      <c r="BP130" s="311">
        <f t="shared" si="41"/>
        <v>0</v>
      </c>
      <c r="BQ130" s="311">
        <f t="shared" si="41"/>
        <v>0</v>
      </c>
      <c r="BR130" s="311">
        <f t="shared" si="41"/>
        <v>0</v>
      </c>
      <c r="BS130" s="311">
        <f t="shared" si="41"/>
        <v>0</v>
      </c>
      <c r="BT130" s="311">
        <f t="shared" si="41"/>
        <v>0</v>
      </c>
      <c r="BU130" s="311">
        <f t="shared" si="41"/>
        <v>0</v>
      </c>
      <c r="BV130" s="311">
        <f t="shared" si="41"/>
        <v>0</v>
      </c>
      <c r="BW130" s="311">
        <f t="shared" si="41"/>
        <v>0</v>
      </c>
      <c r="BX130" s="311">
        <f t="shared" si="41"/>
        <v>0</v>
      </c>
      <c r="BY130" s="222"/>
      <c r="BZ130" s="222"/>
      <c r="CA130" s="222"/>
      <c r="CB130" s="222"/>
      <c r="CC130" s="222"/>
      <c r="CD130" s="222"/>
      <c r="CE130" s="222"/>
      <c r="CF130" s="222"/>
      <c r="CG130" s="222"/>
      <c r="CH130" s="222"/>
      <c r="CI130" s="222"/>
      <c r="CJ130" s="222"/>
      <c r="CK130" s="222"/>
      <c r="CL130" s="222"/>
      <c r="CM130" s="222"/>
      <c r="CN130" s="222"/>
      <c r="CO130" s="222"/>
      <c r="CP130" s="222"/>
      <c r="CQ130" s="222"/>
      <c r="CR130" s="222"/>
      <c r="CS130" s="222"/>
      <c r="CT130" s="222"/>
      <c r="CU130" s="222"/>
      <c r="CV130" s="222"/>
      <c r="CW130" s="222"/>
      <c r="CX130" s="222"/>
      <c r="CY130" s="222"/>
      <c r="CZ130" s="222"/>
      <c r="DA130" s="222"/>
      <c r="DB130" s="222"/>
      <c r="DC130" s="222"/>
      <c r="DD130" s="222"/>
      <c r="DE130" s="222"/>
      <c r="DF130" s="222"/>
      <c r="DG130" s="222"/>
      <c r="DH130" s="222"/>
      <c r="DI130" s="222"/>
      <c r="DJ130" s="222"/>
      <c r="DK130" s="222"/>
      <c r="DL130" s="222"/>
      <c r="DM130" s="222"/>
      <c r="DN130" s="222"/>
      <c r="DO130" s="222"/>
      <c r="DP130" s="222"/>
      <c r="DQ130" s="222"/>
      <c r="DR130" s="222"/>
      <c r="DS130" s="222"/>
      <c r="DT130" s="222"/>
      <c r="DU130" s="222"/>
      <c r="DV130" s="222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</row>
    <row r="131" spans="1:138" hidden="1">
      <c r="A131" s="222"/>
      <c r="B131" s="318"/>
      <c r="C131" s="310" t="s">
        <v>305</v>
      </c>
      <c r="D131" s="319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  <c r="Y131" s="311"/>
      <c r="Z131" s="311"/>
      <c r="AA131" s="311"/>
      <c r="AB131" s="311"/>
      <c r="AC131" s="311"/>
      <c r="AD131" s="311"/>
      <c r="AE131" s="311"/>
      <c r="AF131" s="311"/>
      <c r="AG131" s="311"/>
      <c r="AH131" s="311"/>
      <c r="AI131" s="311"/>
      <c r="AJ131" s="311"/>
      <c r="AK131" s="311"/>
      <c r="AL131" s="311"/>
      <c r="AM131" s="311"/>
      <c r="AN131" s="311"/>
      <c r="AO131" s="311"/>
      <c r="AP131" s="311"/>
      <c r="AQ131" s="311"/>
      <c r="AR131" s="311"/>
      <c r="AS131" s="311"/>
      <c r="AT131" s="311"/>
      <c r="AU131" s="311"/>
      <c r="AV131" s="311"/>
      <c r="AW131" s="311"/>
      <c r="AX131" s="311"/>
      <c r="AY131" s="311"/>
      <c r="AZ131" s="311"/>
      <c r="BA131" s="311"/>
      <c r="BB131" s="311"/>
      <c r="BC131" s="311"/>
      <c r="BD131" s="311"/>
      <c r="BE131" s="311"/>
      <c r="BF131" s="311"/>
      <c r="BG131" s="311"/>
      <c r="BH131" s="311"/>
      <c r="BI131" s="311"/>
      <c r="BJ131" s="311"/>
      <c r="BK131" s="311"/>
      <c r="BL131" s="311"/>
      <c r="BM131" s="311"/>
      <c r="BN131" s="311"/>
      <c r="BO131" s="311"/>
      <c r="BP131" s="311"/>
      <c r="BQ131" s="311"/>
      <c r="BR131" s="311"/>
      <c r="BS131" s="311"/>
      <c r="BT131" s="311"/>
      <c r="BU131" s="311"/>
      <c r="BV131" s="311"/>
      <c r="BW131" s="311"/>
      <c r="BX131" s="311"/>
      <c r="BY131" s="222"/>
      <c r="BZ131" s="222"/>
      <c r="CA131" s="222"/>
      <c r="CB131" s="222"/>
      <c r="CC131" s="222"/>
      <c r="CD131" s="222"/>
      <c r="CE131" s="222"/>
      <c r="CF131" s="222"/>
      <c r="CG131" s="222"/>
      <c r="CH131" s="222"/>
      <c r="CI131" s="222"/>
      <c r="CJ131" s="222"/>
      <c r="CK131" s="222"/>
      <c r="CL131" s="222"/>
      <c r="CM131" s="222"/>
      <c r="CN131" s="222"/>
      <c r="CO131" s="222"/>
      <c r="CP131" s="222"/>
      <c r="CQ131" s="222"/>
      <c r="CR131" s="222"/>
      <c r="CS131" s="222"/>
      <c r="CT131" s="222"/>
      <c r="CU131" s="222"/>
      <c r="CV131" s="222"/>
      <c r="CW131" s="222"/>
      <c r="CX131" s="222"/>
      <c r="CY131" s="222"/>
      <c r="CZ131" s="222"/>
      <c r="DA131" s="222"/>
      <c r="DB131" s="222"/>
      <c r="DC131" s="222"/>
      <c r="DD131" s="222"/>
      <c r="DE131" s="222"/>
      <c r="DF131" s="222"/>
      <c r="DG131" s="222"/>
      <c r="DH131" s="222"/>
      <c r="DI131" s="222"/>
      <c r="DJ131" s="222"/>
      <c r="DK131" s="222"/>
      <c r="DL131" s="222"/>
      <c r="DM131" s="222"/>
      <c r="DN131" s="222"/>
      <c r="DO131" s="222"/>
      <c r="DP131" s="222"/>
      <c r="DQ131" s="222"/>
      <c r="DR131" s="222"/>
      <c r="DS131" s="222"/>
      <c r="DT131" s="222"/>
      <c r="DU131" s="222"/>
      <c r="DV131" s="222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</row>
    <row r="132" spans="1:138" hidden="1">
      <c r="A132" s="222"/>
      <c r="B132" s="318"/>
      <c r="C132" s="310" t="s">
        <v>296</v>
      </c>
      <c r="D132" s="319"/>
      <c r="E132" s="311">
        <f t="shared" ref="E132:BX132" si="42">-E57</f>
        <v>0</v>
      </c>
      <c r="F132" s="311">
        <f t="shared" si="42"/>
        <v>0</v>
      </c>
      <c r="G132" s="311">
        <f t="shared" si="42"/>
        <v>0</v>
      </c>
      <c r="H132" s="311">
        <f t="shared" si="42"/>
        <v>0</v>
      </c>
      <c r="I132" s="311">
        <f t="shared" si="42"/>
        <v>0</v>
      </c>
      <c r="J132" s="311">
        <f t="shared" si="42"/>
        <v>0</v>
      </c>
      <c r="K132" s="311">
        <f t="shared" si="42"/>
        <v>0</v>
      </c>
      <c r="L132" s="311">
        <f t="shared" si="42"/>
        <v>0</v>
      </c>
      <c r="M132" s="311">
        <f t="shared" si="42"/>
        <v>0</v>
      </c>
      <c r="N132" s="311">
        <f t="shared" si="42"/>
        <v>0</v>
      </c>
      <c r="O132" s="311">
        <f t="shared" si="42"/>
        <v>0</v>
      </c>
      <c r="P132" s="311">
        <f t="shared" si="42"/>
        <v>0</v>
      </c>
      <c r="Q132" s="311">
        <f t="shared" si="42"/>
        <v>0</v>
      </c>
      <c r="R132" s="311">
        <f t="shared" si="42"/>
        <v>0</v>
      </c>
      <c r="S132" s="311">
        <f t="shared" si="42"/>
        <v>0</v>
      </c>
      <c r="T132" s="311" t="e">
        <f t="shared" si="42"/>
        <v>#REF!</v>
      </c>
      <c r="U132" s="311">
        <f t="shared" si="42"/>
        <v>0</v>
      </c>
      <c r="V132" s="311">
        <f t="shared" si="42"/>
        <v>0</v>
      </c>
      <c r="W132" s="311">
        <f t="shared" si="42"/>
        <v>0</v>
      </c>
      <c r="X132" s="311">
        <f t="shared" si="42"/>
        <v>0</v>
      </c>
      <c r="Y132" s="311">
        <f t="shared" si="42"/>
        <v>0</v>
      </c>
      <c r="Z132" s="311">
        <f t="shared" si="42"/>
        <v>0</v>
      </c>
      <c r="AA132" s="311">
        <f t="shared" si="42"/>
        <v>0</v>
      </c>
      <c r="AB132" s="311">
        <f t="shared" si="42"/>
        <v>0</v>
      </c>
      <c r="AC132" s="311">
        <f t="shared" si="42"/>
        <v>0</v>
      </c>
      <c r="AD132" s="311">
        <f t="shared" si="42"/>
        <v>0</v>
      </c>
      <c r="AE132" s="311">
        <f t="shared" si="42"/>
        <v>0</v>
      </c>
      <c r="AF132" s="311">
        <f t="shared" si="42"/>
        <v>0</v>
      </c>
      <c r="AG132" s="311">
        <f t="shared" si="42"/>
        <v>0</v>
      </c>
      <c r="AH132" s="311">
        <f t="shared" si="42"/>
        <v>0</v>
      </c>
      <c r="AI132" s="311">
        <f t="shared" si="42"/>
        <v>0</v>
      </c>
      <c r="AJ132" s="311">
        <f t="shared" si="42"/>
        <v>0</v>
      </c>
      <c r="AK132" s="311">
        <f t="shared" si="42"/>
        <v>0</v>
      </c>
      <c r="AL132" s="311">
        <f t="shared" si="42"/>
        <v>0</v>
      </c>
      <c r="AM132" s="311">
        <f t="shared" si="42"/>
        <v>0</v>
      </c>
      <c r="AN132" s="311">
        <f t="shared" si="42"/>
        <v>0</v>
      </c>
      <c r="AO132" s="311">
        <f t="shared" si="42"/>
        <v>0</v>
      </c>
      <c r="AP132" s="311">
        <f t="shared" si="42"/>
        <v>0</v>
      </c>
      <c r="AQ132" s="311">
        <f t="shared" si="42"/>
        <v>0</v>
      </c>
      <c r="AR132" s="311">
        <f t="shared" si="42"/>
        <v>0</v>
      </c>
      <c r="AS132" s="311">
        <f t="shared" si="42"/>
        <v>0</v>
      </c>
      <c r="AT132" s="311">
        <f t="shared" si="42"/>
        <v>0</v>
      </c>
      <c r="AU132" s="311">
        <f t="shared" si="42"/>
        <v>0</v>
      </c>
      <c r="AV132" s="311">
        <f t="shared" si="42"/>
        <v>0</v>
      </c>
      <c r="AW132" s="311">
        <f t="shared" si="42"/>
        <v>0</v>
      </c>
      <c r="AX132" s="311">
        <f t="shared" si="42"/>
        <v>0</v>
      </c>
      <c r="AY132" s="311">
        <f t="shared" si="42"/>
        <v>0</v>
      </c>
      <c r="AZ132" s="311">
        <f t="shared" si="42"/>
        <v>0</v>
      </c>
      <c r="BA132" s="311">
        <f t="shared" si="42"/>
        <v>0</v>
      </c>
      <c r="BB132" s="311">
        <f t="shared" si="42"/>
        <v>0</v>
      </c>
      <c r="BC132" s="311">
        <f t="shared" si="42"/>
        <v>0</v>
      </c>
      <c r="BD132" s="311">
        <f t="shared" si="42"/>
        <v>0</v>
      </c>
      <c r="BE132" s="311">
        <f t="shared" si="42"/>
        <v>0</v>
      </c>
      <c r="BF132" s="311">
        <f t="shared" si="42"/>
        <v>0</v>
      </c>
      <c r="BG132" s="311">
        <f t="shared" si="42"/>
        <v>0</v>
      </c>
      <c r="BH132" s="311">
        <f t="shared" si="42"/>
        <v>0</v>
      </c>
      <c r="BI132" s="311">
        <f t="shared" si="42"/>
        <v>0</v>
      </c>
      <c r="BJ132" s="311">
        <f t="shared" si="42"/>
        <v>0</v>
      </c>
      <c r="BK132" s="311">
        <f t="shared" si="42"/>
        <v>0</v>
      </c>
      <c r="BL132" s="311">
        <f t="shared" si="42"/>
        <v>0</v>
      </c>
      <c r="BM132" s="311">
        <f t="shared" si="42"/>
        <v>0</v>
      </c>
      <c r="BN132" s="311">
        <f t="shared" si="42"/>
        <v>0</v>
      </c>
      <c r="BO132" s="311">
        <f t="shared" si="42"/>
        <v>0</v>
      </c>
      <c r="BP132" s="311">
        <f t="shared" si="42"/>
        <v>0</v>
      </c>
      <c r="BQ132" s="311">
        <f t="shared" si="42"/>
        <v>0</v>
      </c>
      <c r="BR132" s="311">
        <f t="shared" si="42"/>
        <v>0</v>
      </c>
      <c r="BS132" s="311">
        <f t="shared" si="42"/>
        <v>0</v>
      </c>
      <c r="BT132" s="311">
        <f t="shared" si="42"/>
        <v>0</v>
      </c>
      <c r="BU132" s="311">
        <f t="shared" si="42"/>
        <v>0</v>
      </c>
      <c r="BV132" s="311">
        <f t="shared" si="42"/>
        <v>0</v>
      </c>
      <c r="BW132" s="311">
        <f t="shared" si="42"/>
        <v>0</v>
      </c>
      <c r="BX132" s="311">
        <f t="shared" si="42"/>
        <v>0</v>
      </c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2"/>
      <c r="DL132" s="222"/>
      <c r="DM132" s="222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</row>
    <row r="133" spans="1:138" hidden="1">
      <c r="A133" s="222"/>
      <c r="B133" s="318"/>
      <c r="C133" s="310" t="s">
        <v>297</v>
      </c>
      <c r="D133" s="319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  <c r="O133" s="311"/>
      <c r="P133" s="311"/>
      <c r="Q133" s="311"/>
      <c r="R133" s="311"/>
      <c r="S133" s="311"/>
      <c r="T133" s="311" t="e">
        <f>T100-T149-T165-T181</f>
        <v>#REF!</v>
      </c>
      <c r="U133" s="311"/>
      <c r="V133" s="311"/>
      <c r="W133" s="311"/>
      <c r="X133" s="311"/>
      <c r="Y133" s="311"/>
      <c r="Z133" s="311"/>
      <c r="AA133" s="311"/>
      <c r="AB133" s="311"/>
      <c r="AC133" s="311"/>
      <c r="AD133" s="311"/>
      <c r="AE133" s="311"/>
      <c r="AF133" s="311"/>
      <c r="AG133" s="311"/>
      <c r="AH133" s="311"/>
      <c r="AI133" s="311"/>
      <c r="AJ133" s="311"/>
      <c r="AK133" s="311"/>
      <c r="AL133" s="311"/>
      <c r="AM133" s="311"/>
      <c r="AN133" s="311"/>
      <c r="AO133" s="311"/>
      <c r="AP133" s="311"/>
      <c r="AQ133" s="311"/>
      <c r="AR133" s="311"/>
      <c r="AS133" s="311"/>
      <c r="AT133" s="311"/>
      <c r="AU133" s="311"/>
      <c r="AV133" s="311"/>
      <c r="AW133" s="311"/>
      <c r="AX133" s="311"/>
      <c r="AY133" s="311"/>
      <c r="AZ133" s="311"/>
      <c r="BA133" s="311"/>
      <c r="BB133" s="311"/>
      <c r="BC133" s="311"/>
      <c r="BD133" s="311"/>
      <c r="BE133" s="311"/>
      <c r="BF133" s="311"/>
      <c r="BG133" s="311"/>
      <c r="BH133" s="311"/>
      <c r="BI133" s="311"/>
      <c r="BJ133" s="311"/>
      <c r="BK133" s="311"/>
      <c r="BL133" s="311"/>
      <c r="BM133" s="311"/>
      <c r="BN133" s="311"/>
      <c r="BO133" s="311"/>
      <c r="BP133" s="311"/>
      <c r="BQ133" s="311"/>
      <c r="BR133" s="311"/>
      <c r="BS133" s="311"/>
      <c r="BT133" s="311"/>
      <c r="BU133" s="311"/>
      <c r="BV133" s="311"/>
      <c r="BW133" s="311"/>
      <c r="BX133" s="311" t="e">
        <f>IF(D105&gt;0.25,(BX100-BX108)*D134,BX100*D134)</f>
        <v>#VALUE!</v>
      </c>
      <c r="BY133" s="222"/>
      <c r="BZ133" s="222"/>
      <c r="CA133" s="222"/>
      <c r="CB133" s="222"/>
      <c r="CC133" s="222"/>
      <c r="CD133" s="222"/>
      <c r="CE133" s="222"/>
      <c r="CF133" s="222"/>
      <c r="CG133" s="222"/>
      <c r="CH133" s="222"/>
      <c r="CI133" s="222"/>
      <c r="CJ133" s="222"/>
      <c r="CK133" s="222"/>
      <c r="CL133" s="222"/>
      <c r="CM133" s="222"/>
      <c r="CN133" s="222"/>
      <c r="CO133" s="222"/>
      <c r="CP133" s="222"/>
      <c r="CQ133" s="222"/>
      <c r="CR133" s="222"/>
      <c r="CS133" s="222"/>
      <c r="CT133" s="222"/>
      <c r="CU133" s="222"/>
      <c r="CV133" s="222"/>
      <c r="CW133" s="222"/>
      <c r="CX133" s="222"/>
      <c r="CY133" s="222"/>
      <c r="CZ133" s="222"/>
      <c r="DA133" s="222"/>
      <c r="DB133" s="222"/>
      <c r="DC133" s="222"/>
      <c r="DD133" s="222"/>
      <c r="DE133" s="222"/>
      <c r="DF133" s="222"/>
      <c r="DG133" s="222"/>
      <c r="DH133" s="222"/>
      <c r="DI133" s="222"/>
      <c r="DJ133" s="222"/>
      <c r="DK133" s="222"/>
      <c r="DL133" s="222"/>
      <c r="DM133" s="222"/>
      <c r="DN133" s="222"/>
      <c r="DO133" s="222"/>
      <c r="DP133" s="222"/>
      <c r="DQ133" s="222"/>
      <c r="DR133" s="222"/>
      <c r="DS133" s="222"/>
      <c r="DT133" s="222"/>
      <c r="DU133" s="222"/>
      <c r="DV133" s="222"/>
      <c r="DW133" s="325"/>
      <c r="DX133" s="325"/>
      <c r="DY133" s="325"/>
      <c r="DZ133" s="325"/>
      <c r="EA133" s="325"/>
      <c r="EB133" s="325"/>
      <c r="EC133" s="325"/>
      <c r="ED133" s="325"/>
      <c r="EE133" s="325"/>
      <c r="EF133" s="325"/>
      <c r="EG133" s="325"/>
      <c r="EH133" s="325"/>
    </row>
    <row r="134" spans="1:138" hidden="1">
      <c r="A134" s="222"/>
      <c r="B134" s="318"/>
      <c r="C134" s="313" t="s">
        <v>298</v>
      </c>
      <c r="D134" s="319">
        <v>0</v>
      </c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  <c r="Z134" s="242"/>
      <c r="AA134" s="242"/>
      <c r="AB134" s="242"/>
      <c r="AC134" s="242"/>
      <c r="AD134" s="242"/>
      <c r="AE134" s="242"/>
      <c r="AF134" s="242"/>
      <c r="AG134" s="242"/>
      <c r="AH134" s="242"/>
      <c r="AI134" s="242"/>
      <c r="AJ134" s="242"/>
      <c r="AK134" s="242"/>
      <c r="AL134" s="242"/>
      <c r="AM134" s="242"/>
      <c r="AN134" s="242"/>
      <c r="AO134" s="242"/>
      <c r="AP134" s="242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22"/>
      <c r="BZ134" s="222"/>
      <c r="CA134" s="222"/>
      <c r="CB134" s="222"/>
      <c r="CC134" s="222"/>
      <c r="CD134" s="222"/>
      <c r="CE134" s="222"/>
      <c r="CF134" s="222"/>
      <c r="CG134" s="222"/>
      <c r="CH134" s="222"/>
      <c r="CI134" s="222"/>
      <c r="CJ134" s="222"/>
      <c r="CK134" s="222"/>
      <c r="CL134" s="222"/>
      <c r="CM134" s="222"/>
      <c r="CN134" s="222"/>
      <c r="CO134" s="222"/>
      <c r="CP134" s="222"/>
      <c r="CQ134" s="222"/>
      <c r="CR134" s="222"/>
      <c r="CS134" s="222"/>
      <c r="CT134" s="222"/>
      <c r="CU134" s="222"/>
      <c r="CV134" s="222"/>
      <c r="CW134" s="222"/>
      <c r="CX134" s="222"/>
      <c r="CY134" s="222"/>
      <c r="CZ134" s="222"/>
      <c r="DA134" s="222"/>
      <c r="DB134" s="222"/>
      <c r="DC134" s="222"/>
      <c r="DD134" s="222"/>
      <c r="DE134" s="222"/>
      <c r="DF134" s="222"/>
      <c r="DG134" s="222"/>
      <c r="DH134" s="222"/>
      <c r="DI134" s="222"/>
      <c r="DJ134" s="222"/>
      <c r="DK134" s="222"/>
      <c r="DL134" s="222"/>
      <c r="DM134" s="222"/>
      <c r="DN134" s="222"/>
      <c r="DO134" s="222"/>
      <c r="DP134" s="222"/>
      <c r="DQ134" s="222"/>
      <c r="DR134" s="222"/>
      <c r="DS134" s="222"/>
      <c r="DT134" s="222"/>
      <c r="DU134" s="222"/>
      <c r="DV134" s="222"/>
      <c r="DW134" s="325"/>
      <c r="DX134" s="325"/>
      <c r="DY134" s="325"/>
      <c r="DZ134" s="325"/>
      <c r="EA134" s="325"/>
      <c r="EB134" s="325"/>
      <c r="EC134" s="325"/>
      <c r="ED134" s="325"/>
      <c r="EE134" s="325"/>
      <c r="EF134" s="325"/>
      <c r="EG134" s="325"/>
      <c r="EH134" s="325"/>
    </row>
    <row r="135" spans="1:138" hidden="1">
      <c r="A135" s="222"/>
      <c r="B135" s="318"/>
      <c r="C135" s="310" t="s">
        <v>299</v>
      </c>
      <c r="D135" s="311"/>
      <c r="E135" s="321">
        <f t="shared" ref="E135:BX135" si="43">E130+E131+E132+E133+E134</f>
        <v>0</v>
      </c>
      <c r="F135" s="321">
        <f t="shared" si="43"/>
        <v>0</v>
      </c>
      <c r="G135" s="321">
        <f t="shared" si="43"/>
        <v>0</v>
      </c>
      <c r="H135" s="321">
        <f t="shared" si="43"/>
        <v>0</v>
      </c>
      <c r="I135" s="321">
        <f t="shared" si="43"/>
        <v>0</v>
      </c>
      <c r="J135" s="321">
        <f t="shared" si="43"/>
        <v>-7870667</v>
      </c>
      <c r="K135" s="321">
        <f t="shared" si="43"/>
        <v>0</v>
      </c>
      <c r="L135" s="321">
        <f t="shared" si="43"/>
        <v>0</v>
      </c>
      <c r="M135" s="321">
        <f t="shared" si="43"/>
        <v>0</v>
      </c>
      <c r="N135" s="321">
        <f t="shared" si="43"/>
        <v>0</v>
      </c>
      <c r="O135" s="321">
        <f t="shared" si="43"/>
        <v>0</v>
      </c>
      <c r="P135" s="321">
        <f t="shared" si="43"/>
        <v>0</v>
      </c>
      <c r="Q135" s="321">
        <f t="shared" si="43"/>
        <v>0</v>
      </c>
      <c r="R135" s="321">
        <f t="shared" si="43"/>
        <v>0</v>
      </c>
      <c r="S135" s="321">
        <f t="shared" si="43"/>
        <v>0</v>
      </c>
      <c r="T135" s="321" t="e">
        <f t="shared" si="43"/>
        <v>#REF!</v>
      </c>
      <c r="U135" s="321">
        <f t="shared" si="43"/>
        <v>0</v>
      </c>
      <c r="V135" s="321">
        <f t="shared" si="43"/>
        <v>0</v>
      </c>
      <c r="W135" s="321">
        <f t="shared" si="43"/>
        <v>0</v>
      </c>
      <c r="X135" s="321">
        <f t="shared" si="43"/>
        <v>0</v>
      </c>
      <c r="Y135" s="321">
        <f t="shared" si="43"/>
        <v>0</v>
      </c>
      <c r="Z135" s="321">
        <f t="shared" si="43"/>
        <v>0</v>
      </c>
      <c r="AA135" s="321">
        <f t="shared" si="43"/>
        <v>0</v>
      </c>
      <c r="AB135" s="321">
        <f t="shared" si="43"/>
        <v>0</v>
      </c>
      <c r="AC135" s="321">
        <f t="shared" si="43"/>
        <v>0</v>
      </c>
      <c r="AD135" s="321">
        <f t="shared" si="43"/>
        <v>0</v>
      </c>
      <c r="AE135" s="321">
        <f t="shared" si="43"/>
        <v>0</v>
      </c>
      <c r="AF135" s="321">
        <f t="shared" si="43"/>
        <v>0</v>
      </c>
      <c r="AG135" s="321">
        <f t="shared" si="43"/>
        <v>0</v>
      </c>
      <c r="AH135" s="321">
        <f t="shared" si="43"/>
        <v>0</v>
      </c>
      <c r="AI135" s="321">
        <f t="shared" si="43"/>
        <v>0</v>
      </c>
      <c r="AJ135" s="321">
        <f t="shared" si="43"/>
        <v>0</v>
      </c>
      <c r="AK135" s="321">
        <f t="shared" si="43"/>
        <v>0</v>
      </c>
      <c r="AL135" s="321">
        <f t="shared" si="43"/>
        <v>0</v>
      </c>
      <c r="AM135" s="321">
        <f t="shared" si="43"/>
        <v>0</v>
      </c>
      <c r="AN135" s="321">
        <f t="shared" si="43"/>
        <v>0</v>
      </c>
      <c r="AO135" s="321">
        <f t="shared" si="43"/>
        <v>0</v>
      </c>
      <c r="AP135" s="321">
        <f t="shared" si="43"/>
        <v>0</v>
      </c>
      <c r="AQ135" s="321">
        <f t="shared" si="43"/>
        <v>0</v>
      </c>
      <c r="AR135" s="321">
        <f t="shared" si="43"/>
        <v>0</v>
      </c>
      <c r="AS135" s="321">
        <f t="shared" si="43"/>
        <v>0</v>
      </c>
      <c r="AT135" s="321">
        <f t="shared" si="43"/>
        <v>0</v>
      </c>
      <c r="AU135" s="321">
        <f t="shared" si="43"/>
        <v>0</v>
      </c>
      <c r="AV135" s="321">
        <f t="shared" si="43"/>
        <v>0</v>
      </c>
      <c r="AW135" s="321">
        <f t="shared" si="43"/>
        <v>0</v>
      </c>
      <c r="AX135" s="321">
        <f t="shared" si="43"/>
        <v>0</v>
      </c>
      <c r="AY135" s="321">
        <f t="shared" si="43"/>
        <v>0</v>
      </c>
      <c r="AZ135" s="321">
        <f t="shared" si="43"/>
        <v>0</v>
      </c>
      <c r="BA135" s="321">
        <f t="shared" si="43"/>
        <v>0</v>
      </c>
      <c r="BB135" s="321">
        <f t="shared" si="43"/>
        <v>0</v>
      </c>
      <c r="BC135" s="321">
        <f t="shared" si="43"/>
        <v>0</v>
      </c>
      <c r="BD135" s="321">
        <f t="shared" si="43"/>
        <v>0</v>
      </c>
      <c r="BE135" s="321">
        <f t="shared" si="43"/>
        <v>0</v>
      </c>
      <c r="BF135" s="321">
        <f t="shared" si="43"/>
        <v>0</v>
      </c>
      <c r="BG135" s="321">
        <f t="shared" si="43"/>
        <v>0</v>
      </c>
      <c r="BH135" s="321">
        <f t="shared" si="43"/>
        <v>0</v>
      </c>
      <c r="BI135" s="321">
        <f t="shared" si="43"/>
        <v>0</v>
      </c>
      <c r="BJ135" s="321">
        <f t="shared" si="43"/>
        <v>0</v>
      </c>
      <c r="BK135" s="321">
        <f t="shared" si="43"/>
        <v>0</v>
      </c>
      <c r="BL135" s="321">
        <f t="shared" si="43"/>
        <v>0</v>
      </c>
      <c r="BM135" s="321">
        <f t="shared" si="43"/>
        <v>0</v>
      </c>
      <c r="BN135" s="321">
        <f t="shared" si="43"/>
        <v>0</v>
      </c>
      <c r="BO135" s="321">
        <f t="shared" si="43"/>
        <v>0</v>
      </c>
      <c r="BP135" s="321">
        <f t="shared" si="43"/>
        <v>0</v>
      </c>
      <c r="BQ135" s="321">
        <f t="shared" si="43"/>
        <v>0</v>
      </c>
      <c r="BR135" s="321">
        <f t="shared" si="43"/>
        <v>0</v>
      </c>
      <c r="BS135" s="321">
        <f t="shared" si="43"/>
        <v>0</v>
      </c>
      <c r="BT135" s="321">
        <f t="shared" si="43"/>
        <v>0</v>
      </c>
      <c r="BU135" s="321">
        <f t="shared" si="43"/>
        <v>0</v>
      </c>
      <c r="BV135" s="321">
        <f t="shared" si="43"/>
        <v>0</v>
      </c>
      <c r="BW135" s="321">
        <f t="shared" si="43"/>
        <v>0</v>
      </c>
      <c r="BX135" s="321" t="e">
        <f t="shared" si="43"/>
        <v>#VALUE!</v>
      </c>
      <c r="BY135" s="222"/>
      <c r="BZ135" s="222"/>
      <c r="CA135" s="222"/>
      <c r="CB135" s="222"/>
      <c r="CC135" s="222"/>
      <c r="CD135" s="222"/>
      <c r="CE135" s="222"/>
      <c r="CF135" s="222"/>
      <c r="CG135" s="222"/>
      <c r="CH135" s="222"/>
      <c r="CI135" s="222"/>
      <c r="CJ135" s="222"/>
      <c r="CK135" s="222"/>
      <c r="CL135" s="222"/>
      <c r="CM135" s="222"/>
      <c r="CN135" s="222"/>
      <c r="CO135" s="222"/>
      <c r="CP135" s="222"/>
      <c r="CQ135" s="222"/>
      <c r="CR135" s="222"/>
      <c r="CS135" s="222"/>
      <c r="CT135" s="222"/>
      <c r="CU135" s="222"/>
      <c r="CV135" s="222"/>
      <c r="CW135" s="222"/>
      <c r="CX135" s="222"/>
      <c r="CY135" s="222"/>
      <c r="CZ135" s="222"/>
      <c r="DA135" s="222"/>
      <c r="DB135" s="222"/>
      <c r="DC135" s="222"/>
      <c r="DD135" s="222"/>
      <c r="DE135" s="222"/>
      <c r="DF135" s="222"/>
      <c r="DG135" s="222"/>
      <c r="DH135" s="222"/>
      <c r="DI135" s="222"/>
      <c r="DJ135" s="222"/>
      <c r="DK135" s="222"/>
      <c r="DL135" s="222"/>
      <c r="DM135" s="222"/>
      <c r="DN135" s="222"/>
      <c r="DO135" s="222"/>
      <c r="DP135" s="222"/>
      <c r="DQ135" s="222"/>
      <c r="DR135" s="222"/>
      <c r="DS135" s="222"/>
      <c r="DT135" s="222"/>
      <c r="DU135" s="222"/>
      <c r="DV135" s="222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</row>
    <row r="136" spans="1:138" hidden="1">
      <c r="A136" s="222"/>
      <c r="B136" s="318"/>
      <c r="C136" s="314"/>
      <c r="D136" s="322" t="s">
        <v>306</v>
      </c>
      <c r="E136" s="327">
        <f>E135</f>
        <v>0</v>
      </c>
      <c r="F136" s="327">
        <f t="shared" ref="F136:BX136" si="44">E136+F135</f>
        <v>0</v>
      </c>
      <c r="G136" s="327">
        <f t="shared" si="44"/>
        <v>0</v>
      </c>
      <c r="H136" s="327">
        <f t="shared" si="44"/>
        <v>0</v>
      </c>
      <c r="I136" s="327">
        <f t="shared" si="44"/>
        <v>0</v>
      </c>
      <c r="J136" s="327">
        <f t="shared" si="44"/>
        <v>-7870667</v>
      </c>
      <c r="K136" s="327">
        <f t="shared" si="44"/>
        <v>-7870667</v>
      </c>
      <c r="L136" s="327">
        <f t="shared" si="44"/>
        <v>-7870667</v>
      </c>
      <c r="M136" s="327">
        <f t="shared" si="44"/>
        <v>-7870667</v>
      </c>
      <c r="N136" s="327">
        <f t="shared" si="44"/>
        <v>-7870667</v>
      </c>
      <c r="O136" s="327">
        <f t="shared" si="44"/>
        <v>-7870667</v>
      </c>
      <c r="P136" s="327">
        <f t="shared" si="44"/>
        <v>-7870667</v>
      </c>
      <c r="Q136" s="327">
        <f t="shared" si="44"/>
        <v>-7870667</v>
      </c>
      <c r="R136" s="327">
        <f t="shared" si="44"/>
        <v>-7870667</v>
      </c>
      <c r="S136" s="327">
        <f t="shared" si="44"/>
        <v>-7870667</v>
      </c>
      <c r="T136" s="327" t="e">
        <f t="shared" si="44"/>
        <v>#REF!</v>
      </c>
      <c r="U136" s="327" t="e">
        <f t="shared" si="44"/>
        <v>#REF!</v>
      </c>
      <c r="V136" s="327" t="e">
        <f t="shared" si="44"/>
        <v>#REF!</v>
      </c>
      <c r="W136" s="327" t="e">
        <f t="shared" si="44"/>
        <v>#REF!</v>
      </c>
      <c r="X136" s="327" t="e">
        <f t="shared" si="44"/>
        <v>#REF!</v>
      </c>
      <c r="Y136" s="327" t="e">
        <f t="shared" si="44"/>
        <v>#REF!</v>
      </c>
      <c r="Z136" s="327" t="e">
        <f t="shared" si="44"/>
        <v>#REF!</v>
      </c>
      <c r="AA136" s="327" t="e">
        <f t="shared" si="44"/>
        <v>#REF!</v>
      </c>
      <c r="AB136" s="327" t="e">
        <f t="shared" si="44"/>
        <v>#REF!</v>
      </c>
      <c r="AC136" s="327" t="e">
        <f t="shared" si="44"/>
        <v>#REF!</v>
      </c>
      <c r="AD136" s="327" t="e">
        <f t="shared" si="44"/>
        <v>#REF!</v>
      </c>
      <c r="AE136" s="327" t="e">
        <f t="shared" si="44"/>
        <v>#REF!</v>
      </c>
      <c r="AF136" s="327" t="e">
        <f t="shared" si="44"/>
        <v>#REF!</v>
      </c>
      <c r="AG136" s="327" t="e">
        <f t="shared" si="44"/>
        <v>#REF!</v>
      </c>
      <c r="AH136" s="327" t="e">
        <f t="shared" si="44"/>
        <v>#REF!</v>
      </c>
      <c r="AI136" s="327" t="e">
        <f t="shared" si="44"/>
        <v>#REF!</v>
      </c>
      <c r="AJ136" s="327" t="e">
        <f t="shared" si="44"/>
        <v>#REF!</v>
      </c>
      <c r="AK136" s="327" t="e">
        <f t="shared" si="44"/>
        <v>#REF!</v>
      </c>
      <c r="AL136" s="327" t="e">
        <f t="shared" si="44"/>
        <v>#REF!</v>
      </c>
      <c r="AM136" s="327" t="e">
        <f t="shared" si="44"/>
        <v>#REF!</v>
      </c>
      <c r="AN136" s="327" t="e">
        <f t="shared" si="44"/>
        <v>#REF!</v>
      </c>
      <c r="AO136" s="327" t="e">
        <f t="shared" si="44"/>
        <v>#REF!</v>
      </c>
      <c r="AP136" s="327" t="e">
        <f t="shared" si="44"/>
        <v>#REF!</v>
      </c>
      <c r="AQ136" s="327" t="e">
        <f t="shared" si="44"/>
        <v>#REF!</v>
      </c>
      <c r="AR136" s="327" t="e">
        <f t="shared" si="44"/>
        <v>#REF!</v>
      </c>
      <c r="AS136" s="327" t="e">
        <f t="shared" si="44"/>
        <v>#REF!</v>
      </c>
      <c r="AT136" s="327" t="e">
        <f t="shared" si="44"/>
        <v>#REF!</v>
      </c>
      <c r="AU136" s="327" t="e">
        <f t="shared" si="44"/>
        <v>#REF!</v>
      </c>
      <c r="AV136" s="327" t="e">
        <f t="shared" si="44"/>
        <v>#REF!</v>
      </c>
      <c r="AW136" s="327" t="e">
        <f t="shared" si="44"/>
        <v>#REF!</v>
      </c>
      <c r="AX136" s="327" t="e">
        <f t="shared" si="44"/>
        <v>#REF!</v>
      </c>
      <c r="AY136" s="327" t="e">
        <f t="shared" si="44"/>
        <v>#REF!</v>
      </c>
      <c r="AZ136" s="327" t="e">
        <f t="shared" si="44"/>
        <v>#REF!</v>
      </c>
      <c r="BA136" s="327" t="e">
        <f t="shared" si="44"/>
        <v>#REF!</v>
      </c>
      <c r="BB136" s="327" t="e">
        <f t="shared" si="44"/>
        <v>#REF!</v>
      </c>
      <c r="BC136" s="327" t="e">
        <f t="shared" si="44"/>
        <v>#REF!</v>
      </c>
      <c r="BD136" s="327" t="e">
        <f t="shared" si="44"/>
        <v>#REF!</v>
      </c>
      <c r="BE136" s="327" t="e">
        <f t="shared" si="44"/>
        <v>#REF!</v>
      </c>
      <c r="BF136" s="327" t="e">
        <f t="shared" si="44"/>
        <v>#REF!</v>
      </c>
      <c r="BG136" s="327" t="e">
        <f t="shared" si="44"/>
        <v>#REF!</v>
      </c>
      <c r="BH136" s="327" t="e">
        <f t="shared" si="44"/>
        <v>#REF!</v>
      </c>
      <c r="BI136" s="327" t="e">
        <f t="shared" si="44"/>
        <v>#REF!</v>
      </c>
      <c r="BJ136" s="327" t="e">
        <f t="shared" si="44"/>
        <v>#REF!</v>
      </c>
      <c r="BK136" s="327" t="e">
        <f t="shared" si="44"/>
        <v>#REF!</v>
      </c>
      <c r="BL136" s="327" t="e">
        <f t="shared" si="44"/>
        <v>#REF!</v>
      </c>
      <c r="BM136" s="327" t="e">
        <f t="shared" si="44"/>
        <v>#REF!</v>
      </c>
      <c r="BN136" s="327" t="e">
        <f t="shared" si="44"/>
        <v>#REF!</v>
      </c>
      <c r="BO136" s="327" t="e">
        <f t="shared" si="44"/>
        <v>#REF!</v>
      </c>
      <c r="BP136" s="327" t="e">
        <f t="shared" si="44"/>
        <v>#REF!</v>
      </c>
      <c r="BQ136" s="327" t="e">
        <f t="shared" si="44"/>
        <v>#REF!</v>
      </c>
      <c r="BR136" s="327" t="e">
        <f t="shared" si="44"/>
        <v>#REF!</v>
      </c>
      <c r="BS136" s="327" t="e">
        <f t="shared" si="44"/>
        <v>#REF!</v>
      </c>
      <c r="BT136" s="327" t="e">
        <f t="shared" si="44"/>
        <v>#REF!</v>
      </c>
      <c r="BU136" s="327" t="e">
        <f t="shared" si="44"/>
        <v>#REF!</v>
      </c>
      <c r="BV136" s="327" t="e">
        <f t="shared" si="44"/>
        <v>#REF!</v>
      </c>
      <c r="BW136" s="327" t="e">
        <f t="shared" si="44"/>
        <v>#REF!</v>
      </c>
      <c r="BX136" s="327" t="e">
        <f t="shared" si="44"/>
        <v>#REF!</v>
      </c>
      <c r="BY136" s="222"/>
      <c r="BZ136" s="222"/>
      <c r="CA136" s="222"/>
      <c r="CB136" s="222"/>
      <c r="CC136" s="222"/>
      <c r="CD136" s="222"/>
      <c r="CE136" s="222"/>
      <c r="CF136" s="222"/>
      <c r="CG136" s="222"/>
      <c r="CH136" s="222"/>
      <c r="CI136" s="222"/>
      <c r="CJ136" s="222"/>
      <c r="CK136" s="222"/>
      <c r="CL136" s="222"/>
      <c r="CM136" s="222"/>
      <c r="CN136" s="222"/>
      <c r="CO136" s="222"/>
      <c r="CP136" s="222"/>
      <c r="CQ136" s="222"/>
      <c r="CR136" s="222"/>
      <c r="CS136" s="222"/>
      <c r="CT136" s="222"/>
      <c r="CU136" s="222"/>
      <c r="CV136" s="222"/>
      <c r="CW136" s="222"/>
      <c r="CX136" s="222"/>
      <c r="CY136" s="222"/>
      <c r="CZ136" s="222"/>
      <c r="DA136" s="222"/>
      <c r="DB136" s="222"/>
      <c r="DC136" s="222"/>
      <c r="DD136" s="222"/>
      <c r="DE136" s="222"/>
      <c r="DF136" s="222"/>
      <c r="DG136" s="222"/>
      <c r="DH136" s="222"/>
      <c r="DI136" s="222"/>
      <c r="DJ136" s="222"/>
      <c r="DK136" s="222"/>
      <c r="DL136" s="222"/>
      <c r="DM136" s="222"/>
      <c r="DN136" s="222"/>
      <c r="DO136" s="222"/>
      <c r="DP136" s="222"/>
      <c r="DQ136" s="222"/>
      <c r="DR136" s="222"/>
      <c r="DS136" s="222"/>
      <c r="DT136" s="222"/>
      <c r="DU136" s="222"/>
      <c r="DV136" s="222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</row>
    <row r="137" spans="1:138" hidden="1">
      <c r="A137" s="222"/>
      <c r="B137" s="318"/>
      <c r="C137" s="313" t="s">
        <v>292</v>
      </c>
      <c r="D137" s="322" t="e">
        <f>IRR(E135:BX135)*12</f>
        <v>#VALUE!</v>
      </c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2"/>
      <c r="BN137" s="222"/>
      <c r="BO137" s="222"/>
      <c r="BP137" s="222"/>
      <c r="BQ137" s="222"/>
      <c r="BR137" s="222"/>
      <c r="BS137" s="222"/>
      <c r="BT137" s="222"/>
      <c r="BU137" s="222"/>
      <c r="BV137" s="222"/>
      <c r="BW137" s="222"/>
      <c r="BX137" s="222"/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2"/>
      <c r="CV137" s="222"/>
      <c r="CW137" s="222"/>
      <c r="CX137" s="222"/>
      <c r="CY137" s="222"/>
      <c r="CZ137" s="222"/>
      <c r="DA137" s="222"/>
      <c r="DB137" s="222"/>
      <c r="DC137" s="222"/>
      <c r="DD137" s="222"/>
      <c r="DE137" s="222"/>
      <c r="DF137" s="222"/>
      <c r="DG137" s="222"/>
      <c r="DH137" s="222"/>
      <c r="DI137" s="222"/>
      <c r="DJ137" s="222"/>
      <c r="DK137" s="222"/>
      <c r="DL137" s="222"/>
      <c r="DM137" s="222"/>
      <c r="DN137" s="222"/>
      <c r="DO137" s="222"/>
      <c r="DP137" s="222"/>
      <c r="DQ137" s="222"/>
      <c r="DR137" s="222"/>
      <c r="DS137" s="222"/>
      <c r="DT137" s="222"/>
      <c r="DU137" s="222"/>
      <c r="DV137" s="222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</row>
    <row r="138" spans="1:138" hidden="1">
      <c r="A138" s="222"/>
      <c r="B138" s="318"/>
      <c r="C138" s="323" t="s">
        <v>300</v>
      </c>
      <c r="D138" s="324">
        <f>-MIN(E130:BL130)</f>
        <v>7870667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  <c r="BQ138" s="22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22"/>
      <c r="CO138" s="222"/>
      <c r="CP138" s="222"/>
      <c r="CQ138" s="222"/>
      <c r="CR138" s="222"/>
      <c r="CS138" s="222"/>
      <c r="CT138" s="222"/>
      <c r="CU138" s="222"/>
      <c r="CV138" s="222"/>
      <c r="CW138" s="222"/>
      <c r="CX138" s="222"/>
      <c r="CY138" s="222"/>
      <c r="CZ138" s="222"/>
      <c r="DA138" s="222"/>
      <c r="DB138" s="222"/>
      <c r="DC138" s="222"/>
      <c r="DD138" s="222"/>
      <c r="DE138" s="222"/>
      <c r="DF138" s="222"/>
      <c r="DG138" s="222"/>
      <c r="DH138" s="222"/>
      <c r="DI138" s="222"/>
      <c r="DJ138" s="222"/>
      <c r="DK138" s="222"/>
      <c r="DL138" s="222"/>
      <c r="DM138" s="222"/>
      <c r="DN138" s="222"/>
      <c r="DO138" s="222"/>
      <c r="DP138" s="222"/>
      <c r="DQ138" s="222"/>
      <c r="DR138" s="222"/>
      <c r="DS138" s="222"/>
      <c r="DT138" s="222"/>
      <c r="DU138" s="222"/>
      <c r="DV138" s="222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</row>
    <row r="139" spans="1:138" hidden="1">
      <c r="A139" s="222"/>
      <c r="B139" s="318"/>
      <c r="C139" s="323" t="s">
        <v>301</v>
      </c>
      <c r="D139" s="324">
        <f>-SUM(M134:BB134)</f>
        <v>0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  <c r="BQ139" s="22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22"/>
      <c r="CO139" s="222"/>
      <c r="CP139" s="222"/>
      <c r="CQ139" s="222"/>
      <c r="CR139" s="222"/>
      <c r="CS139" s="222"/>
      <c r="CT139" s="222"/>
      <c r="CU139" s="222"/>
      <c r="CV139" s="222"/>
      <c r="CW139" s="222"/>
      <c r="CX139" s="222"/>
      <c r="CY139" s="222"/>
      <c r="CZ139" s="222"/>
      <c r="DA139" s="222"/>
      <c r="DB139" s="222"/>
      <c r="DC139" s="222"/>
      <c r="DD139" s="222"/>
      <c r="DE139" s="222"/>
      <c r="DF139" s="222"/>
      <c r="DG139" s="222"/>
      <c r="DH139" s="222"/>
      <c r="DI139" s="222"/>
      <c r="DJ139" s="222"/>
      <c r="DK139" s="222"/>
      <c r="DL139" s="222"/>
      <c r="DM139" s="222"/>
      <c r="DN139" s="222"/>
      <c r="DO139" s="222"/>
      <c r="DP139" s="222"/>
      <c r="DQ139" s="222"/>
      <c r="DR139" s="222"/>
      <c r="DS139" s="222"/>
      <c r="DT139" s="222"/>
      <c r="DU139" s="222"/>
      <c r="DV139" s="222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</row>
    <row r="140" spans="1:138" hidden="1">
      <c r="A140" s="222"/>
      <c r="B140" s="318"/>
      <c r="C140" s="313" t="s">
        <v>302</v>
      </c>
      <c r="D140" s="326">
        <f>D139+D138</f>
        <v>7870667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  <c r="BQ140" s="22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22"/>
      <c r="CO140" s="222"/>
      <c r="CP140" s="222"/>
      <c r="CQ140" s="222"/>
      <c r="CR140" s="222"/>
      <c r="CS140" s="222"/>
      <c r="CT140" s="222"/>
      <c r="CU140" s="222"/>
      <c r="CV140" s="222"/>
      <c r="CW140" s="222"/>
      <c r="CX140" s="222"/>
      <c r="CY140" s="222"/>
      <c r="CZ140" s="222"/>
      <c r="DA140" s="222"/>
      <c r="DB140" s="222"/>
      <c r="DC140" s="222"/>
      <c r="DD140" s="222"/>
      <c r="DE140" s="222"/>
      <c r="DF140" s="222"/>
      <c r="DG140" s="222"/>
      <c r="DH140" s="222"/>
      <c r="DI140" s="222"/>
      <c r="DJ140" s="222"/>
      <c r="DK140" s="222"/>
      <c r="DL140" s="222"/>
      <c r="DM140" s="222"/>
      <c r="DN140" s="222"/>
      <c r="DO140" s="222"/>
      <c r="DP140" s="222"/>
      <c r="DQ140" s="222"/>
      <c r="DR140" s="222"/>
      <c r="DS140" s="222"/>
      <c r="DT140" s="222"/>
      <c r="DU140" s="222"/>
      <c r="DV140" s="222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</row>
    <row r="141" spans="1:138" hidden="1">
      <c r="A141" s="222"/>
      <c r="B141" s="318"/>
      <c r="C141" s="313" t="s">
        <v>303</v>
      </c>
      <c r="D141" s="326" t="e">
        <f>BX132+BX133</f>
        <v>#VALUE!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  <c r="BQ141" s="22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22"/>
      <c r="CO141" s="222"/>
      <c r="CP141" s="222"/>
      <c r="CQ141" s="222"/>
      <c r="CR141" s="222"/>
      <c r="CS141" s="222"/>
      <c r="CT141" s="222"/>
      <c r="CU141" s="222"/>
      <c r="CV141" s="222"/>
      <c r="CW141" s="222"/>
      <c r="CX141" s="222"/>
      <c r="CY141" s="222"/>
      <c r="CZ141" s="222"/>
      <c r="DA141" s="222"/>
      <c r="DB141" s="222"/>
      <c r="DC141" s="222"/>
      <c r="DD141" s="222"/>
      <c r="DE141" s="222"/>
      <c r="DF141" s="222"/>
      <c r="DG141" s="222"/>
      <c r="DH141" s="222"/>
      <c r="DI141" s="222"/>
      <c r="DJ141" s="222"/>
      <c r="DK141" s="222"/>
      <c r="DL141" s="222"/>
      <c r="DM141" s="222"/>
      <c r="DN141" s="222"/>
      <c r="DO141" s="222"/>
      <c r="DP141" s="222"/>
      <c r="DQ141" s="222"/>
      <c r="DR141" s="222"/>
      <c r="DS141" s="222"/>
      <c r="DT141" s="222"/>
      <c r="DU141" s="222"/>
      <c r="DV141" s="222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</row>
    <row r="142" spans="1:138" hidden="1">
      <c r="A142" s="222"/>
      <c r="B142" s="318"/>
      <c r="C142" s="313" t="s">
        <v>147</v>
      </c>
      <c r="D142" s="322" t="e">
        <f>(D141-D139)/D140</f>
        <v>#VALUE!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222"/>
      <c r="AF142" s="222"/>
      <c r="AG142" s="222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222"/>
      <c r="BN142" s="222"/>
      <c r="BO142" s="222"/>
      <c r="BP142" s="222"/>
      <c r="BQ142" s="22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2"/>
      <c r="CV142" s="222"/>
      <c r="CW142" s="222"/>
      <c r="CX142" s="222"/>
      <c r="CY142" s="222"/>
      <c r="CZ142" s="222"/>
      <c r="DA142" s="222"/>
      <c r="DB142" s="222"/>
      <c r="DC142" s="222"/>
      <c r="DD142" s="222"/>
      <c r="DE142" s="222"/>
      <c r="DF142" s="222"/>
      <c r="DG142" s="222"/>
      <c r="DH142" s="222"/>
      <c r="DI142" s="222"/>
      <c r="DJ142" s="222"/>
      <c r="DK142" s="222"/>
      <c r="DL142" s="222"/>
      <c r="DM142" s="222"/>
      <c r="DN142" s="222"/>
      <c r="DO142" s="222"/>
      <c r="DP142" s="222"/>
      <c r="DQ142" s="222"/>
      <c r="DR142" s="222"/>
      <c r="DS142" s="222"/>
      <c r="DT142" s="222"/>
      <c r="DU142" s="222"/>
      <c r="DV142" s="222"/>
      <c r="DW142" s="325"/>
      <c r="DX142" s="325"/>
      <c r="DY142" s="325"/>
      <c r="DZ142" s="325"/>
      <c r="EA142" s="325"/>
      <c r="EB142" s="325"/>
      <c r="EC142" s="325"/>
      <c r="ED142" s="325"/>
      <c r="EE142" s="325"/>
      <c r="EF142" s="325"/>
      <c r="EG142" s="325"/>
      <c r="EH142" s="325"/>
    </row>
    <row r="143" spans="1:138" hidden="1">
      <c r="A143" s="222"/>
      <c r="B143" s="318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  <c r="BL143" s="222"/>
      <c r="BM143" s="222"/>
      <c r="BN143" s="222"/>
      <c r="BO143" s="222"/>
      <c r="BP143" s="222"/>
      <c r="BQ143" s="22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22"/>
      <c r="CL143" s="222"/>
      <c r="CM143" s="222"/>
      <c r="CN143" s="222"/>
      <c r="CO143" s="222"/>
      <c r="CP143" s="222"/>
      <c r="CQ143" s="222"/>
      <c r="CR143" s="222"/>
      <c r="CS143" s="222"/>
      <c r="CT143" s="222"/>
      <c r="CU143" s="222"/>
      <c r="CV143" s="222"/>
      <c r="CW143" s="222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2"/>
      <c r="DI143" s="222"/>
      <c r="DJ143" s="222"/>
      <c r="DK143" s="222"/>
      <c r="DL143" s="222"/>
      <c r="DM143" s="222"/>
      <c r="DN143" s="222"/>
      <c r="DO143" s="222"/>
      <c r="DP143" s="222"/>
      <c r="DQ143" s="222"/>
      <c r="DR143" s="222"/>
      <c r="DS143" s="222"/>
      <c r="DT143" s="222"/>
      <c r="DU143" s="222"/>
      <c r="DV143" s="222"/>
      <c r="DW143" s="325"/>
      <c r="DX143" s="325"/>
      <c r="DY143" s="325"/>
      <c r="DZ143" s="325"/>
      <c r="EA143" s="325"/>
      <c r="EB143" s="325"/>
      <c r="EC143" s="325"/>
      <c r="ED143" s="325"/>
      <c r="EE143" s="325"/>
      <c r="EF143" s="325"/>
      <c r="EG143" s="325"/>
      <c r="EH143" s="325"/>
    </row>
    <row r="144" spans="1:138" hidden="1">
      <c r="A144" s="222"/>
      <c r="B144" s="318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AT144" s="222"/>
      <c r="AU144" s="222"/>
      <c r="AV144" s="222"/>
      <c r="AW144" s="222"/>
      <c r="AX144" s="222"/>
      <c r="AY144" s="222"/>
      <c r="AZ144" s="222"/>
      <c r="BA144" s="222"/>
      <c r="BB144" s="222"/>
      <c r="BC144" s="222"/>
      <c r="BD144" s="222"/>
      <c r="BE144" s="222"/>
      <c r="BF144" s="222"/>
      <c r="BG144" s="222"/>
      <c r="BH144" s="222"/>
      <c r="BI144" s="222"/>
      <c r="BJ144" s="222"/>
      <c r="BK144" s="222"/>
      <c r="BL144" s="222"/>
      <c r="BM144" s="222"/>
      <c r="BN144" s="222"/>
      <c r="BO144" s="222"/>
      <c r="BP144" s="222"/>
      <c r="BQ144" s="22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22"/>
      <c r="CL144" s="222"/>
      <c r="CM144" s="222"/>
      <c r="CN144" s="222"/>
      <c r="CO144" s="222"/>
      <c r="CP144" s="222"/>
      <c r="CQ144" s="222"/>
      <c r="CR144" s="222"/>
      <c r="CS144" s="222"/>
      <c r="CT144" s="222"/>
      <c r="CU144" s="222"/>
      <c r="CV144" s="222"/>
      <c r="CW144" s="222"/>
      <c r="CX144" s="222"/>
      <c r="CY144" s="222"/>
      <c r="CZ144" s="222"/>
      <c r="DA144" s="222"/>
      <c r="DB144" s="222"/>
      <c r="DC144" s="222"/>
      <c r="DD144" s="222"/>
      <c r="DE144" s="222"/>
      <c r="DF144" s="222"/>
      <c r="DG144" s="222"/>
      <c r="DH144" s="222"/>
      <c r="DI144" s="222"/>
      <c r="DJ144" s="222"/>
      <c r="DK144" s="222"/>
      <c r="DL144" s="222"/>
      <c r="DM144" s="222"/>
      <c r="DN144" s="222"/>
      <c r="DO144" s="222"/>
      <c r="DP144" s="222"/>
      <c r="DQ144" s="222"/>
      <c r="DR144" s="222"/>
      <c r="DS144" s="222"/>
      <c r="DT144" s="222"/>
      <c r="DU144" s="222"/>
      <c r="DV144" s="222"/>
      <c r="DW144" s="325"/>
      <c r="DX144" s="325"/>
      <c r="DY144" s="325"/>
      <c r="DZ144" s="325"/>
      <c r="EA144" s="325"/>
      <c r="EB144" s="325"/>
      <c r="EC144" s="325"/>
      <c r="ED144" s="325"/>
      <c r="EE144" s="325"/>
      <c r="EF144" s="325"/>
      <c r="EG144" s="325"/>
      <c r="EH144" s="325"/>
    </row>
    <row r="145" spans="1:138" hidden="1">
      <c r="A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222"/>
      <c r="AF145" s="222"/>
      <c r="AG145" s="222"/>
      <c r="AH145" s="222"/>
      <c r="AI145" s="222"/>
      <c r="AJ145" s="222"/>
      <c r="AK145" s="222"/>
      <c r="AL145" s="222"/>
      <c r="AM145" s="222"/>
      <c r="AN145" s="222"/>
      <c r="AO145" s="222"/>
      <c r="AP145" s="222"/>
      <c r="AQ145" s="222"/>
      <c r="AR145" s="222"/>
      <c r="AS145" s="222"/>
      <c r="AT145" s="222"/>
      <c r="AU145" s="222"/>
      <c r="AV145" s="222"/>
      <c r="AW145" s="222"/>
      <c r="AX145" s="222"/>
      <c r="AY145" s="222"/>
      <c r="AZ145" s="222"/>
      <c r="BA145" s="222"/>
      <c r="BB145" s="222"/>
      <c r="BC145" s="222"/>
      <c r="BD145" s="222"/>
      <c r="BE145" s="222"/>
      <c r="BF145" s="222"/>
      <c r="BG145" s="222"/>
      <c r="BH145" s="222"/>
      <c r="BI145" s="222"/>
      <c r="BJ145" s="222"/>
      <c r="BK145" s="222"/>
      <c r="BL145" s="222"/>
      <c r="BM145" s="222"/>
      <c r="BN145" s="222"/>
      <c r="BO145" s="222"/>
      <c r="BP145" s="222"/>
      <c r="BQ145" s="222"/>
      <c r="BR145" s="222"/>
      <c r="BS145" s="222"/>
      <c r="BT145" s="22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22"/>
      <c r="CL145" s="222"/>
      <c r="CM145" s="222"/>
      <c r="CN145" s="222"/>
      <c r="CO145" s="222"/>
      <c r="CP145" s="222"/>
      <c r="CQ145" s="222"/>
      <c r="CR145" s="222"/>
      <c r="CS145" s="222"/>
      <c r="CT145" s="222"/>
      <c r="CU145" s="222"/>
      <c r="CV145" s="222"/>
      <c r="CW145" s="222"/>
      <c r="CX145" s="222"/>
      <c r="CY145" s="222"/>
      <c r="CZ145" s="222"/>
      <c r="DA145" s="222"/>
      <c r="DB145" s="222"/>
      <c r="DC145" s="222"/>
      <c r="DD145" s="222"/>
      <c r="DE145" s="222"/>
      <c r="DF145" s="222"/>
      <c r="DG145" s="222"/>
      <c r="DH145" s="222"/>
      <c r="DI145" s="222"/>
      <c r="DJ145" s="222"/>
      <c r="DK145" s="222"/>
      <c r="DL145" s="222"/>
      <c r="DM145" s="222"/>
      <c r="DN145" s="222"/>
      <c r="DO145" s="222"/>
      <c r="DP145" s="222"/>
      <c r="DQ145" s="222"/>
      <c r="DR145" s="222"/>
      <c r="DS145" s="222"/>
      <c r="DT145" s="222"/>
      <c r="DU145" s="222"/>
      <c r="DV145" s="222"/>
      <c r="DW145" s="325"/>
      <c r="DX145" s="325"/>
      <c r="DY145" s="325"/>
      <c r="DZ145" s="325"/>
      <c r="EA145" s="325"/>
      <c r="EB145" s="325"/>
      <c r="EC145" s="325"/>
      <c r="ED145" s="325"/>
      <c r="EE145" s="325"/>
      <c r="EF145" s="325"/>
      <c r="EG145" s="325"/>
      <c r="EH145" s="325"/>
    </row>
    <row r="146" spans="1:138" hidden="1">
      <c r="A146" s="222"/>
      <c r="B146" s="318"/>
      <c r="C146" s="310" t="s">
        <v>307</v>
      </c>
      <c r="D146" s="311"/>
      <c r="E146" s="312">
        <f t="shared" ref="E146:G146" si="45">-(E24+E110)</f>
        <v>0</v>
      </c>
      <c r="F146" s="312">
        <f t="shared" si="45"/>
        <v>0</v>
      </c>
      <c r="G146" s="312">
        <f t="shared" si="45"/>
        <v>0</v>
      </c>
      <c r="H146" s="312">
        <f>-10682501</f>
        <v>-10682501</v>
      </c>
      <c r="I146" s="312">
        <v>0</v>
      </c>
      <c r="J146" s="312">
        <f>-(J24+J110)</f>
        <v>0</v>
      </c>
      <c r="K146" s="312">
        <v>0</v>
      </c>
      <c r="L146" s="312">
        <f t="shared" ref="L146:S146" si="46">-(L24+L110)</f>
        <v>0</v>
      </c>
      <c r="M146" s="312">
        <f t="shared" si="46"/>
        <v>0</v>
      </c>
      <c r="N146" s="312">
        <f t="shared" si="46"/>
        <v>0</v>
      </c>
      <c r="O146" s="312">
        <f t="shared" si="46"/>
        <v>0</v>
      </c>
      <c r="P146" s="312">
        <f t="shared" si="46"/>
        <v>0</v>
      </c>
      <c r="Q146" s="312">
        <f t="shared" si="46"/>
        <v>0</v>
      </c>
      <c r="R146" s="312">
        <f t="shared" si="46"/>
        <v>0</v>
      </c>
      <c r="S146" s="312">
        <f t="shared" si="46"/>
        <v>0</v>
      </c>
      <c r="T146" s="312">
        <f>-H146</f>
        <v>10682501</v>
      </c>
      <c r="U146" s="312">
        <f t="shared" ref="U146:BX146" si="47">-(U24+U110)</f>
        <v>0</v>
      </c>
      <c r="V146" s="312">
        <f t="shared" si="47"/>
        <v>0</v>
      </c>
      <c r="W146" s="312">
        <f t="shared" si="47"/>
        <v>0</v>
      </c>
      <c r="X146" s="312">
        <f t="shared" si="47"/>
        <v>0</v>
      </c>
      <c r="Y146" s="312">
        <f t="shared" si="47"/>
        <v>0</v>
      </c>
      <c r="Z146" s="312">
        <f t="shared" si="47"/>
        <v>0</v>
      </c>
      <c r="AA146" s="312">
        <f t="shared" si="47"/>
        <v>0</v>
      </c>
      <c r="AB146" s="312">
        <f t="shared" si="47"/>
        <v>0</v>
      </c>
      <c r="AC146" s="312">
        <f t="shared" si="47"/>
        <v>0</v>
      </c>
      <c r="AD146" s="312">
        <f t="shared" si="47"/>
        <v>0</v>
      </c>
      <c r="AE146" s="312">
        <f t="shared" si="47"/>
        <v>0</v>
      </c>
      <c r="AF146" s="312">
        <f t="shared" si="47"/>
        <v>0</v>
      </c>
      <c r="AG146" s="312">
        <f t="shared" si="47"/>
        <v>0</v>
      </c>
      <c r="AH146" s="312">
        <f t="shared" si="47"/>
        <v>0</v>
      </c>
      <c r="AI146" s="312">
        <f t="shared" si="47"/>
        <v>0</v>
      </c>
      <c r="AJ146" s="312">
        <f t="shared" si="47"/>
        <v>0</v>
      </c>
      <c r="AK146" s="312">
        <f t="shared" si="47"/>
        <v>0</v>
      </c>
      <c r="AL146" s="312">
        <f t="shared" si="47"/>
        <v>0</v>
      </c>
      <c r="AM146" s="312">
        <f t="shared" si="47"/>
        <v>0</v>
      </c>
      <c r="AN146" s="312">
        <f t="shared" si="47"/>
        <v>0</v>
      </c>
      <c r="AO146" s="312">
        <f t="shared" si="47"/>
        <v>0</v>
      </c>
      <c r="AP146" s="312">
        <f t="shared" si="47"/>
        <v>0</v>
      </c>
      <c r="AQ146" s="312">
        <f t="shared" si="47"/>
        <v>0</v>
      </c>
      <c r="AR146" s="312">
        <f t="shared" si="47"/>
        <v>0</v>
      </c>
      <c r="AS146" s="312">
        <f t="shared" si="47"/>
        <v>0</v>
      </c>
      <c r="AT146" s="312">
        <f t="shared" si="47"/>
        <v>0</v>
      </c>
      <c r="AU146" s="312">
        <f t="shared" si="47"/>
        <v>0</v>
      </c>
      <c r="AV146" s="312">
        <f t="shared" si="47"/>
        <v>0</v>
      </c>
      <c r="AW146" s="312">
        <f t="shared" si="47"/>
        <v>0</v>
      </c>
      <c r="AX146" s="312">
        <f t="shared" si="47"/>
        <v>0</v>
      </c>
      <c r="AY146" s="312">
        <f t="shared" si="47"/>
        <v>0</v>
      </c>
      <c r="AZ146" s="312">
        <f t="shared" si="47"/>
        <v>0</v>
      </c>
      <c r="BA146" s="312">
        <f t="shared" si="47"/>
        <v>0</v>
      </c>
      <c r="BB146" s="312">
        <f t="shared" si="47"/>
        <v>0</v>
      </c>
      <c r="BC146" s="312">
        <f t="shared" si="47"/>
        <v>0</v>
      </c>
      <c r="BD146" s="312">
        <f t="shared" si="47"/>
        <v>0</v>
      </c>
      <c r="BE146" s="312">
        <f t="shared" si="47"/>
        <v>0</v>
      </c>
      <c r="BF146" s="312">
        <f t="shared" si="47"/>
        <v>0</v>
      </c>
      <c r="BG146" s="312">
        <f t="shared" si="47"/>
        <v>0</v>
      </c>
      <c r="BH146" s="312">
        <f t="shared" si="47"/>
        <v>0</v>
      </c>
      <c r="BI146" s="312">
        <f t="shared" si="47"/>
        <v>0</v>
      </c>
      <c r="BJ146" s="312">
        <f t="shared" si="47"/>
        <v>0</v>
      </c>
      <c r="BK146" s="312">
        <f t="shared" si="47"/>
        <v>0</v>
      </c>
      <c r="BL146" s="312">
        <f t="shared" si="47"/>
        <v>0</v>
      </c>
      <c r="BM146" s="312">
        <f t="shared" si="47"/>
        <v>0</v>
      </c>
      <c r="BN146" s="312">
        <f t="shared" si="47"/>
        <v>0</v>
      </c>
      <c r="BO146" s="312">
        <f t="shared" si="47"/>
        <v>0</v>
      </c>
      <c r="BP146" s="312">
        <f t="shared" si="47"/>
        <v>0</v>
      </c>
      <c r="BQ146" s="312">
        <f t="shared" si="47"/>
        <v>0</v>
      </c>
      <c r="BR146" s="312">
        <f t="shared" si="47"/>
        <v>0</v>
      </c>
      <c r="BS146" s="312">
        <f t="shared" si="47"/>
        <v>0</v>
      </c>
      <c r="BT146" s="312">
        <f t="shared" si="47"/>
        <v>0</v>
      </c>
      <c r="BU146" s="312">
        <f t="shared" si="47"/>
        <v>0</v>
      </c>
      <c r="BV146" s="312">
        <f t="shared" si="47"/>
        <v>0</v>
      </c>
      <c r="BW146" s="312">
        <f t="shared" si="47"/>
        <v>0</v>
      </c>
      <c r="BX146" s="312">
        <f t="shared" si="47"/>
        <v>0</v>
      </c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22"/>
      <c r="CO146" s="222"/>
      <c r="CP146" s="222"/>
      <c r="CQ146" s="222"/>
      <c r="CR146" s="222"/>
      <c r="CS146" s="222"/>
      <c r="CT146" s="222"/>
      <c r="CU146" s="222"/>
      <c r="CV146" s="222"/>
      <c r="CW146" s="222"/>
      <c r="CX146" s="222"/>
      <c r="CY146" s="222"/>
      <c r="CZ146" s="222"/>
      <c r="DA146" s="222"/>
      <c r="DB146" s="222"/>
      <c r="DC146" s="222"/>
      <c r="DD146" s="222"/>
      <c r="DE146" s="222"/>
      <c r="DF146" s="222"/>
      <c r="DG146" s="222"/>
      <c r="DH146" s="222"/>
      <c r="DI146" s="222"/>
      <c r="DJ146" s="222"/>
      <c r="DK146" s="222"/>
      <c r="DL146" s="222"/>
      <c r="DM146" s="222"/>
      <c r="DN146" s="222"/>
      <c r="DO146" s="222"/>
      <c r="DP146" s="222"/>
      <c r="DQ146" s="222"/>
      <c r="DR146" s="222"/>
      <c r="DS146" s="222"/>
      <c r="DT146" s="222"/>
      <c r="DU146" s="222"/>
      <c r="DV146" s="222"/>
      <c r="DW146" s="222"/>
      <c r="DX146" s="222"/>
      <c r="DY146" s="222"/>
      <c r="DZ146" s="222"/>
      <c r="EA146" s="222"/>
      <c r="EB146" s="222"/>
      <c r="EC146" s="222"/>
      <c r="ED146" s="222"/>
      <c r="EE146" s="222"/>
      <c r="EF146" s="222"/>
      <c r="EG146" s="222"/>
      <c r="EH146" s="222"/>
    </row>
    <row r="147" spans="1:138" hidden="1">
      <c r="A147" s="222"/>
      <c r="B147" s="318"/>
      <c r="C147" s="310" t="s">
        <v>305</v>
      </c>
      <c r="D147" s="319"/>
      <c r="E147" s="311"/>
      <c r="F147" s="311"/>
      <c r="G147" s="311"/>
      <c r="H147" s="311"/>
      <c r="I147" s="311"/>
      <c r="J147" s="311"/>
      <c r="K147" s="311"/>
      <c r="L147" s="311"/>
      <c r="M147" s="311"/>
      <c r="N147" s="311"/>
      <c r="O147" s="311"/>
      <c r="P147" s="311"/>
      <c r="Q147" s="311"/>
      <c r="R147" s="311"/>
      <c r="S147" s="311"/>
      <c r="T147" s="311"/>
      <c r="U147" s="311"/>
      <c r="V147" s="311"/>
      <c r="W147" s="311"/>
      <c r="X147" s="311"/>
      <c r="Y147" s="311"/>
      <c r="Z147" s="311"/>
      <c r="AA147" s="311"/>
      <c r="AB147" s="311"/>
      <c r="AC147" s="311"/>
      <c r="AD147" s="311"/>
      <c r="AE147" s="311"/>
      <c r="AF147" s="311"/>
      <c r="AG147" s="311"/>
      <c r="AH147" s="311"/>
      <c r="AI147" s="311"/>
      <c r="AJ147" s="311"/>
      <c r="AK147" s="311"/>
      <c r="AL147" s="311"/>
      <c r="AM147" s="311"/>
      <c r="AN147" s="311"/>
      <c r="AO147" s="311"/>
      <c r="AP147" s="311"/>
      <c r="AQ147" s="311"/>
      <c r="AR147" s="311"/>
      <c r="AS147" s="311"/>
      <c r="AT147" s="311"/>
      <c r="AU147" s="311"/>
      <c r="AV147" s="311"/>
      <c r="AW147" s="311"/>
      <c r="AX147" s="311"/>
      <c r="AY147" s="311"/>
      <c r="AZ147" s="311"/>
      <c r="BA147" s="311"/>
      <c r="BB147" s="311"/>
      <c r="BC147" s="312"/>
      <c r="BD147" s="311"/>
      <c r="BE147" s="311"/>
      <c r="BF147" s="311"/>
      <c r="BG147" s="311"/>
      <c r="BH147" s="311"/>
      <c r="BI147" s="311"/>
      <c r="BJ147" s="311"/>
      <c r="BK147" s="311"/>
      <c r="BL147" s="311"/>
      <c r="BM147" s="311"/>
      <c r="BN147" s="311"/>
      <c r="BO147" s="311"/>
      <c r="BP147" s="311"/>
      <c r="BQ147" s="311"/>
      <c r="BR147" s="311"/>
      <c r="BS147" s="311"/>
      <c r="BT147" s="311"/>
      <c r="BU147" s="311"/>
      <c r="BV147" s="311"/>
      <c r="BW147" s="311"/>
      <c r="BX147" s="311"/>
      <c r="BY147" s="307"/>
      <c r="BZ147" s="307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22"/>
      <c r="CO147" s="222"/>
      <c r="CP147" s="222"/>
      <c r="CQ147" s="222"/>
      <c r="CR147" s="222"/>
      <c r="CS147" s="222"/>
      <c r="CT147" s="222"/>
      <c r="CU147" s="222"/>
      <c r="CV147" s="222"/>
      <c r="CW147" s="222"/>
      <c r="CX147" s="222"/>
      <c r="CY147" s="222"/>
      <c r="CZ147" s="222"/>
      <c r="DA147" s="222"/>
      <c r="DB147" s="222"/>
      <c r="DC147" s="222"/>
      <c r="DD147" s="222"/>
      <c r="DE147" s="222"/>
      <c r="DF147" s="222"/>
      <c r="DG147" s="222"/>
      <c r="DH147" s="222"/>
      <c r="DI147" s="222"/>
      <c r="DJ147" s="222"/>
      <c r="DK147" s="222"/>
      <c r="DL147" s="222"/>
      <c r="DM147" s="222"/>
      <c r="DN147" s="222"/>
      <c r="DO147" s="222"/>
      <c r="DP147" s="222"/>
      <c r="DQ147" s="222"/>
      <c r="DR147" s="222"/>
      <c r="DS147" s="222"/>
      <c r="DT147" s="222"/>
      <c r="DU147" s="222"/>
      <c r="DV147" s="222"/>
      <c r="DW147" s="222"/>
      <c r="DX147" s="222"/>
      <c r="DY147" s="222"/>
      <c r="DZ147" s="222"/>
      <c r="EA147" s="222"/>
      <c r="EB147" s="222"/>
      <c r="EC147" s="222"/>
      <c r="ED147" s="222"/>
      <c r="EE147" s="222"/>
      <c r="EF147" s="222"/>
      <c r="EG147" s="222"/>
      <c r="EH147" s="222"/>
    </row>
    <row r="148" spans="1:138" hidden="1">
      <c r="A148" s="222"/>
      <c r="B148" s="318"/>
      <c r="C148" s="310" t="s">
        <v>296</v>
      </c>
      <c r="D148" s="319"/>
      <c r="E148" s="311">
        <f t="shared" ref="E148:BX148" si="48">-E75</f>
        <v>0</v>
      </c>
      <c r="F148" s="311">
        <f t="shared" si="48"/>
        <v>0</v>
      </c>
      <c r="G148" s="311">
        <f t="shared" si="48"/>
        <v>0</v>
      </c>
      <c r="H148" s="311">
        <f t="shared" si="48"/>
        <v>0</v>
      </c>
      <c r="I148" s="311">
        <f t="shared" si="48"/>
        <v>0</v>
      </c>
      <c r="J148" s="311">
        <f t="shared" si="48"/>
        <v>0</v>
      </c>
      <c r="K148" s="311">
        <f t="shared" si="48"/>
        <v>0</v>
      </c>
      <c r="L148" s="311">
        <f t="shared" si="48"/>
        <v>0</v>
      </c>
      <c r="M148" s="311">
        <f t="shared" si="48"/>
        <v>0</v>
      </c>
      <c r="N148" s="311">
        <f t="shared" si="48"/>
        <v>0</v>
      </c>
      <c r="O148" s="311">
        <f t="shared" si="48"/>
        <v>0</v>
      </c>
      <c r="P148" s="311">
        <f t="shared" si="48"/>
        <v>0</v>
      </c>
      <c r="Q148" s="311">
        <f t="shared" si="48"/>
        <v>0</v>
      </c>
      <c r="R148" s="311">
        <f t="shared" si="48"/>
        <v>0</v>
      </c>
      <c r="S148" s="311">
        <f t="shared" si="48"/>
        <v>0</v>
      </c>
      <c r="T148" s="311">
        <f t="shared" si="48"/>
        <v>0</v>
      </c>
      <c r="U148" s="311">
        <f t="shared" si="48"/>
        <v>0</v>
      </c>
      <c r="V148" s="311">
        <f t="shared" si="48"/>
        <v>0</v>
      </c>
      <c r="W148" s="311">
        <f t="shared" si="48"/>
        <v>0</v>
      </c>
      <c r="X148" s="311">
        <f t="shared" si="48"/>
        <v>0</v>
      </c>
      <c r="Y148" s="311">
        <f t="shared" si="48"/>
        <v>0</v>
      </c>
      <c r="Z148" s="311">
        <f t="shared" si="48"/>
        <v>0</v>
      </c>
      <c r="AA148" s="311">
        <f t="shared" si="48"/>
        <v>0</v>
      </c>
      <c r="AB148" s="311">
        <f t="shared" si="48"/>
        <v>0</v>
      </c>
      <c r="AC148" s="311">
        <f t="shared" si="48"/>
        <v>0</v>
      </c>
      <c r="AD148" s="311">
        <f t="shared" si="48"/>
        <v>0</v>
      </c>
      <c r="AE148" s="311">
        <f t="shared" si="48"/>
        <v>0</v>
      </c>
      <c r="AF148" s="311">
        <f t="shared" si="48"/>
        <v>0</v>
      </c>
      <c r="AG148" s="311">
        <f t="shared" si="48"/>
        <v>0</v>
      </c>
      <c r="AH148" s="311">
        <f t="shared" si="48"/>
        <v>0</v>
      </c>
      <c r="AI148" s="311">
        <f t="shared" si="48"/>
        <v>0</v>
      </c>
      <c r="AJ148" s="311">
        <f t="shared" si="48"/>
        <v>0</v>
      </c>
      <c r="AK148" s="311">
        <f t="shared" si="48"/>
        <v>0</v>
      </c>
      <c r="AL148" s="311">
        <f t="shared" si="48"/>
        <v>0</v>
      </c>
      <c r="AM148" s="311">
        <f t="shared" si="48"/>
        <v>0</v>
      </c>
      <c r="AN148" s="311">
        <f t="shared" si="48"/>
        <v>0</v>
      </c>
      <c r="AO148" s="311">
        <f t="shared" si="48"/>
        <v>0</v>
      </c>
      <c r="AP148" s="311">
        <f t="shared" si="48"/>
        <v>0</v>
      </c>
      <c r="AQ148" s="311">
        <f t="shared" si="48"/>
        <v>0</v>
      </c>
      <c r="AR148" s="311">
        <f t="shared" si="48"/>
        <v>0</v>
      </c>
      <c r="AS148" s="311">
        <f t="shared" si="48"/>
        <v>0</v>
      </c>
      <c r="AT148" s="311">
        <f t="shared" si="48"/>
        <v>0</v>
      </c>
      <c r="AU148" s="311">
        <f t="shared" si="48"/>
        <v>0</v>
      </c>
      <c r="AV148" s="311">
        <f t="shared" si="48"/>
        <v>0</v>
      </c>
      <c r="AW148" s="311">
        <f t="shared" si="48"/>
        <v>0</v>
      </c>
      <c r="AX148" s="311">
        <f t="shared" si="48"/>
        <v>0</v>
      </c>
      <c r="AY148" s="311">
        <f t="shared" si="48"/>
        <v>0</v>
      </c>
      <c r="AZ148" s="311">
        <f t="shared" si="48"/>
        <v>0</v>
      </c>
      <c r="BA148" s="311">
        <f t="shared" si="48"/>
        <v>0</v>
      </c>
      <c r="BB148" s="311">
        <f t="shared" si="48"/>
        <v>0</v>
      </c>
      <c r="BC148" s="311">
        <f t="shared" si="48"/>
        <v>0</v>
      </c>
      <c r="BD148" s="311">
        <f t="shared" si="48"/>
        <v>0</v>
      </c>
      <c r="BE148" s="311">
        <f t="shared" si="48"/>
        <v>0</v>
      </c>
      <c r="BF148" s="311">
        <f t="shared" si="48"/>
        <v>0</v>
      </c>
      <c r="BG148" s="311">
        <f t="shared" si="48"/>
        <v>0</v>
      </c>
      <c r="BH148" s="311">
        <f t="shared" si="48"/>
        <v>0</v>
      </c>
      <c r="BI148" s="311">
        <f t="shared" si="48"/>
        <v>0</v>
      </c>
      <c r="BJ148" s="311">
        <f t="shared" si="48"/>
        <v>0</v>
      </c>
      <c r="BK148" s="311">
        <f t="shared" si="48"/>
        <v>0</v>
      </c>
      <c r="BL148" s="311">
        <f t="shared" si="48"/>
        <v>0</v>
      </c>
      <c r="BM148" s="311">
        <f t="shared" si="48"/>
        <v>0</v>
      </c>
      <c r="BN148" s="311">
        <f t="shared" si="48"/>
        <v>0</v>
      </c>
      <c r="BO148" s="311">
        <f t="shared" si="48"/>
        <v>0</v>
      </c>
      <c r="BP148" s="311">
        <f t="shared" si="48"/>
        <v>0</v>
      </c>
      <c r="BQ148" s="311">
        <f t="shared" si="48"/>
        <v>0</v>
      </c>
      <c r="BR148" s="311">
        <f t="shared" si="48"/>
        <v>0</v>
      </c>
      <c r="BS148" s="311">
        <f t="shared" si="48"/>
        <v>0</v>
      </c>
      <c r="BT148" s="311">
        <f t="shared" si="48"/>
        <v>0</v>
      </c>
      <c r="BU148" s="311">
        <f t="shared" si="48"/>
        <v>0</v>
      </c>
      <c r="BV148" s="311">
        <f t="shared" si="48"/>
        <v>0</v>
      </c>
      <c r="BW148" s="311">
        <f t="shared" si="48"/>
        <v>0</v>
      </c>
      <c r="BX148" s="311">
        <f t="shared" si="48"/>
        <v>0</v>
      </c>
      <c r="BY148" s="307"/>
      <c r="BZ148" s="307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2"/>
      <c r="CU148" s="222"/>
      <c r="CV148" s="222"/>
      <c r="CW148" s="222"/>
      <c r="CX148" s="222"/>
      <c r="CY148" s="222"/>
      <c r="CZ148" s="222"/>
      <c r="DA148" s="222"/>
      <c r="DB148" s="222"/>
      <c r="DC148" s="222"/>
      <c r="DD148" s="222"/>
      <c r="DE148" s="222"/>
      <c r="DF148" s="222"/>
      <c r="DG148" s="222"/>
      <c r="DH148" s="222"/>
      <c r="DI148" s="222"/>
      <c r="DJ148" s="222"/>
      <c r="DK148" s="222"/>
      <c r="DL148" s="222"/>
      <c r="DM148" s="222"/>
      <c r="DN148" s="222"/>
      <c r="DO148" s="222"/>
      <c r="DP148" s="222"/>
      <c r="DQ148" s="222"/>
      <c r="DR148" s="222"/>
      <c r="DS148" s="222"/>
      <c r="DT148" s="222"/>
      <c r="DU148" s="222"/>
      <c r="DV148" s="222"/>
      <c r="DW148" s="222"/>
      <c r="DX148" s="222"/>
      <c r="DY148" s="222"/>
      <c r="DZ148" s="222"/>
      <c r="EA148" s="222"/>
      <c r="EB148" s="222"/>
      <c r="EC148" s="222"/>
      <c r="ED148" s="222"/>
      <c r="EE148" s="222"/>
      <c r="EF148" s="222"/>
      <c r="EG148" s="222"/>
      <c r="EH148" s="222"/>
    </row>
    <row r="149" spans="1:138" hidden="1">
      <c r="A149" s="222"/>
      <c r="B149" s="318"/>
      <c r="C149" s="310" t="s">
        <v>297</v>
      </c>
      <c r="D149" s="319"/>
      <c r="E149" s="311"/>
      <c r="F149" s="311"/>
      <c r="G149" s="311"/>
      <c r="H149" s="311"/>
      <c r="I149" s="311"/>
      <c r="J149" s="311"/>
      <c r="K149" s="311"/>
      <c r="L149" s="311"/>
      <c r="M149" s="311"/>
      <c r="N149" s="311"/>
      <c r="O149" s="311"/>
      <c r="P149" s="311"/>
      <c r="Q149" s="311"/>
      <c r="R149" s="311"/>
      <c r="S149" s="311"/>
      <c r="T149" s="311">
        <f>5500000</f>
        <v>5500000</v>
      </c>
      <c r="U149" s="311"/>
      <c r="V149" s="311"/>
      <c r="W149" s="311"/>
      <c r="X149" s="311"/>
      <c r="Y149" s="311"/>
      <c r="Z149" s="311"/>
      <c r="AA149" s="311"/>
      <c r="AB149" s="311"/>
      <c r="AC149" s="311"/>
      <c r="AD149" s="311"/>
      <c r="AE149" s="311"/>
      <c r="AF149" s="311"/>
      <c r="AG149" s="311"/>
      <c r="AH149" s="311"/>
      <c r="AI149" s="311"/>
      <c r="AJ149" s="311"/>
      <c r="AK149" s="311"/>
      <c r="AL149" s="311"/>
      <c r="AM149" s="311"/>
      <c r="AN149" s="311"/>
      <c r="AO149" s="311"/>
      <c r="AP149" s="311"/>
      <c r="AQ149" s="311"/>
      <c r="AR149" s="311"/>
      <c r="AS149" s="311"/>
      <c r="AT149" s="311"/>
      <c r="AU149" s="311"/>
      <c r="AV149" s="311"/>
      <c r="AW149" s="311"/>
      <c r="AX149" s="311"/>
      <c r="AY149" s="311"/>
      <c r="AZ149" s="311"/>
      <c r="BA149" s="311"/>
      <c r="BB149" s="311"/>
      <c r="BC149" s="312"/>
      <c r="BD149" s="311"/>
      <c r="BE149" s="311"/>
      <c r="BF149" s="311"/>
      <c r="BG149" s="311"/>
      <c r="BH149" s="311"/>
      <c r="BI149" s="311"/>
      <c r="BJ149" s="311"/>
      <c r="BK149" s="311"/>
      <c r="BL149" s="311"/>
      <c r="BM149" s="311"/>
      <c r="BN149" s="311"/>
      <c r="BO149" s="311"/>
      <c r="BP149" s="311"/>
      <c r="BQ149" s="311"/>
      <c r="BR149" s="311"/>
      <c r="BS149" s="311"/>
      <c r="BT149" s="311"/>
      <c r="BU149" s="311"/>
      <c r="BV149" s="311"/>
      <c r="BW149" s="311"/>
      <c r="BX149" s="311" t="e">
        <f>IF(D121&gt;0.25,(BX116-BX124)*D150,BX116*D150)</f>
        <v>#VALUE!</v>
      </c>
      <c r="BY149" s="307"/>
      <c r="BZ149" s="307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22"/>
      <c r="CO149" s="222"/>
      <c r="CP149" s="222"/>
      <c r="CQ149" s="222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222"/>
      <c r="DC149" s="222"/>
      <c r="DD149" s="222"/>
      <c r="DE149" s="222"/>
      <c r="DF149" s="222"/>
      <c r="DG149" s="222"/>
      <c r="DH149" s="222"/>
      <c r="DI149" s="222"/>
      <c r="DJ149" s="222"/>
      <c r="DK149" s="222"/>
      <c r="DL149" s="222"/>
      <c r="DM149" s="222"/>
      <c r="DN149" s="222"/>
      <c r="DO149" s="222"/>
      <c r="DP149" s="222"/>
      <c r="DQ149" s="222"/>
      <c r="DR149" s="222"/>
      <c r="DS149" s="222"/>
      <c r="DT149" s="222"/>
      <c r="DU149" s="222"/>
      <c r="DV149" s="222"/>
      <c r="DW149" s="222"/>
      <c r="DX149" s="222"/>
      <c r="DY149" s="222"/>
      <c r="DZ149" s="222"/>
      <c r="EA149" s="222"/>
      <c r="EB149" s="222"/>
      <c r="EC149" s="222"/>
      <c r="ED149" s="222"/>
      <c r="EE149" s="222"/>
      <c r="EF149" s="222"/>
      <c r="EG149" s="222"/>
      <c r="EH149" s="222"/>
    </row>
    <row r="150" spans="1:138" hidden="1">
      <c r="A150" s="222"/>
      <c r="B150" s="318"/>
      <c r="C150" s="313" t="s">
        <v>298</v>
      </c>
      <c r="D150" s="319">
        <v>0</v>
      </c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311"/>
      <c r="P150" s="311"/>
      <c r="Q150" s="311"/>
      <c r="R150" s="311"/>
      <c r="S150" s="311"/>
      <c r="T150" s="311"/>
      <c r="U150" s="311"/>
      <c r="V150" s="311"/>
      <c r="W150" s="311"/>
      <c r="X150" s="311"/>
      <c r="Y150" s="311"/>
      <c r="Z150" s="311"/>
      <c r="AA150" s="311"/>
      <c r="AB150" s="311"/>
      <c r="AC150" s="311"/>
      <c r="AD150" s="311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1"/>
      <c r="AZ150" s="311"/>
      <c r="BA150" s="311"/>
      <c r="BB150" s="311"/>
      <c r="BC150" s="312"/>
      <c r="BD150" s="311"/>
      <c r="BE150" s="311"/>
      <c r="BF150" s="311"/>
      <c r="BG150" s="311"/>
      <c r="BH150" s="311"/>
      <c r="BI150" s="311"/>
      <c r="BJ150" s="311"/>
      <c r="BK150" s="311"/>
      <c r="BL150" s="311"/>
      <c r="BM150" s="311"/>
      <c r="BN150" s="311"/>
      <c r="BO150" s="311"/>
      <c r="BP150" s="311"/>
      <c r="BQ150" s="311"/>
      <c r="BR150" s="311"/>
      <c r="BS150" s="311"/>
      <c r="BT150" s="311"/>
      <c r="BU150" s="311"/>
      <c r="BV150" s="311"/>
      <c r="BW150" s="311"/>
      <c r="BX150" s="311"/>
      <c r="BY150" s="307"/>
      <c r="BZ150" s="307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22"/>
      <c r="CO150" s="222"/>
      <c r="CP150" s="222"/>
      <c r="CQ150" s="222"/>
      <c r="CR150" s="222"/>
      <c r="CS150" s="222"/>
      <c r="CT150" s="222"/>
      <c r="CU150" s="222"/>
      <c r="CV150" s="222"/>
      <c r="CW150" s="222"/>
      <c r="CX150" s="222"/>
      <c r="CY150" s="222"/>
      <c r="CZ150" s="222"/>
      <c r="DA150" s="222"/>
      <c r="DB150" s="222"/>
      <c r="DC150" s="222"/>
      <c r="DD150" s="222"/>
      <c r="DE150" s="222"/>
      <c r="DF150" s="222"/>
      <c r="DG150" s="222"/>
      <c r="DH150" s="222"/>
      <c r="DI150" s="222"/>
      <c r="DJ150" s="222"/>
      <c r="DK150" s="222"/>
      <c r="DL150" s="222"/>
      <c r="DM150" s="222"/>
      <c r="DN150" s="222"/>
      <c r="DO150" s="222"/>
      <c r="DP150" s="222"/>
      <c r="DQ150" s="222"/>
      <c r="DR150" s="222"/>
      <c r="DS150" s="222"/>
      <c r="DT150" s="222"/>
      <c r="DU150" s="222"/>
      <c r="DV150" s="222"/>
      <c r="DW150" s="222"/>
      <c r="DX150" s="222"/>
      <c r="DY150" s="222"/>
      <c r="DZ150" s="222"/>
      <c r="EA150" s="222"/>
      <c r="EB150" s="222"/>
      <c r="EC150" s="222"/>
      <c r="ED150" s="222"/>
      <c r="EE150" s="222"/>
      <c r="EF150" s="222"/>
      <c r="EG150" s="222"/>
      <c r="EH150" s="222"/>
    </row>
    <row r="151" spans="1:138" hidden="1">
      <c r="A151" s="222"/>
      <c r="B151" s="318"/>
      <c r="C151" s="310" t="s">
        <v>299</v>
      </c>
      <c r="D151" s="311"/>
      <c r="E151" s="321">
        <f t="shared" ref="E151:BX151" si="49">E146+E147+E148+E149+E150</f>
        <v>0</v>
      </c>
      <c r="F151" s="321">
        <f t="shared" si="49"/>
        <v>0</v>
      </c>
      <c r="G151" s="321">
        <f t="shared" si="49"/>
        <v>0</v>
      </c>
      <c r="H151" s="321">
        <f t="shared" si="49"/>
        <v>-10682501</v>
      </c>
      <c r="I151" s="321">
        <f t="shared" si="49"/>
        <v>0</v>
      </c>
      <c r="J151" s="321">
        <f t="shared" si="49"/>
        <v>0</v>
      </c>
      <c r="K151" s="321">
        <f t="shared" si="49"/>
        <v>0</v>
      </c>
      <c r="L151" s="321">
        <f t="shared" si="49"/>
        <v>0</v>
      </c>
      <c r="M151" s="321">
        <f t="shared" si="49"/>
        <v>0</v>
      </c>
      <c r="N151" s="321">
        <f t="shared" si="49"/>
        <v>0</v>
      </c>
      <c r="O151" s="321">
        <f t="shared" si="49"/>
        <v>0</v>
      </c>
      <c r="P151" s="321">
        <f t="shared" si="49"/>
        <v>0</v>
      </c>
      <c r="Q151" s="321">
        <f t="shared" si="49"/>
        <v>0</v>
      </c>
      <c r="R151" s="321">
        <f t="shared" si="49"/>
        <v>0</v>
      </c>
      <c r="S151" s="321">
        <f t="shared" si="49"/>
        <v>0</v>
      </c>
      <c r="T151" s="321">
        <f t="shared" si="49"/>
        <v>16182501</v>
      </c>
      <c r="U151" s="321">
        <f t="shared" si="49"/>
        <v>0</v>
      </c>
      <c r="V151" s="321">
        <f t="shared" si="49"/>
        <v>0</v>
      </c>
      <c r="W151" s="321">
        <f t="shared" si="49"/>
        <v>0</v>
      </c>
      <c r="X151" s="321">
        <f t="shared" si="49"/>
        <v>0</v>
      </c>
      <c r="Y151" s="321">
        <f t="shared" si="49"/>
        <v>0</v>
      </c>
      <c r="Z151" s="321">
        <f t="shared" si="49"/>
        <v>0</v>
      </c>
      <c r="AA151" s="321">
        <f t="shared" si="49"/>
        <v>0</v>
      </c>
      <c r="AB151" s="321">
        <f t="shared" si="49"/>
        <v>0</v>
      </c>
      <c r="AC151" s="321">
        <f t="shared" si="49"/>
        <v>0</v>
      </c>
      <c r="AD151" s="321">
        <f t="shared" si="49"/>
        <v>0</v>
      </c>
      <c r="AE151" s="321">
        <f t="shared" si="49"/>
        <v>0</v>
      </c>
      <c r="AF151" s="321">
        <f t="shared" si="49"/>
        <v>0</v>
      </c>
      <c r="AG151" s="321">
        <f t="shared" si="49"/>
        <v>0</v>
      </c>
      <c r="AH151" s="321">
        <f t="shared" si="49"/>
        <v>0</v>
      </c>
      <c r="AI151" s="321">
        <f t="shared" si="49"/>
        <v>0</v>
      </c>
      <c r="AJ151" s="321">
        <f t="shared" si="49"/>
        <v>0</v>
      </c>
      <c r="AK151" s="321">
        <f t="shared" si="49"/>
        <v>0</v>
      </c>
      <c r="AL151" s="321">
        <f t="shared" si="49"/>
        <v>0</v>
      </c>
      <c r="AM151" s="321">
        <f t="shared" si="49"/>
        <v>0</v>
      </c>
      <c r="AN151" s="321">
        <f t="shared" si="49"/>
        <v>0</v>
      </c>
      <c r="AO151" s="321">
        <f t="shared" si="49"/>
        <v>0</v>
      </c>
      <c r="AP151" s="321">
        <f t="shared" si="49"/>
        <v>0</v>
      </c>
      <c r="AQ151" s="321">
        <f t="shared" si="49"/>
        <v>0</v>
      </c>
      <c r="AR151" s="321">
        <f t="shared" si="49"/>
        <v>0</v>
      </c>
      <c r="AS151" s="321">
        <f t="shared" si="49"/>
        <v>0</v>
      </c>
      <c r="AT151" s="321">
        <f t="shared" si="49"/>
        <v>0</v>
      </c>
      <c r="AU151" s="321">
        <f t="shared" si="49"/>
        <v>0</v>
      </c>
      <c r="AV151" s="321">
        <f t="shared" si="49"/>
        <v>0</v>
      </c>
      <c r="AW151" s="321">
        <f t="shared" si="49"/>
        <v>0</v>
      </c>
      <c r="AX151" s="321">
        <f t="shared" si="49"/>
        <v>0</v>
      </c>
      <c r="AY151" s="321">
        <f t="shared" si="49"/>
        <v>0</v>
      </c>
      <c r="AZ151" s="321">
        <f t="shared" si="49"/>
        <v>0</v>
      </c>
      <c r="BA151" s="321">
        <f t="shared" si="49"/>
        <v>0</v>
      </c>
      <c r="BB151" s="321">
        <f t="shared" si="49"/>
        <v>0</v>
      </c>
      <c r="BC151" s="321">
        <f t="shared" si="49"/>
        <v>0</v>
      </c>
      <c r="BD151" s="321">
        <f t="shared" si="49"/>
        <v>0</v>
      </c>
      <c r="BE151" s="321">
        <f t="shared" si="49"/>
        <v>0</v>
      </c>
      <c r="BF151" s="321">
        <f t="shared" si="49"/>
        <v>0</v>
      </c>
      <c r="BG151" s="321">
        <f t="shared" si="49"/>
        <v>0</v>
      </c>
      <c r="BH151" s="321">
        <f t="shared" si="49"/>
        <v>0</v>
      </c>
      <c r="BI151" s="321">
        <f t="shared" si="49"/>
        <v>0</v>
      </c>
      <c r="BJ151" s="321">
        <f t="shared" si="49"/>
        <v>0</v>
      </c>
      <c r="BK151" s="321">
        <f t="shared" si="49"/>
        <v>0</v>
      </c>
      <c r="BL151" s="321">
        <f t="shared" si="49"/>
        <v>0</v>
      </c>
      <c r="BM151" s="321">
        <f t="shared" si="49"/>
        <v>0</v>
      </c>
      <c r="BN151" s="321">
        <f t="shared" si="49"/>
        <v>0</v>
      </c>
      <c r="BO151" s="321">
        <f t="shared" si="49"/>
        <v>0</v>
      </c>
      <c r="BP151" s="321">
        <f t="shared" si="49"/>
        <v>0</v>
      </c>
      <c r="BQ151" s="321">
        <f t="shared" si="49"/>
        <v>0</v>
      </c>
      <c r="BR151" s="321">
        <f t="shared" si="49"/>
        <v>0</v>
      </c>
      <c r="BS151" s="321">
        <f t="shared" si="49"/>
        <v>0</v>
      </c>
      <c r="BT151" s="321">
        <f t="shared" si="49"/>
        <v>0</v>
      </c>
      <c r="BU151" s="321">
        <f t="shared" si="49"/>
        <v>0</v>
      </c>
      <c r="BV151" s="321">
        <f t="shared" si="49"/>
        <v>0</v>
      </c>
      <c r="BW151" s="321">
        <f t="shared" si="49"/>
        <v>0</v>
      </c>
      <c r="BX151" s="321" t="e">
        <f t="shared" si="49"/>
        <v>#VALUE!</v>
      </c>
      <c r="BY151" s="222"/>
      <c r="BZ151" s="222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222"/>
      <c r="DX151" s="222"/>
      <c r="DY151" s="222"/>
      <c r="DZ151" s="222"/>
      <c r="EA151" s="222"/>
      <c r="EB151" s="222"/>
      <c r="EC151" s="222"/>
      <c r="ED151" s="222"/>
      <c r="EE151" s="222"/>
      <c r="EF151" s="222"/>
      <c r="EG151" s="222"/>
      <c r="EH151" s="222"/>
    </row>
    <row r="152" spans="1:138" hidden="1">
      <c r="A152" s="222"/>
      <c r="B152" s="318"/>
      <c r="C152" s="314"/>
      <c r="D152" s="322" t="s">
        <v>306</v>
      </c>
      <c r="E152" s="327">
        <f>E151</f>
        <v>0</v>
      </c>
      <c r="F152" s="327">
        <f t="shared" ref="F152:BX152" si="50">E152+F151</f>
        <v>0</v>
      </c>
      <c r="G152" s="327">
        <f t="shared" si="50"/>
        <v>0</v>
      </c>
      <c r="H152" s="327">
        <f t="shared" si="50"/>
        <v>-10682501</v>
      </c>
      <c r="I152" s="327">
        <f t="shared" si="50"/>
        <v>-10682501</v>
      </c>
      <c r="J152" s="327">
        <f t="shared" si="50"/>
        <v>-10682501</v>
      </c>
      <c r="K152" s="327">
        <f t="shared" si="50"/>
        <v>-10682501</v>
      </c>
      <c r="L152" s="327">
        <f t="shared" si="50"/>
        <v>-10682501</v>
      </c>
      <c r="M152" s="327">
        <f t="shared" si="50"/>
        <v>-10682501</v>
      </c>
      <c r="N152" s="327">
        <f t="shared" si="50"/>
        <v>-10682501</v>
      </c>
      <c r="O152" s="327">
        <f t="shared" si="50"/>
        <v>-10682501</v>
      </c>
      <c r="P152" s="327">
        <f t="shared" si="50"/>
        <v>-10682501</v>
      </c>
      <c r="Q152" s="327">
        <f t="shared" si="50"/>
        <v>-10682501</v>
      </c>
      <c r="R152" s="327">
        <f t="shared" si="50"/>
        <v>-10682501</v>
      </c>
      <c r="S152" s="327">
        <f t="shared" si="50"/>
        <v>-10682501</v>
      </c>
      <c r="T152" s="327">
        <f t="shared" si="50"/>
        <v>5500000</v>
      </c>
      <c r="U152" s="327">
        <f t="shared" si="50"/>
        <v>5500000</v>
      </c>
      <c r="V152" s="328">
        <f t="shared" si="50"/>
        <v>5500000</v>
      </c>
      <c r="W152" s="328">
        <f t="shared" si="50"/>
        <v>5500000</v>
      </c>
      <c r="X152" s="328">
        <f t="shared" si="50"/>
        <v>5500000</v>
      </c>
      <c r="Y152" s="328">
        <f t="shared" si="50"/>
        <v>5500000</v>
      </c>
      <c r="Z152" s="328">
        <f t="shared" si="50"/>
        <v>5500000</v>
      </c>
      <c r="AA152" s="328">
        <f t="shared" si="50"/>
        <v>5500000</v>
      </c>
      <c r="AB152" s="328">
        <f t="shared" si="50"/>
        <v>5500000</v>
      </c>
      <c r="AC152" s="328">
        <f t="shared" si="50"/>
        <v>5500000</v>
      </c>
      <c r="AD152" s="328">
        <f t="shared" si="50"/>
        <v>5500000</v>
      </c>
      <c r="AE152" s="328">
        <f t="shared" si="50"/>
        <v>5500000</v>
      </c>
      <c r="AF152" s="328">
        <f t="shared" si="50"/>
        <v>5500000</v>
      </c>
      <c r="AG152" s="328">
        <f t="shared" si="50"/>
        <v>5500000</v>
      </c>
      <c r="AH152" s="328">
        <f t="shared" si="50"/>
        <v>5500000</v>
      </c>
      <c r="AI152" s="328">
        <f t="shared" si="50"/>
        <v>5500000</v>
      </c>
      <c r="AJ152" s="328">
        <f t="shared" si="50"/>
        <v>5500000</v>
      </c>
      <c r="AK152" s="328">
        <f t="shared" si="50"/>
        <v>5500000</v>
      </c>
      <c r="AL152" s="328">
        <f t="shared" si="50"/>
        <v>5500000</v>
      </c>
      <c r="AM152" s="328">
        <f t="shared" si="50"/>
        <v>5500000</v>
      </c>
      <c r="AN152" s="328">
        <f t="shared" si="50"/>
        <v>5500000</v>
      </c>
      <c r="AO152" s="328">
        <f t="shared" si="50"/>
        <v>5500000</v>
      </c>
      <c r="AP152" s="328">
        <f t="shared" si="50"/>
        <v>5500000</v>
      </c>
      <c r="AQ152" s="328">
        <f t="shared" si="50"/>
        <v>5500000</v>
      </c>
      <c r="AR152" s="328">
        <f t="shared" si="50"/>
        <v>5500000</v>
      </c>
      <c r="AS152" s="328">
        <f t="shared" si="50"/>
        <v>5500000</v>
      </c>
      <c r="AT152" s="328">
        <f t="shared" si="50"/>
        <v>5500000</v>
      </c>
      <c r="AU152" s="328">
        <f t="shared" si="50"/>
        <v>5500000</v>
      </c>
      <c r="AV152" s="328">
        <f t="shared" si="50"/>
        <v>5500000</v>
      </c>
      <c r="AW152" s="328">
        <f t="shared" si="50"/>
        <v>5500000</v>
      </c>
      <c r="AX152" s="328">
        <f t="shared" si="50"/>
        <v>5500000</v>
      </c>
      <c r="AY152" s="328">
        <f t="shared" si="50"/>
        <v>5500000</v>
      </c>
      <c r="AZ152" s="328">
        <f t="shared" si="50"/>
        <v>5500000</v>
      </c>
      <c r="BA152" s="328">
        <f t="shared" si="50"/>
        <v>5500000</v>
      </c>
      <c r="BB152" s="328">
        <f t="shared" si="50"/>
        <v>5500000</v>
      </c>
      <c r="BC152" s="327">
        <f t="shared" si="50"/>
        <v>5500000</v>
      </c>
      <c r="BD152" s="327">
        <f t="shared" si="50"/>
        <v>5500000</v>
      </c>
      <c r="BE152" s="327">
        <f t="shared" si="50"/>
        <v>5500000</v>
      </c>
      <c r="BF152" s="327">
        <f t="shared" si="50"/>
        <v>5500000</v>
      </c>
      <c r="BG152" s="327">
        <f t="shared" si="50"/>
        <v>5500000</v>
      </c>
      <c r="BH152" s="327">
        <f t="shared" si="50"/>
        <v>5500000</v>
      </c>
      <c r="BI152" s="327">
        <f t="shared" si="50"/>
        <v>5500000</v>
      </c>
      <c r="BJ152" s="327">
        <f t="shared" si="50"/>
        <v>5500000</v>
      </c>
      <c r="BK152" s="327">
        <f t="shared" si="50"/>
        <v>5500000</v>
      </c>
      <c r="BL152" s="327">
        <f t="shared" si="50"/>
        <v>5500000</v>
      </c>
      <c r="BM152" s="327">
        <f t="shared" si="50"/>
        <v>5500000</v>
      </c>
      <c r="BN152" s="327">
        <f t="shared" si="50"/>
        <v>5500000</v>
      </c>
      <c r="BO152" s="327">
        <f t="shared" si="50"/>
        <v>5500000</v>
      </c>
      <c r="BP152" s="327">
        <f t="shared" si="50"/>
        <v>5500000</v>
      </c>
      <c r="BQ152" s="327">
        <f t="shared" si="50"/>
        <v>5500000</v>
      </c>
      <c r="BR152" s="327">
        <f t="shared" si="50"/>
        <v>5500000</v>
      </c>
      <c r="BS152" s="327">
        <f t="shared" si="50"/>
        <v>5500000</v>
      </c>
      <c r="BT152" s="327">
        <f t="shared" si="50"/>
        <v>5500000</v>
      </c>
      <c r="BU152" s="327">
        <f t="shared" si="50"/>
        <v>5500000</v>
      </c>
      <c r="BV152" s="327">
        <f t="shared" si="50"/>
        <v>5500000</v>
      </c>
      <c r="BW152" s="327">
        <f t="shared" si="50"/>
        <v>5500000</v>
      </c>
      <c r="BX152" s="327" t="e">
        <f t="shared" si="50"/>
        <v>#VALUE!</v>
      </c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22"/>
      <c r="CO152" s="222"/>
      <c r="CP152" s="222"/>
      <c r="CQ152" s="222"/>
      <c r="CR152" s="222"/>
      <c r="CS152" s="222"/>
      <c r="CT152" s="222"/>
      <c r="CU152" s="222"/>
      <c r="CV152" s="222"/>
      <c r="CW152" s="222"/>
      <c r="CX152" s="222"/>
      <c r="CY152" s="222"/>
      <c r="CZ152" s="222"/>
      <c r="DA152" s="222"/>
      <c r="DB152" s="222"/>
      <c r="DC152" s="222"/>
      <c r="DD152" s="222"/>
      <c r="DE152" s="222"/>
      <c r="DF152" s="222"/>
      <c r="DG152" s="222"/>
      <c r="DH152" s="222"/>
      <c r="DI152" s="222"/>
      <c r="DJ152" s="222"/>
      <c r="DK152" s="222"/>
      <c r="DL152" s="222"/>
      <c r="DM152" s="222"/>
      <c r="DN152" s="222"/>
      <c r="DO152" s="222"/>
      <c r="DP152" s="222"/>
      <c r="DQ152" s="222"/>
      <c r="DR152" s="222"/>
      <c r="DS152" s="222"/>
      <c r="DT152" s="222"/>
      <c r="DU152" s="222"/>
      <c r="DV152" s="222"/>
      <c r="DW152" s="222"/>
      <c r="DX152" s="222"/>
      <c r="DY152" s="222"/>
      <c r="DZ152" s="222"/>
      <c r="EA152" s="222"/>
      <c r="EB152" s="222"/>
      <c r="EC152" s="222"/>
      <c r="ED152" s="222"/>
      <c r="EE152" s="222"/>
      <c r="EF152" s="222"/>
      <c r="EG152" s="222"/>
      <c r="EH152" s="222"/>
    </row>
    <row r="153" spans="1:138" hidden="1">
      <c r="A153" s="222"/>
      <c r="B153" s="318"/>
      <c r="C153" s="313" t="s">
        <v>292</v>
      </c>
      <c r="D153" s="322">
        <f>IRR(H151:T151)*12</f>
        <v>0.4225943643698109</v>
      </c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22"/>
      <c r="AD153" s="222"/>
      <c r="AE153" s="222"/>
      <c r="AF153" s="222"/>
      <c r="AG153" s="222"/>
      <c r="AH153" s="222"/>
      <c r="AI153" s="222"/>
      <c r="AJ153" s="222"/>
      <c r="AK153" s="222"/>
      <c r="AL153" s="222"/>
      <c r="AM153" s="222"/>
      <c r="AN153" s="222"/>
      <c r="AO153" s="222"/>
      <c r="AP153" s="222"/>
      <c r="AQ153" s="222"/>
      <c r="AR153" s="222"/>
      <c r="AS153" s="222"/>
      <c r="AT153" s="222"/>
      <c r="AU153" s="222"/>
      <c r="AV153" s="222"/>
      <c r="AW153" s="222"/>
      <c r="AX153" s="222"/>
      <c r="AY153" s="222"/>
      <c r="AZ153" s="222"/>
      <c r="BA153" s="222"/>
      <c r="BB153" s="222"/>
      <c r="BC153" s="222"/>
      <c r="BD153" s="222"/>
      <c r="BE153" s="222"/>
      <c r="BF153" s="222"/>
      <c r="BG153" s="222"/>
      <c r="BH153" s="222"/>
      <c r="BI153" s="222"/>
      <c r="BJ153" s="222"/>
      <c r="BK153" s="222"/>
      <c r="BL153" s="222"/>
      <c r="BM153" s="222"/>
      <c r="BN153" s="222"/>
      <c r="BO153" s="222"/>
      <c r="BP153" s="222"/>
      <c r="BQ153" s="222"/>
      <c r="BR153" s="222"/>
      <c r="BS153" s="222"/>
      <c r="BT153" s="222"/>
      <c r="BU153" s="222"/>
      <c r="BV153" s="222"/>
      <c r="BW153" s="222"/>
      <c r="BX153" s="222"/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22"/>
      <c r="CO153" s="222"/>
      <c r="CP153" s="222"/>
      <c r="CQ153" s="222"/>
      <c r="CR153" s="222"/>
      <c r="CS153" s="222"/>
      <c r="CT153" s="222"/>
      <c r="CU153" s="222"/>
      <c r="CV153" s="222"/>
      <c r="CW153" s="222"/>
      <c r="CX153" s="222"/>
      <c r="CY153" s="222"/>
      <c r="CZ153" s="222"/>
      <c r="DA153" s="222"/>
      <c r="DB153" s="222"/>
      <c r="DC153" s="222"/>
      <c r="DD153" s="222"/>
      <c r="DE153" s="222"/>
      <c r="DF153" s="222"/>
      <c r="DG153" s="222"/>
      <c r="DH153" s="222"/>
      <c r="DI153" s="222"/>
      <c r="DJ153" s="222"/>
      <c r="DK153" s="222"/>
      <c r="DL153" s="222"/>
      <c r="DM153" s="222"/>
      <c r="DN153" s="222"/>
      <c r="DO153" s="222"/>
      <c r="DP153" s="222"/>
      <c r="DQ153" s="222"/>
      <c r="DR153" s="222"/>
      <c r="DS153" s="222"/>
      <c r="DT153" s="222"/>
      <c r="DU153" s="222"/>
      <c r="DV153" s="222"/>
      <c r="DW153" s="222"/>
      <c r="DX153" s="222"/>
      <c r="DY153" s="222"/>
      <c r="DZ153" s="222"/>
      <c r="EA153" s="222"/>
      <c r="EB153" s="222"/>
      <c r="EC153" s="222"/>
      <c r="ED153" s="222"/>
      <c r="EE153" s="222"/>
      <c r="EF153" s="222"/>
      <c r="EG153" s="222"/>
      <c r="EH153" s="222"/>
    </row>
    <row r="154" spans="1:138" hidden="1">
      <c r="A154" s="222"/>
      <c r="B154" s="318"/>
      <c r="C154" s="323" t="s">
        <v>300</v>
      </c>
      <c r="D154" s="324">
        <f>-MIN(M152:BL152)-D155</f>
        <v>10682501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2"/>
      <c r="BN154" s="222"/>
      <c r="BO154" s="222"/>
      <c r="BP154" s="222"/>
      <c r="BQ154" s="22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22"/>
      <c r="CO154" s="222"/>
      <c r="CP154" s="222"/>
      <c r="CQ154" s="222"/>
      <c r="CR154" s="222"/>
      <c r="CS154" s="222"/>
      <c r="CT154" s="222"/>
      <c r="CU154" s="222"/>
      <c r="CV154" s="222"/>
      <c r="CW154" s="222"/>
      <c r="CX154" s="222"/>
      <c r="CY154" s="222"/>
      <c r="CZ154" s="222"/>
      <c r="DA154" s="222"/>
      <c r="DB154" s="222"/>
      <c r="DC154" s="222"/>
      <c r="DD154" s="222"/>
      <c r="DE154" s="222"/>
      <c r="DF154" s="222"/>
      <c r="DG154" s="222"/>
      <c r="DH154" s="222"/>
      <c r="DI154" s="222"/>
      <c r="DJ154" s="222"/>
      <c r="DK154" s="222"/>
      <c r="DL154" s="222"/>
      <c r="DM154" s="222"/>
      <c r="DN154" s="222"/>
      <c r="DO154" s="222"/>
      <c r="DP154" s="222"/>
      <c r="DQ154" s="222"/>
      <c r="DR154" s="222"/>
      <c r="DS154" s="222"/>
      <c r="DT154" s="222"/>
      <c r="DU154" s="222"/>
      <c r="DV154" s="222"/>
      <c r="DW154" s="222"/>
      <c r="DX154" s="222"/>
      <c r="DY154" s="222"/>
      <c r="DZ154" s="222"/>
      <c r="EA154" s="222"/>
      <c r="EB154" s="222"/>
      <c r="EC154" s="222"/>
      <c r="ED154" s="222"/>
      <c r="EE154" s="222"/>
      <c r="EF154" s="222"/>
      <c r="EG154" s="222"/>
      <c r="EH154" s="222"/>
    </row>
    <row r="155" spans="1:138" hidden="1">
      <c r="A155" s="222"/>
      <c r="B155" s="318"/>
      <c r="C155" s="323" t="s">
        <v>301</v>
      </c>
      <c r="D155" s="324">
        <f>-SUM(M150:BB150)</f>
        <v>0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  <c r="BQ155" s="22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22"/>
      <c r="CO155" s="222"/>
      <c r="CP155" s="222"/>
      <c r="CQ155" s="222"/>
      <c r="CR155" s="222"/>
      <c r="CS155" s="222"/>
      <c r="CT155" s="222"/>
      <c r="CU155" s="222"/>
      <c r="CV155" s="222"/>
      <c r="CW155" s="222"/>
      <c r="CX155" s="222"/>
      <c r="CY155" s="222"/>
      <c r="CZ155" s="222"/>
      <c r="DA155" s="222"/>
      <c r="DB155" s="222"/>
      <c r="DC155" s="222"/>
      <c r="DD155" s="222"/>
      <c r="DE155" s="222"/>
      <c r="DF155" s="222"/>
      <c r="DG155" s="222"/>
      <c r="DH155" s="222"/>
      <c r="DI155" s="222"/>
      <c r="DJ155" s="222"/>
      <c r="DK155" s="222"/>
      <c r="DL155" s="222"/>
      <c r="DM155" s="222"/>
      <c r="DN155" s="222"/>
      <c r="DO155" s="222"/>
      <c r="DP155" s="222"/>
      <c r="DQ155" s="222"/>
      <c r="DR155" s="222"/>
      <c r="DS155" s="222"/>
      <c r="DT155" s="222"/>
      <c r="DU155" s="222"/>
      <c r="DV155" s="222"/>
      <c r="DW155" s="222"/>
      <c r="DX155" s="222"/>
      <c r="DY155" s="222"/>
      <c r="DZ155" s="222"/>
      <c r="EA155" s="222"/>
      <c r="EB155" s="222"/>
      <c r="EC155" s="222"/>
      <c r="ED155" s="222"/>
      <c r="EE155" s="222"/>
      <c r="EF155" s="222"/>
      <c r="EG155" s="222"/>
      <c r="EH155" s="222"/>
    </row>
    <row r="156" spans="1:138" hidden="1">
      <c r="A156" s="222"/>
      <c r="B156" s="318"/>
      <c r="C156" s="313" t="s">
        <v>302</v>
      </c>
      <c r="D156" s="326">
        <f>D155+D154</f>
        <v>10682501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2"/>
      <c r="BN156" s="222"/>
      <c r="BO156" s="222"/>
      <c r="BP156" s="222"/>
      <c r="BQ156" s="222"/>
      <c r="BR156" s="222"/>
      <c r="BS156" s="222"/>
      <c r="BT156" s="222"/>
      <c r="BU156" s="222"/>
      <c r="BV156" s="222"/>
      <c r="BW156" s="222"/>
      <c r="BX156" s="222"/>
      <c r="BY156" s="222"/>
      <c r="BZ156" s="222"/>
      <c r="CA156" s="222"/>
      <c r="CB156" s="222"/>
      <c r="CC156" s="222"/>
      <c r="CD156" s="222"/>
      <c r="CE156" s="222"/>
      <c r="CF156" s="222"/>
      <c r="CG156" s="222"/>
      <c r="CH156" s="222"/>
      <c r="CI156" s="222"/>
      <c r="CJ156" s="222"/>
      <c r="CK156" s="222"/>
      <c r="CL156" s="222"/>
      <c r="CM156" s="222"/>
      <c r="CN156" s="222"/>
      <c r="CO156" s="222"/>
      <c r="CP156" s="222"/>
      <c r="CQ156" s="222"/>
      <c r="CR156" s="222"/>
      <c r="CS156" s="222"/>
      <c r="CT156" s="222"/>
      <c r="CU156" s="222"/>
      <c r="CV156" s="222"/>
      <c r="CW156" s="222"/>
      <c r="CX156" s="222"/>
      <c r="CY156" s="222"/>
      <c r="CZ156" s="222"/>
      <c r="DA156" s="222"/>
      <c r="DB156" s="222"/>
      <c r="DC156" s="222"/>
      <c r="DD156" s="222"/>
      <c r="DE156" s="222"/>
      <c r="DF156" s="222"/>
      <c r="DG156" s="222"/>
      <c r="DH156" s="222"/>
      <c r="DI156" s="222"/>
      <c r="DJ156" s="222"/>
      <c r="DK156" s="222"/>
      <c r="DL156" s="222"/>
      <c r="DM156" s="222"/>
      <c r="DN156" s="222"/>
      <c r="DO156" s="222"/>
      <c r="DP156" s="222"/>
      <c r="DQ156" s="222"/>
      <c r="DR156" s="222"/>
      <c r="DS156" s="222"/>
      <c r="DT156" s="222"/>
      <c r="DU156" s="222"/>
      <c r="DV156" s="222"/>
      <c r="DW156" s="325"/>
      <c r="DX156" s="325"/>
      <c r="DY156" s="325"/>
      <c r="DZ156" s="325"/>
      <c r="EA156" s="325"/>
      <c r="EB156" s="325"/>
      <c r="EC156" s="325"/>
      <c r="ED156" s="325"/>
      <c r="EE156" s="325"/>
      <c r="EF156" s="325"/>
      <c r="EG156" s="325"/>
      <c r="EH156" s="325"/>
    </row>
    <row r="157" spans="1:138" hidden="1">
      <c r="A157" s="222"/>
      <c r="B157" s="318"/>
      <c r="C157" s="313" t="s">
        <v>303</v>
      </c>
      <c r="D157" s="326" t="e">
        <f>BX148+BX149</f>
        <v>#VALUE!</v>
      </c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  <c r="BQ157" s="222"/>
      <c r="BR157" s="222"/>
      <c r="BS157" s="222"/>
      <c r="BT157" s="222"/>
      <c r="BU157" s="222"/>
      <c r="BV157" s="222"/>
      <c r="BW157" s="222"/>
      <c r="BX157" s="222"/>
      <c r="BY157" s="222"/>
      <c r="BZ157" s="222"/>
      <c r="CA157" s="222"/>
      <c r="CB157" s="222"/>
      <c r="CC157" s="222"/>
      <c r="CD157" s="222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2"/>
      <c r="CV157" s="222"/>
      <c r="CW157" s="222"/>
      <c r="CX157" s="222"/>
      <c r="CY157" s="222"/>
      <c r="CZ157" s="222"/>
      <c r="DA157" s="222"/>
      <c r="DB157" s="222"/>
      <c r="DC157" s="222"/>
      <c r="DD157" s="222"/>
      <c r="DE157" s="222"/>
      <c r="DF157" s="222"/>
      <c r="DG157" s="222"/>
      <c r="DH157" s="222"/>
      <c r="DI157" s="222"/>
      <c r="DJ157" s="222"/>
      <c r="DK157" s="222"/>
      <c r="DL157" s="222"/>
      <c r="DM157" s="222"/>
      <c r="DN157" s="222"/>
      <c r="DO157" s="222"/>
      <c r="DP157" s="222"/>
      <c r="DQ157" s="222"/>
      <c r="DR157" s="222"/>
      <c r="DS157" s="222"/>
      <c r="DT157" s="222"/>
      <c r="DU157" s="222"/>
      <c r="DV157" s="222"/>
      <c r="DW157" s="325"/>
      <c r="DX157" s="325"/>
      <c r="DY157" s="325"/>
      <c r="DZ157" s="325"/>
      <c r="EA157" s="325"/>
      <c r="EB157" s="325"/>
      <c r="EC157" s="325"/>
      <c r="ED157" s="325"/>
      <c r="EE157" s="325"/>
      <c r="EF157" s="325"/>
      <c r="EG157" s="325"/>
      <c r="EH157" s="325"/>
    </row>
    <row r="158" spans="1:138" hidden="1">
      <c r="A158" s="222"/>
      <c r="B158" s="318"/>
      <c r="C158" s="313" t="s">
        <v>147</v>
      </c>
      <c r="D158" s="322">
        <f>T149/T146</f>
        <v>0.51486070537227191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  <c r="BL158" s="222"/>
      <c r="BM158" s="222"/>
      <c r="BN158" s="222"/>
      <c r="BO158" s="222"/>
      <c r="BP158" s="222"/>
      <c r="BQ158" s="222"/>
      <c r="BR158" s="222"/>
      <c r="BS158" s="222"/>
      <c r="BT158" s="222"/>
      <c r="BU158" s="222"/>
      <c r="BV158" s="222"/>
      <c r="BW158" s="222"/>
      <c r="BX158" s="222"/>
      <c r="BY158" s="222"/>
      <c r="BZ158" s="222"/>
      <c r="CA158" s="222"/>
      <c r="CB158" s="222"/>
      <c r="CC158" s="222"/>
      <c r="CD158" s="222"/>
      <c r="CE158" s="222"/>
      <c r="CF158" s="222"/>
      <c r="CG158" s="222"/>
      <c r="CH158" s="222"/>
      <c r="CI158" s="222"/>
      <c r="CJ158" s="222"/>
      <c r="CK158" s="222"/>
      <c r="CL158" s="222"/>
      <c r="CM158" s="222"/>
      <c r="CN158" s="222"/>
      <c r="CO158" s="222"/>
      <c r="CP158" s="222"/>
      <c r="CQ158" s="222"/>
      <c r="CR158" s="222"/>
      <c r="CS158" s="222"/>
      <c r="CT158" s="222"/>
      <c r="CU158" s="222"/>
      <c r="CV158" s="222"/>
      <c r="CW158" s="222"/>
      <c r="CX158" s="222"/>
      <c r="CY158" s="222"/>
      <c r="CZ158" s="222"/>
      <c r="DA158" s="222"/>
      <c r="DB158" s="222"/>
      <c r="DC158" s="222"/>
      <c r="DD158" s="222"/>
      <c r="DE158" s="222"/>
      <c r="DF158" s="222"/>
      <c r="DG158" s="222"/>
      <c r="DH158" s="222"/>
      <c r="DI158" s="222"/>
      <c r="DJ158" s="222"/>
      <c r="DK158" s="222"/>
      <c r="DL158" s="222"/>
      <c r="DM158" s="222"/>
      <c r="DN158" s="222"/>
      <c r="DO158" s="222"/>
      <c r="DP158" s="222"/>
      <c r="DQ158" s="222"/>
      <c r="DR158" s="222"/>
      <c r="DS158" s="222"/>
      <c r="DT158" s="222"/>
      <c r="DU158" s="222"/>
      <c r="DV158" s="222"/>
      <c r="DW158" s="325"/>
      <c r="DX158" s="325"/>
      <c r="DY158" s="325"/>
      <c r="DZ158" s="325"/>
      <c r="EA158" s="325"/>
      <c r="EB158" s="325"/>
      <c r="EC158" s="325"/>
      <c r="ED158" s="325"/>
      <c r="EE158" s="325"/>
      <c r="EF158" s="325"/>
      <c r="EG158" s="325"/>
      <c r="EH158" s="325"/>
    </row>
    <row r="159" spans="1:138" ht="14.1" hidden="1"/>
    <row r="160" spans="1:138" ht="14.1" hidden="1"/>
    <row r="161" spans="1:138" hidden="1">
      <c r="A161" s="222"/>
      <c r="B161" s="318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222"/>
      <c r="AF161" s="222"/>
      <c r="AG161" s="222"/>
      <c r="AH161" s="222"/>
      <c r="AI161" s="222"/>
      <c r="AJ161" s="222"/>
      <c r="AK161" s="222"/>
      <c r="AL161" s="222"/>
      <c r="AM161" s="222"/>
      <c r="AN161" s="222"/>
      <c r="AO161" s="222"/>
      <c r="AP161" s="222"/>
      <c r="AQ161" s="222"/>
      <c r="AR161" s="222"/>
      <c r="AS161" s="222"/>
      <c r="AT161" s="222"/>
      <c r="AU161" s="222"/>
      <c r="AV161" s="222"/>
      <c r="AW161" s="222"/>
      <c r="AX161" s="222"/>
      <c r="AY161" s="222"/>
      <c r="AZ161" s="222"/>
      <c r="BA161" s="222"/>
      <c r="BB161" s="222"/>
      <c r="BC161" s="222"/>
      <c r="BD161" s="222"/>
      <c r="BE161" s="222"/>
      <c r="BF161" s="222"/>
      <c r="BG161" s="222"/>
      <c r="BH161" s="222"/>
      <c r="BI161" s="222"/>
      <c r="BJ161" s="222"/>
      <c r="BK161" s="222"/>
      <c r="BL161" s="222"/>
      <c r="BM161" s="222"/>
      <c r="BN161" s="222"/>
      <c r="BO161" s="222"/>
      <c r="BP161" s="222"/>
      <c r="BQ161" s="222"/>
      <c r="BR161" s="222"/>
      <c r="BS161" s="222"/>
      <c r="BT161" s="222"/>
      <c r="BU161" s="222"/>
      <c r="BV161" s="222"/>
      <c r="BW161" s="222"/>
      <c r="BX161" s="222"/>
      <c r="BY161" s="222"/>
      <c r="BZ161" s="222"/>
      <c r="CA161" s="222"/>
      <c r="CB161" s="222"/>
      <c r="CC161" s="222"/>
      <c r="CD161" s="222"/>
      <c r="CE161" s="222"/>
      <c r="CF161" s="222"/>
      <c r="CG161" s="222"/>
      <c r="CH161" s="222"/>
      <c r="CI161" s="222"/>
      <c r="CJ161" s="222"/>
      <c r="CK161" s="222"/>
      <c r="CL161" s="222"/>
      <c r="CM161" s="222"/>
      <c r="CN161" s="222"/>
      <c r="CO161" s="222"/>
      <c r="CP161" s="222"/>
      <c r="CQ161" s="222"/>
      <c r="CR161" s="222"/>
      <c r="CS161" s="222"/>
      <c r="CT161" s="222"/>
      <c r="CU161" s="222"/>
      <c r="CV161" s="222"/>
      <c r="CW161" s="222"/>
      <c r="CX161" s="222"/>
      <c r="CY161" s="222"/>
      <c r="CZ161" s="222"/>
      <c r="DA161" s="222"/>
      <c r="DB161" s="222"/>
      <c r="DC161" s="222"/>
      <c r="DD161" s="222"/>
      <c r="DE161" s="222"/>
      <c r="DF161" s="222"/>
      <c r="DG161" s="222"/>
      <c r="DH161" s="222"/>
      <c r="DI161" s="222"/>
      <c r="DJ161" s="222"/>
      <c r="DK161" s="222"/>
      <c r="DL161" s="222"/>
      <c r="DM161" s="222"/>
      <c r="DN161" s="222"/>
      <c r="DO161" s="222"/>
      <c r="DP161" s="222"/>
      <c r="DQ161" s="222"/>
      <c r="DR161" s="222"/>
      <c r="DS161" s="222"/>
      <c r="DT161" s="222"/>
      <c r="DU161" s="222"/>
      <c r="DV161" s="222"/>
      <c r="DW161" s="325"/>
      <c r="DX161" s="325"/>
      <c r="DY161" s="325"/>
      <c r="DZ161" s="325"/>
      <c r="EA161" s="325"/>
      <c r="EB161" s="325"/>
      <c r="EC161" s="325"/>
      <c r="ED161" s="325"/>
      <c r="EE161" s="325"/>
      <c r="EF161" s="325"/>
      <c r="EG161" s="325"/>
      <c r="EH161" s="325"/>
    </row>
    <row r="162" spans="1:138" hidden="1">
      <c r="A162" s="222"/>
      <c r="B162" s="318"/>
      <c r="C162" s="310" t="s">
        <v>308</v>
      </c>
      <c r="D162" s="311"/>
      <c r="E162" s="311">
        <f t="shared" ref="E162:G162" si="51">-(E7+E93)</f>
        <v>0</v>
      </c>
      <c r="F162" s="311">
        <f t="shared" si="51"/>
        <v>0</v>
      </c>
      <c r="G162" s="311">
        <f t="shared" si="51"/>
        <v>0</v>
      </c>
      <c r="H162" s="311">
        <f>-5341205.5</f>
        <v>-5341205.5</v>
      </c>
      <c r="I162" s="311">
        <f t="shared" ref="I162:S162" si="52">-(I7+I93)</f>
        <v>0</v>
      </c>
      <c r="J162" s="311">
        <f t="shared" si="52"/>
        <v>0</v>
      </c>
      <c r="K162" s="311">
        <f t="shared" si="52"/>
        <v>0</v>
      </c>
      <c r="L162" s="311">
        <f t="shared" si="52"/>
        <v>0</v>
      </c>
      <c r="M162" s="311">
        <f t="shared" si="52"/>
        <v>0</v>
      </c>
      <c r="N162" s="311">
        <f t="shared" si="52"/>
        <v>0</v>
      </c>
      <c r="O162" s="311">
        <f t="shared" si="52"/>
        <v>0</v>
      </c>
      <c r="P162" s="311">
        <f t="shared" si="52"/>
        <v>0</v>
      </c>
      <c r="Q162" s="311">
        <f t="shared" si="52"/>
        <v>0</v>
      </c>
      <c r="R162" s="311">
        <f t="shared" si="52"/>
        <v>0</v>
      </c>
      <c r="S162" s="311">
        <f t="shared" si="52"/>
        <v>0</v>
      </c>
      <c r="T162" s="311">
        <f>5341205.5</f>
        <v>5341205.5</v>
      </c>
      <c r="U162" s="311">
        <f t="shared" ref="U162:BX162" si="53">-(U7+U93)</f>
        <v>0</v>
      </c>
      <c r="V162" s="311">
        <f t="shared" si="53"/>
        <v>0</v>
      </c>
      <c r="W162" s="311">
        <f t="shared" si="53"/>
        <v>0</v>
      </c>
      <c r="X162" s="311">
        <f t="shared" si="53"/>
        <v>0</v>
      </c>
      <c r="Y162" s="311">
        <f t="shared" si="53"/>
        <v>0</v>
      </c>
      <c r="Z162" s="311">
        <f t="shared" si="53"/>
        <v>0</v>
      </c>
      <c r="AA162" s="311">
        <f t="shared" si="53"/>
        <v>0</v>
      </c>
      <c r="AB162" s="311">
        <f t="shared" si="53"/>
        <v>0</v>
      </c>
      <c r="AC162" s="311">
        <f t="shared" si="53"/>
        <v>0</v>
      </c>
      <c r="AD162" s="311">
        <f t="shared" si="53"/>
        <v>0</v>
      </c>
      <c r="AE162" s="311">
        <f t="shared" si="53"/>
        <v>0</v>
      </c>
      <c r="AF162" s="311">
        <f t="shared" si="53"/>
        <v>0</v>
      </c>
      <c r="AG162" s="311">
        <f t="shared" si="53"/>
        <v>0</v>
      </c>
      <c r="AH162" s="311">
        <f t="shared" si="53"/>
        <v>0</v>
      </c>
      <c r="AI162" s="311">
        <f t="shared" si="53"/>
        <v>0</v>
      </c>
      <c r="AJ162" s="311">
        <f t="shared" si="53"/>
        <v>0</v>
      </c>
      <c r="AK162" s="311">
        <f t="shared" si="53"/>
        <v>0</v>
      </c>
      <c r="AL162" s="311">
        <f t="shared" si="53"/>
        <v>0</v>
      </c>
      <c r="AM162" s="311">
        <f t="shared" si="53"/>
        <v>0</v>
      </c>
      <c r="AN162" s="311">
        <f t="shared" si="53"/>
        <v>0</v>
      </c>
      <c r="AO162" s="311">
        <f t="shared" si="53"/>
        <v>0</v>
      </c>
      <c r="AP162" s="311">
        <f t="shared" si="53"/>
        <v>0</v>
      </c>
      <c r="AQ162" s="311">
        <f t="shared" si="53"/>
        <v>0</v>
      </c>
      <c r="AR162" s="311">
        <f t="shared" si="53"/>
        <v>0</v>
      </c>
      <c r="AS162" s="311">
        <f t="shared" si="53"/>
        <v>0</v>
      </c>
      <c r="AT162" s="311">
        <f t="shared" si="53"/>
        <v>0</v>
      </c>
      <c r="AU162" s="311">
        <f t="shared" si="53"/>
        <v>0</v>
      </c>
      <c r="AV162" s="311">
        <f t="shared" si="53"/>
        <v>0</v>
      </c>
      <c r="AW162" s="311">
        <f t="shared" si="53"/>
        <v>0</v>
      </c>
      <c r="AX162" s="311">
        <f t="shared" si="53"/>
        <v>0</v>
      </c>
      <c r="AY162" s="311">
        <f t="shared" si="53"/>
        <v>0</v>
      </c>
      <c r="AZ162" s="311">
        <f t="shared" si="53"/>
        <v>0</v>
      </c>
      <c r="BA162" s="311">
        <f t="shared" si="53"/>
        <v>0</v>
      </c>
      <c r="BB162" s="311">
        <f t="shared" si="53"/>
        <v>0</v>
      </c>
      <c r="BC162" s="311">
        <f t="shared" si="53"/>
        <v>0</v>
      </c>
      <c r="BD162" s="311">
        <f t="shared" si="53"/>
        <v>0</v>
      </c>
      <c r="BE162" s="311">
        <f t="shared" si="53"/>
        <v>0</v>
      </c>
      <c r="BF162" s="311">
        <f t="shared" si="53"/>
        <v>0</v>
      </c>
      <c r="BG162" s="311">
        <f t="shared" si="53"/>
        <v>0</v>
      </c>
      <c r="BH162" s="311">
        <f t="shared" si="53"/>
        <v>0</v>
      </c>
      <c r="BI162" s="311">
        <f t="shared" si="53"/>
        <v>0</v>
      </c>
      <c r="BJ162" s="311">
        <f t="shared" si="53"/>
        <v>0</v>
      </c>
      <c r="BK162" s="311">
        <f t="shared" si="53"/>
        <v>0</v>
      </c>
      <c r="BL162" s="311">
        <f t="shared" si="53"/>
        <v>0</v>
      </c>
      <c r="BM162" s="311">
        <f t="shared" si="53"/>
        <v>0</v>
      </c>
      <c r="BN162" s="311">
        <f t="shared" si="53"/>
        <v>0</v>
      </c>
      <c r="BO162" s="311">
        <f t="shared" si="53"/>
        <v>0</v>
      </c>
      <c r="BP162" s="311">
        <f t="shared" si="53"/>
        <v>0</v>
      </c>
      <c r="BQ162" s="311">
        <f t="shared" si="53"/>
        <v>0</v>
      </c>
      <c r="BR162" s="311">
        <f t="shared" si="53"/>
        <v>0</v>
      </c>
      <c r="BS162" s="311">
        <f t="shared" si="53"/>
        <v>0</v>
      </c>
      <c r="BT162" s="311">
        <f t="shared" si="53"/>
        <v>0</v>
      </c>
      <c r="BU162" s="311">
        <f t="shared" si="53"/>
        <v>0</v>
      </c>
      <c r="BV162" s="311">
        <f t="shared" si="53"/>
        <v>0</v>
      </c>
      <c r="BW162" s="311">
        <f t="shared" si="53"/>
        <v>0</v>
      </c>
      <c r="BX162" s="311">
        <f t="shared" si="53"/>
        <v>0</v>
      </c>
      <c r="BY162" s="222"/>
      <c r="BZ162" s="222"/>
      <c r="CA162" s="222"/>
      <c r="CB162" s="222"/>
      <c r="CC162" s="222"/>
      <c r="CD162" s="222"/>
      <c r="CE162" s="222"/>
      <c r="CF162" s="222"/>
      <c r="CG162" s="222"/>
      <c r="CH162" s="222"/>
      <c r="CI162" s="222"/>
      <c r="CJ162" s="222"/>
      <c r="CK162" s="222"/>
      <c r="CL162" s="222"/>
      <c r="CM162" s="222"/>
      <c r="CN162" s="222"/>
      <c r="CO162" s="222"/>
      <c r="CP162" s="222"/>
      <c r="CQ162" s="222"/>
      <c r="CR162" s="222"/>
      <c r="CS162" s="222"/>
      <c r="CT162" s="222"/>
      <c r="CU162" s="222"/>
      <c r="CV162" s="222"/>
      <c r="CW162" s="222"/>
      <c r="CX162" s="222"/>
      <c r="CY162" s="222"/>
      <c r="CZ162" s="222"/>
      <c r="DA162" s="222"/>
      <c r="DB162" s="222"/>
      <c r="DC162" s="222"/>
      <c r="DD162" s="222"/>
      <c r="DE162" s="222"/>
      <c r="DF162" s="222"/>
      <c r="DG162" s="222"/>
      <c r="DH162" s="222"/>
      <c r="DI162" s="222"/>
      <c r="DJ162" s="222"/>
      <c r="DK162" s="222"/>
      <c r="DL162" s="222"/>
      <c r="DM162" s="222"/>
      <c r="DN162" s="222"/>
      <c r="DO162" s="222"/>
      <c r="DP162" s="222"/>
      <c r="DQ162" s="222"/>
      <c r="DR162" s="222"/>
      <c r="DS162" s="222"/>
      <c r="DT162" s="222"/>
      <c r="DU162" s="222"/>
      <c r="DV162" s="222"/>
      <c r="DW162" s="325"/>
      <c r="DX162" s="325"/>
      <c r="DY162" s="325"/>
      <c r="DZ162" s="325"/>
      <c r="EA162" s="325"/>
      <c r="EB162" s="325"/>
      <c r="EC162" s="325"/>
      <c r="ED162" s="325"/>
      <c r="EE162" s="325"/>
      <c r="EF162" s="325"/>
      <c r="EG162" s="325"/>
      <c r="EH162" s="325"/>
    </row>
    <row r="163" spans="1:138" hidden="1">
      <c r="A163" s="222"/>
      <c r="B163" s="318"/>
      <c r="C163" s="310" t="s">
        <v>305</v>
      </c>
      <c r="D163" s="319"/>
      <c r="E163" s="311"/>
      <c r="F163" s="311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  <c r="CJ163" s="222"/>
      <c r="CK163" s="222"/>
      <c r="CL163" s="222"/>
      <c r="CM163" s="222"/>
      <c r="CN163" s="222"/>
      <c r="CO163" s="222"/>
      <c r="CP163" s="222"/>
      <c r="CQ163" s="222"/>
      <c r="CR163" s="222"/>
      <c r="CS163" s="222"/>
      <c r="CT163" s="222"/>
      <c r="CU163" s="222"/>
      <c r="CV163" s="222"/>
      <c r="CW163" s="222"/>
      <c r="CX163" s="222"/>
      <c r="CY163" s="222"/>
      <c r="CZ163" s="222"/>
      <c r="DA163" s="222"/>
      <c r="DB163" s="222"/>
      <c r="DC163" s="222"/>
      <c r="DD163" s="222"/>
      <c r="DE163" s="222"/>
      <c r="DF163" s="222"/>
      <c r="DG163" s="222"/>
      <c r="DH163" s="222"/>
      <c r="DI163" s="222"/>
      <c r="DJ163" s="222"/>
      <c r="DK163" s="222"/>
      <c r="DL163" s="222"/>
      <c r="DM163" s="222"/>
      <c r="DN163" s="222"/>
      <c r="DO163" s="222"/>
      <c r="DP163" s="222"/>
      <c r="DQ163" s="222"/>
      <c r="DR163" s="222"/>
      <c r="DS163" s="222"/>
      <c r="DT163" s="222"/>
      <c r="DU163" s="222"/>
      <c r="DV163" s="222"/>
      <c r="DW163" s="325"/>
      <c r="DX163" s="325"/>
      <c r="DY163" s="325"/>
      <c r="DZ163" s="325"/>
      <c r="EA163" s="325"/>
      <c r="EB163" s="325"/>
      <c r="EC163" s="325"/>
      <c r="ED163" s="325"/>
      <c r="EE163" s="325"/>
      <c r="EF163" s="325"/>
      <c r="EG163" s="325"/>
      <c r="EH163" s="325"/>
    </row>
    <row r="164" spans="1:138" hidden="1">
      <c r="A164" s="222"/>
      <c r="B164" s="318"/>
      <c r="C164" s="310" t="s">
        <v>296</v>
      </c>
      <c r="D164" s="319"/>
      <c r="E164" s="311">
        <f t="shared" ref="E164:BX164" si="54">-E58</f>
        <v>0</v>
      </c>
      <c r="F164" s="311">
        <f t="shared" si="54"/>
        <v>0</v>
      </c>
      <c r="G164" s="311">
        <f t="shared" si="54"/>
        <v>0</v>
      </c>
      <c r="H164" s="311">
        <f t="shared" si="54"/>
        <v>0</v>
      </c>
      <c r="I164" s="311">
        <f t="shared" si="54"/>
        <v>0</v>
      </c>
      <c r="J164" s="311">
        <f t="shared" si="54"/>
        <v>0</v>
      </c>
      <c r="K164" s="311">
        <f t="shared" si="54"/>
        <v>0</v>
      </c>
      <c r="L164" s="311">
        <f t="shared" si="54"/>
        <v>0</v>
      </c>
      <c r="M164" s="311">
        <f t="shared" si="54"/>
        <v>0</v>
      </c>
      <c r="N164" s="311">
        <f t="shared" si="54"/>
        <v>0</v>
      </c>
      <c r="O164" s="311">
        <f t="shared" si="54"/>
        <v>0</v>
      </c>
      <c r="P164" s="311">
        <f t="shared" si="54"/>
        <v>0</v>
      </c>
      <c r="Q164" s="311">
        <f t="shared" si="54"/>
        <v>0</v>
      </c>
      <c r="R164" s="311">
        <f t="shared" si="54"/>
        <v>0</v>
      </c>
      <c r="S164" s="311">
        <f t="shared" si="54"/>
        <v>0</v>
      </c>
      <c r="T164" s="311">
        <f t="shared" si="54"/>
        <v>0</v>
      </c>
      <c r="U164" s="311">
        <f t="shared" si="54"/>
        <v>0</v>
      </c>
      <c r="V164" s="311">
        <f t="shared" si="54"/>
        <v>0</v>
      </c>
      <c r="W164" s="311">
        <f t="shared" si="54"/>
        <v>0</v>
      </c>
      <c r="X164" s="311">
        <f t="shared" si="54"/>
        <v>0</v>
      </c>
      <c r="Y164" s="311">
        <f t="shared" si="54"/>
        <v>0</v>
      </c>
      <c r="Z164" s="311">
        <f t="shared" si="54"/>
        <v>0</v>
      </c>
      <c r="AA164" s="311">
        <f t="shared" si="54"/>
        <v>0</v>
      </c>
      <c r="AB164" s="311">
        <f t="shared" si="54"/>
        <v>0</v>
      </c>
      <c r="AC164" s="311">
        <f t="shared" si="54"/>
        <v>0</v>
      </c>
      <c r="AD164" s="311">
        <f t="shared" si="54"/>
        <v>0</v>
      </c>
      <c r="AE164" s="311">
        <f t="shared" si="54"/>
        <v>0</v>
      </c>
      <c r="AF164" s="311">
        <f t="shared" si="54"/>
        <v>0</v>
      </c>
      <c r="AG164" s="311">
        <f t="shared" si="54"/>
        <v>0</v>
      </c>
      <c r="AH164" s="311">
        <f t="shared" si="54"/>
        <v>0</v>
      </c>
      <c r="AI164" s="311">
        <f t="shared" si="54"/>
        <v>0</v>
      </c>
      <c r="AJ164" s="311">
        <f t="shared" si="54"/>
        <v>0</v>
      </c>
      <c r="AK164" s="311">
        <f t="shared" si="54"/>
        <v>0</v>
      </c>
      <c r="AL164" s="311">
        <f t="shared" si="54"/>
        <v>0</v>
      </c>
      <c r="AM164" s="311">
        <f t="shared" si="54"/>
        <v>0</v>
      </c>
      <c r="AN164" s="311">
        <f t="shared" si="54"/>
        <v>0</v>
      </c>
      <c r="AO164" s="311">
        <f t="shared" si="54"/>
        <v>0</v>
      </c>
      <c r="AP164" s="311">
        <f t="shared" si="54"/>
        <v>0</v>
      </c>
      <c r="AQ164" s="311">
        <f t="shared" si="54"/>
        <v>0</v>
      </c>
      <c r="AR164" s="311">
        <f t="shared" si="54"/>
        <v>0</v>
      </c>
      <c r="AS164" s="311">
        <f t="shared" si="54"/>
        <v>0</v>
      </c>
      <c r="AT164" s="311">
        <f t="shared" si="54"/>
        <v>0</v>
      </c>
      <c r="AU164" s="311">
        <f t="shared" si="54"/>
        <v>0</v>
      </c>
      <c r="AV164" s="311">
        <f t="shared" si="54"/>
        <v>0</v>
      </c>
      <c r="AW164" s="311">
        <f t="shared" si="54"/>
        <v>0</v>
      </c>
      <c r="AX164" s="311">
        <f t="shared" si="54"/>
        <v>0</v>
      </c>
      <c r="AY164" s="311">
        <f t="shared" si="54"/>
        <v>0</v>
      </c>
      <c r="AZ164" s="311">
        <f t="shared" si="54"/>
        <v>0</v>
      </c>
      <c r="BA164" s="311">
        <f t="shared" si="54"/>
        <v>0</v>
      </c>
      <c r="BB164" s="311">
        <f t="shared" si="54"/>
        <v>0</v>
      </c>
      <c r="BC164" s="311">
        <f t="shared" si="54"/>
        <v>0</v>
      </c>
      <c r="BD164" s="311">
        <f t="shared" si="54"/>
        <v>0</v>
      </c>
      <c r="BE164" s="311">
        <f t="shared" si="54"/>
        <v>0</v>
      </c>
      <c r="BF164" s="311">
        <f t="shared" si="54"/>
        <v>0</v>
      </c>
      <c r="BG164" s="311">
        <f t="shared" si="54"/>
        <v>0</v>
      </c>
      <c r="BH164" s="311">
        <f t="shared" si="54"/>
        <v>0</v>
      </c>
      <c r="BI164" s="311">
        <f t="shared" si="54"/>
        <v>0</v>
      </c>
      <c r="BJ164" s="311">
        <f t="shared" si="54"/>
        <v>0</v>
      </c>
      <c r="BK164" s="311">
        <f t="shared" si="54"/>
        <v>0</v>
      </c>
      <c r="BL164" s="311">
        <f t="shared" si="54"/>
        <v>0</v>
      </c>
      <c r="BM164" s="311">
        <f t="shared" si="54"/>
        <v>0</v>
      </c>
      <c r="BN164" s="311">
        <f t="shared" si="54"/>
        <v>0</v>
      </c>
      <c r="BO164" s="311">
        <f t="shared" si="54"/>
        <v>0</v>
      </c>
      <c r="BP164" s="311">
        <f t="shared" si="54"/>
        <v>0</v>
      </c>
      <c r="BQ164" s="311">
        <f t="shared" si="54"/>
        <v>0</v>
      </c>
      <c r="BR164" s="311">
        <f t="shared" si="54"/>
        <v>0</v>
      </c>
      <c r="BS164" s="311">
        <f t="shared" si="54"/>
        <v>0</v>
      </c>
      <c r="BT164" s="311">
        <f t="shared" si="54"/>
        <v>0</v>
      </c>
      <c r="BU164" s="311">
        <f t="shared" si="54"/>
        <v>0</v>
      </c>
      <c r="BV164" s="311">
        <f t="shared" si="54"/>
        <v>0</v>
      </c>
      <c r="BW164" s="311">
        <f t="shared" si="54"/>
        <v>0</v>
      </c>
      <c r="BX164" s="311">
        <f t="shared" si="54"/>
        <v>0</v>
      </c>
      <c r="BY164" s="222"/>
      <c r="BZ164" s="222"/>
      <c r="CA164" s="222"/>
      <c r="CB164" s="222"/>
      <c r="CC164" s="222"/>
      <c r="CD164" s="222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2"/>
      <c r="CV164" s="222"/>
      <c r="CW164" s="222"/>
      <c r="CX164" s="222"/>
      <c r="CY164" s="222"/>
      <c r="CZ164" s="222"/>
      <c r="DA164" s="222"/>
      <c r="DB164" s="222"/>
      <c r="DC164" s="222"/>
      <c r="DD164" s="222"/>
      <c r="DE164" s="222"/>
      <c r="DF164" s="222"/>
      <c r="DG164" s="222"/>
      <c r="DH164" s="222"/>
      <c r="DI164" s="222"/>
      <c r="DJ164" s="222"/>
      <c r="DK164" s="222"/>
      <c r="DL164" s="222"/>
      <c r="DM164" s="222"/>
      <c r="DN164" s="222"/>
      <c r="DO164" s="222"/>
      <c r="DP164" s="222"/>
      <c r="DQ164" s="222"/>
      <c r="DR164" s="222"/>
      <c r="DS164" s="222"/>
      <c r="DT164" s="222"/>
      <c r="DU164" s="222"/>
      <c r="DV164" s="222"/>
      <c r="DW164" s="325"/>
      <c r="DX164" s="325"/>
      <c r="DY164" s="325"/>
      <c r="DZ164" s="325"/>
      <c r="EA164" s="325"/>
      <c r="EB164" s="325"/>
      <c r="EC164" s="325"/>
      <c r="ED164" s="325"/>
      <c r="EE164" s="325"/>
      <c r="EF164" s="325"/>
      <c r="EG164" s="325"/>
      <c r="EH164" s="325"/>
    </row>
    <row r="165" spans="1:138" hidden="1">
      <c r="A165" s="222"/>
      <c r="B165" s="318"/>
      <c r="C165" s="310" t="s">
        <v>297</v>
      </c>
      <c r="D165" s="319"/>
      <c r="E165" s="311"/>
      <c r="F165" s="311"/>
      <c r="G165" s="311"/>
      <c r="H165" s="311"/>
      <c r="I165" s="311"/>
      <c r="J165" s="311"/>
      <c r="K165" s="311"/>
      <c r="L165" s="311"/>
      <c r="M165" s="311"/>
      <c r="N165" s="311"/>
      <c r="O165" s="311"/>
      <c r="P165" s="311"/>
      <c r="Q165" s="311"/>
      <c r="R165" s="311"/>
      <c r="S165" s="311"/>
      <c r="T165" s="311">
        <v>2750000</v>
      </c>
      <c r="U165" s="311"/>
      <c r="V165" s="311"/>
      <c r="W165" s="311"/>
      <c r="X165" s="311"/>
      <c r="Y165" s="311"/>
      <c r="Z165" s="311"/>
      <c r="AA165" s="311"/>
      <c r="AB165" s="311"/>
      <c r="AC165" s="311"/>
      <c r="AD165" s="311"/>
      <c r="AE165" s="311"/>
      <c r="AF165" s="311"/>
      <c r="AG165" s="311"/>
      <c r="AH165" s="311"/>
      <c r="AI165" s="311"/>
      <c r="AJ165" s="311"/>
      <c r="AK165" s="311"/>
      <c r="AL165" s="311"/>
      <c r="AM165" s="311"/>
      <c r="AN165" s="311"/>
      <c r="AO165" s="311"/>
      <c r="AP165" s="311"/>
      <c r="AQ165" s="311"/>
      <c r="AR165" s="311"/>
      <c r="AS165" s="311"/>
      <c r="AT165" s="311"/>
      <c r="AU165" s="311"/>
      <c r="AV165" s="311"/>
      <c r="AW165" s="311"/>
      <c r="AX165" s="311"/>
      <c r="AY165" s="311"/>
      <c r="AZ165" s="311"/>
      <c r="BA165" s="311"/>
      <c r="BB165" s="311"/>
      <c r="BC165" s="311"/>
      <c r="BD165" s="311"/>
      <c r="BE165" s="311"/>
      <c r="BF165" s="311"/>
      <c r="BG165" s="311"/>
      <c r="BH165" s="311"/>
      <c r="BI165" s="311"/>
      <c r="BJ165" s="311"/>
      <c r="BK165" s="311"/>
      <c r="BL165" s="311"/>
      <c r="BM165" s="311"/>
      <c r="BN165" s="311"/>
      <c r="BO165" s="311"/>
      <c r="BP165" s="311"/>
      <c r="BQ165" s="311"/>
      <c r="BR165" s="311"/>
      <c r="BS165" s="311"/>
      <c r="BT165" s="311"/>
      <c r="BU165" s="311"/>
      <c r="BV165" s="311"/>
      <c r="BW165" s="311"/>
      <c r="BX165" s="311" t="e">
        <f>IF(D105&gt;0.25,(BX100-BX108)*D166,BX100*D166)</f>
        <v>#VALUE!</v>
      </c>
      <c r="BY165" s="222"/>
      <c r="BZ165" s="222"/>
      <c r="CA165" s="222"/>
      <c r="CB165" s="222"/>
      <c r="CC165" s="222"/>
      <c r="CD165" s="222"/>
      <c r="CE165" s="222"/>
      <c r="CF165" s="222"/>
      <c r="CG165" s="222"/>
      <c r="CH165" s="222"/>
      <c r="CI165" s="222"/>
      <c r="CJ165" s="222"/>
      <c r="CK165" s="222"/>
      <c r="CL165" s="222"/>
      <c r="CM165" s="222"/>
      <c r="CN165" s="222"/>
      <c r="CO165" s="222"/>
      <c r="CP165" s="222"/>
      <c r="CQ165" s="222"/>
      <c r="CR165" s="222"/>
      <c r="CS165" s="222"/>
      <c r="CT165" s="222"/>
      <c r="CU165" s="222"/>
      <c r="CV165" s="222"/>
      <c r="CW165" s="222"/>
      <c r="CX165" s="222"/>
      <c r="CY165" s="222"/>
      <c r="CZ165" s="222"/>
      <c r="DA165" s="222"/>
      <c r="DB165" s="222"/>
      <c r="DC165" s="222"/>
      <c r="DD165" s="222"/>
      <c r="DE165" s="222"/>
      <c r="DF165" s="222"/>
      <c r="DG165" s="222"/>
      <c r="DH165" s="222"/>
      <c r="DI165" s="222"/>
      <c r="DJ165" s="222"/>
      <c r="DK165" s="222"/>
      <c r="DL165" s="222"/>
      <c r="DM165" s="222"/>
      <c r="DN165" s="222"/>
      <c r="DO165" s="222"/>
      <c r="DP165" s="222"/>
      <c r="DQ165" s="222"/>
      <c r="DR165" s="222"/>
      <c r="DS165" s="222"/>
      <c r="DT165" s="222"/>
      <c r="DU165" s="222"/>
      <c r="DV165" s="222"/>
      <c r="DW165" s="325"/>
      <c r="DX165" s="325"/>
      <c r="DY165" s="325"/>
      <c r="DZ165" s="325"/>
      <c r="EA165" s="325"/>
      <c r="EB165" s="325"/>
      <c r="EC165" s="325"/>
      <c r="ED165" s="325"/>
      <c r="EE165" s="325"/>
      <c r="EF165" s="325"/>
      <c r="EG165" s="325"/>
      <c r="EH165" s="325"/>
    </row>
    <row r="166" spans="1:138" hidden="1">
      <c r="A166" s="222"/>
      <c r="B166" s="318"/>
      <c r="C166" s="313" t="s">
        <v>298</v>
      </c>
      <c r="D166" s="319">
        <v>0</v>
      </c>
      <c r="E166" s="242"/>
      <c r="F166" s="242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2"/>
      <c r="V166" s="242"/>
      <c r="W166" s="242"/>
      <c r="X166" s="242"/>
      <c r="Y166" s="242"/>
      <c r="Z166" s="242"/>
      <c r="AA166" s="242"/>
      <c r="AB166" s="242"/>
      <c r="AC166" s="242"/>
      <c r="AD166" s="242"/>
      <c r="AE166" s="242"/>
      <c r="AF166" s="242"/>
      <c r="AG166" s="242"/>
      <c r="AH166" s="242"/>
      <c r="AI166" s="242"/>
      <c r="AJ166" s="242"/>
      <c r="AK166" s="242"/>
      <c r="AL166" s="242"/>
      <c r="AM166" s="242"/>
      <c r="AN166" s="242"/>
      <c r="AO166" s="242"/>
      <c r="AP166" s="242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22"/>
      <c r="BZ166" s="222"/>
      <c r="CA166" s="222"/>
      <c r="CB166" s="222"/>
      <c r="CC166" s="222"/>
      <c r="CD166" s="222"/>
      <c r="CE166" s="222"/>
      <c r="CF166" s="222"/>
      <c r="CG166" s="222"/>
      <c r="CH166" s="222"/>
      <c r="CI166" s="222"/>
      <c r="CJ166" s="222"/>
      <c r="CK166" s="222"/>
      <c r="CL166" s="222"/>
      <c r="CM166" s="222"/>
      <c r="CN166" s="222"/>
      <c r="CO166" s="222"/>
      <c r="CP166" s="222"/>
      <c r="CQ166" s="222"/>
      <c r="CR166" s="222"/>
      <c r="CS166" s="222"/>
      <c r="CT166" s="222"/>
      <c r="CU166" s="222"/>
      <c r="CV166" s="222"/>
      <c r="CW166" s="222"/>
      <c r="CX166" s="222"/>
      <c r="CY166" s="222"/>
      <c r="CZ166" s="222"/>
      <c r="DA166" s="222"/>
      <c r="DB166" s="222"/>
      <c r="DC166" s="222"/>
      <c r="DD166" s="222"/>
      <c r="DE166" s="222"/>
      <c r="DF166" s="222"/>
      <c r="DG166" s="222"/>
      <c r="DH166" s="222"/>
      <c r="DI166" s="222"/>
      <c r="DJ166" s="222"/>
      <c r="DK166" s="222"/>
      <c r="DL166" s="222"/>
      <c r="DM166" s="222"/>
      <c r="DN166" s="222"/>
      <c r="DO166" s="222"/>
      <c r="DP166" s="222"/>
      <c r="DQ166" s="222"/>
      <c r="DR166" s="222"/>
      <c r="DS166" s="222"/>
      <c r="DT166" s="222"/>
      <c r="DU166" s="222"/>
      <c r="DV166" s="222"/>
      <c r="DW166" s="325"/>
      <c r="DX166" s="325"/>
      <c r="DY166" s="325"/>
      <c r="DZ166" s="325"/>
      <c r="EA166" s="325"/>
      <c r="EB166" s="325"/>
      <c r="EC166" s="325"/>
      <c r="ED166" s="325"/>
      <c r="EE166" s="325"/>
      <c r="EF166" s="325"/>
      <c r="EG166" s="325"/>
      <c r="EH166" s="325"/>
    </row>
    <row r="167" spans="1:138" hidden="1">
      <c r="A167" s="222"/>
      <c r="B167" s="318"/>
      <c r="C167" s="310" t="s">
        <v>299</v>
      </c>
      <c r="D167" s="311"/>
      <c r="E167" s="321">
        <f t="shared" ref="E167:BX167" si="55">E162+E163+E164+E165+E166</f>
        <v>0</v>
      </c>
      <c r="F167" s="321">
        <f t="shared" si="55"/>
        <v>0</v>
      </c>
      <c r="G167" s="321">
        <f t="shared" si="55"/>
        <v>0</v>
      </c>
      <c r="H167" s="321">
        <f t="shared" si="55"/>
        <v>-5341205.5</v>
      </c>
      <c r="I167" s="321">
        <f t="shared" si="55"/>
        <v>0</v>
      </c>
      <c r="J167" s="321">
        <f t="shared" si="55"/>
        <v>0</v>
      </c>
      <c r="K167" s="321">
        <f t="shared" si="55"/>
        <v>0</v>
      </c>
      <c r="L167" s="321">
        <f t="shared" si="55"/>
        <v>0</v>
      </c>
      <c r="M167" s="321">
        <f t="shared" si="55"/>
        <v>0</v>
      </c>
      <c r="N167" s="321">
        <f t="shared" si="55"/>
        <v>0</v>
      </c>
      <c r="O167" s="321">
        <f t="shared" si="55"/>
        <v>0</v>
      </c>
      <c r="P167" s="321">
        <f t="shared" si="55"/>
        <v>0</v>
      </c>
      <c r="Q167" s="321">
        <f t="shared" si="55"/>
        <v>0</v>
      </c>
      <c r="R167" s="321">
        <f t="shared" si="55"/>
        <v>0</v>
      </c>
      <c r="S167" s="321">
        <f t="shared" si="55"/>
        <v>0</v>
      </c>
      <c r="T167" s="321">
        <f t="shared" si="55"/>
        <v>8091205.5</v>
      </c>
      <c r="U167" s="321">
        <f t="shared" si="55"/>
        <v>0</v>
      </c>
      <c r="V167" s="321">
        <f t="shared" si="55"/>
        <v>0</v>
      </c>
      <c r="W167" s="321">
        <f t="shared" si="55"/>
        <v>0</v>
      </c>
      <c r="X167" s="321">
        <f t="shared" si="55"/>
        <v>0</v>
      </c>
      <c r="Y167" s="321">
        <f t="shared" si="55"/>
        <v>0</v>
      </c>
      <c r="Z167" s="321">
        <f t="shared" si="55"/>
        <v>0</v>
      </c>
      <c r="AA167" s="321">
        <f t="shared" si="55"/>
        <v>0</v>
      </c>
      <c r="AB167" s="321">
        <f t="shared" si="55"/>
        <v>0</v>
      </c>
      <c r="AC167" s="321">
        <f t="shared" si="55"/>
        <v>0</v>
      </c>
      <c r="AD167" s="321">
        <f t="shared" si="55"/>
        <v>0</v>
      </c>
      <c r="AE167" s="321">
        <f t="shared" si="55"/>
        <v>0</v>
      </c>
      <c r="AF167" s="321">
        <f t="shared" si="55"/>
        <v>0</v>
      </c>
      <c r="AG167" s="321">
        <f t="shared" si="55"/>
        <v>0</v>
      </c>
      <c r="AH167" s="321">
        <f t="shared" si="55"/>
        <v>0</v>
      </c>
      <c r="AI167" s="321">
        <f t="shared" si="55"/>
        <v>0</v>
      </c>
      <c r="AJ167" s="321">
        <f t="shared" si="55"/>
        <v>0</v>
      </c>
      <c r="AK167" s="321">
        <f t="shared" si="55"/>
        <v>0</v>
      </c>
      <c r="AL167" s="321">
        <f t="shared" si="55"/>
        <v>0</v>
      </c>
      <c r="AM167" s="321">
        <f t="shared" si="55"/>
        <v>0</v>
      </c>
      <c r="AN167" s="321">
        <f t="shared" si="55"/>
        <v>0</v>
      </c>
      <c r="AO167" s="321">
        <f t="shared" si="55"/>
        <v>0</v>
      </c>
      <c r="AP167" s="321">
        <f t="shared" si="55"/>
        <v>0</v>
      </c>
      <c r="AQ167" s="321">
        <f t="shared" si="55"/>
        <v>0</v>
      </c>
      <c r="AR167" s="321">
        <f t="shared" si="55"/>
        <v>0</v>
      </c>
      <c r="AS167" s="321">
        <f t="shared" si="55"/>
        <v>0</v>
      </c>
      <c r="AT167" s="321">
        <f t="shared" si="55"/>
        <v>0</v>
      </c>
      <c r="AU167" s="321">
        <f t="shared" si="55"/>
        <v>0</v>
      </c>
      <c r="AV167" s="321">
        <f t="shared" si="55"/>
        <v>0</v>
      </c>
      <c r="AW167" s="321">
        <f t="shared" si="55"/>
        <v>0</v>
      </c>
      <c r="AX167" s="321">
        <f t="shared" si="55"/>
        <v>0</v>
      </c>
      <c r="AY167" s="321">
        <f t="shared" si="55"/>
        <v>0</v>
      </c>
      <c r="AZ167" s="321">
        <f t="shared" si="55"/>
        <v>0</v>
      </c>
      <c r="BA167" s="321">
        <f t="shared" si="55"/>
        <v>0</v>
      </c>
      <c r="BB167" s="321">
        <f t="shared" si="55"/>
        <v>0</v>
      </c>
      <c r="BC167" s="321">
        <f t="shared" si="55"/>
        <v>0</v>
      </c>
      <c r="BD167" s="321">
        <f t="shared" si="55"/>
        <v>0</v>
      </c>
      <c r="BE167" s="321">
        <f t="shared" si="55"/>
        <v>0</v>
      </c>
      <c r="BF167" s="321">
        <f t="shared" si="55"/>
        <v>0</v>
      </c>
      <c r="BG167" s="321">
        <f t="shared" si="55"/>
        <v>0</v>
      </c>
      <c r="BH167" s="321">
        <f t="shared" si="55"/>
        <v>0</v>
      </c>
      <c r="BI167" s="321">
        <f t="shared" si="55"/>
        <v>0</v>
      </c>
      <c r="BJ167" s="321">
        <f t="shared" si="55"/>
        <v>0</v>
      </c>
      <c r="BK167" s="321">
        <f t="shared" si="55"/>
        <v>0</v>
      </c>
      <c r="BL167" s="321">
        <f t="shared" si="55"/>
        <v>0</v>
      </c>
      <c r="BM167" s="321">
        <f t="shared" si="55"/>
        <v>0</v>
      </c>
      <c r="BN167" s="321">
        <f t="shared" si="55"/>
        <v>0</v>
      </c>
      <c r="BO167" s="321">
        <f t="shared" si="55"/>
        <v>0</v>
      </c>
      <c r="BP167" s="321">
        <f t="shared" si="55"/>
        <v>0</v>
      </c>
      <c r="BQ167" s="321">
        <f t="shared" si="55"/>
        <v>0</v>
      </c>
      <c r="BR167" s="321">
        <f t="shared" si="55"/>
        <v>0</v>
      </c>
      <c r="BS167" s="321">
        <f t="shared" si="55"/>
        <v>0</v>
      </c>
      <c r="BT167" s="321">
        <f t="shared" si="55"/>
        <v>0</v>
      </c>
      <c r="BU167" s="321">
        <f t="shared" si="55"/>
        <v>0</v>
      </c>
      <c r="BV167" s="321">
        <f t="shared" si="55"/>
        <v>0</v>
      </c>
      <c r="BW167" s="321">
        <f t="shared" si="55"/>
        <v>0</v>
      </c>
      <c r="BX167" s="321" t="e">
        <f t="shared" si="55"/>
        <v>#VALUE!</v>
      </c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  <c r="CJ167" s="222"/>
      <c r="CK167" s="222"/>
      <c r="CL167" s="222"/>
      <c r="CM167" s="222"/>
      <c r="CN167" s="222"/>
      <c r="CO167" s="222"/>
      <c r="CP167" s="222"/>
      <c r="CQ167" s="222"/>
      <c r="CR167" s="222"/>
      <c r="CS167" s="222"/>
      <c r="CT167" s="222"/>
      <c r="CU167" s="222"/>
      <c r="CV167" s="222"/>
      <c r="CW167" s="222"/>
      <c r="CX167" s="222"/>
      <c r="CY167" s="222"/>
      <c r="CZ167" s="222"/>
      <c r="DA167" s="222"/>
      <c r="DB167" s="222"/>
      <c r="DC167" s="222"/>
      <c r="DD167" s="222"/>
      <c r="DE167" s="222"/>
      <c r="DF167" s="222"/>
      <c r="DG167" s="222"/>
      <c r="DH167" s="222"/>
      <c r="DI167" s="222"/>
      <c r="DJ167" s="222"/>
      <c r="DK167" s="222"/>
      <c r="DL167" s="222"/>
      <c r="DM167" s="222"/>
      <c r="DN167" s="222"/>
      <c r="DO167" s="222"/>
      <c r="DP167" s="222"/>
      <c r="DQ167" s="222"/>
      <c r="DR167" s="222"/>
      <c r="DS167" s="222"/>
      <c r="DT167" s="222"/>
      <c r="DU167" s="222"/>
      <c r="DV167" s="222"/>
      <c r="DW167" s="325"/>
      <c r="DX167" s="325"/>
      <c r="DY167" s="325"/>
      <c r="DZ167" s="325"/>
      <c r="EA167" s="325"/>
      <c r="EB167" s="325"/>
      <c r="EC167" s="325"/>
      <c r="ED167" s="325"/>
      <c r="EE167" s="325"/>
      <c r="EF167" s="325"/>
      <c r="EG167" s="325"/>
      <c r="EH167" s="325"/>
    </row>
    <row r="168" spans="1:138" hidden="1">
      <c r="A168" s="222"/>
      <c r="B168" s="318"/>
      <c r="C168" s="314"/>
      <c r="D168" s="322" t="s">
        <v>306</v>
      </c>
      <c r="E168" s="327">
        <f>E167</f>
        <v>0</v>
      </c>
      <c r="F168" s="327">
        <f t="shared" ref="F168:BX168" si="56">E168+F167</f>
        <v>0</v>
      </c>
      <c r="G168" s="327">
        <f t="shared" si="56"/>
        <v>0</v>
      </c>
      <c r="H168" s="327">
        <f t="shared" si="56"/>
        <v>-5341205.5</v>
      </c>
      <c r="I168" s="327">
        <f t="shared" si="56"/>
        <v>-5341205.5</v>
      </c>
      <c r="J168" s="327">
        <f t="shared" si="56"/>
        <v>-5341205.5</v>
      </c>
      <c r="K168" s="327">
        <f t="shared" si="56"/>
        <v>-5341205.5</v>
      </c>
      <c r="L168" s="327">
        <f t="shared" si="56"/>
        <v>-5341205.5</v>
      </c>
      <c r="M168" s="327">
        <f t="shared" si="56"/>
        <v>-5341205.5</v>
      </c>
      <c r="N168" s="327">
        <f t="shared" si="56"/>
        <v>-5341205.5</v>
      </c>
      <c r="O168" s="327">
        <f t="shared" si="56"/>
        <v>-5341205.5</v>
      </c>
      <c r="P168" s="327">
        <f t="shared" si="56"/>
        <v>-5341205.5</v>
      </c>
      <c r="Q168" s="327">
        <f t="shared" si="56"/>
        <v>-5341205.5</v>
      </c>
      <c r="R168" s="327">
        <f t="shared" si="56"/>
        <v>-5341205.5</v>
      </c>
      <c r="S168" s="327">
        <f t="shared" si="56"/>
        <v>-5341205.5</v>
      </c>
      <c r="T168" s="327">
        <f t="shared" si="56"/>
        <v>2750000</v>
      </c>
      <c r="U168" s="327">
        <f t="shared" si="56"/>
        <v>2750000</v>
      </c>
      <c r="V168" s="327">
        <f t="shared" si="56"/>
        <v>2750000</v>
      </c>
      <c r="W168" s="327">
        <f t="shared" si="56"/>
        <v>2750000</v>
      </c>
      <c r="X168" s="327">
        <f t="shared" si="56"/>
        <v>2750000</v>
      </c>
      <c r="Y168" s="327">
        <f t="shared" si="56"/>
        <v>2750000</v>
      </c>
      <c r="Z168" s="327">
        <f t="shared" si="56"/>
        <v>2750000</v>
      </c>
      <c r="AA168" s="327">
        <f t="shared" si="56"/>
        <v>2750000</v>
      </c>
      <c r="AB168" s="327">
        <f t="shared" si="56"/>
        <v>2750000</v>
      </c>
      <c r="AC168" s="327">
        <f t="shared" si="56"/>
        <v>2750000</v>
      </c>
      <c r="AD168" s="327">
        <f t="shared" si="56"/>
        <v>2750000</v>
      </c>
      <c r="AE168" s="327">
        <f t="shared" si="56"/>
        <v>2750000</v>
      </c>
      <c r="AF168" s="327">
        <f t="shared" si="56"/>
        <v>2750000</v>
      </c>
      <c r="AG168" s="327">
        <f t="shared" si="56"/>
        <v>2750000</v>
      </c>
      <c r="AH168" s="327">
        <f t="shared" si="56"/>
        <v>2750000</v>
      </c>
      <c r="AI168" s="327">
        <f t="shared" si="56"/>
        <v>2750000</v>
      </c>
      <c r="AJ168" s="327">
        <f t="shared" si="56"/>
        <v>2750000</v>
      </c>
      <c r="AK168" s="327">
        <f t="shared" si="56"/>
        <v>2750000</v>
      </c>
      <c r="AL168" s="327">
        <f t="shared" si="56"/>
        <v>2750000</v>
      </c>
      <c r="AM168" s="327">
        <f t="shared" si="56"/>
        <v>2750000</v>
      </c>
      <c r="AN168" s="327">
        <f t="shared" si="56"/>
        <v>2750000</v>
      </c>
      <c r="AO168" s="327">
        <f t="shared" si="56"/>
        <v>2750000</v>
      </c>
      <c r="AP168" s="327">
        <f t="shared" si="56"/>
        <v>2750000</v>
      </c>
      <c r="AQ168" s="327">
        <f t="shared" si="56"/>
        <v>2750000</v>
      </c>
      <c r="AR168" s="327">
        <f t="shared" si="56"/>
        <v>2750000</v>
      </c>
      <c r="AS168" s="327">
        <f t="shared" si="56"/>
        <v>2750000</v>
      </c>
      <c r="AT168" s="327">
        <f t="shared" si="56"/>
        <v>2750000</v>
      </c>
      <c r="AU168" s="327">
        <f t="shared" si="56"/>
        <v>2750000</v>
      </c>
      <c r="AV168" s="327">
        <f t="shared" si="56"/>
        <v>2750000</v>
      </c>
      <c r="AW168" s="327">
        <f t="shared" si="56"/>
        <v>2750000</v>
      </c>
      <c r="AX168" s="327">
        <f t="shared" si="56"/>
        <v>2750000</v>
      </c>
      <c r="AY168" s="327">
        <f t="shared" si="56"/>
        <v>2750000</v>
      </c>
      <c r="AZ168" s="327">
        <f t="shared" si="56"/>
        <v>2750000</v>
      </c>
      <c r="BA168" s="327">
        <f t="shared" si="56"/>
        <v>2750000</v>
      </c>
      <c r="BB168" s="327">
        <f t="shared" si="56"/>
        <v>2750000</v>
      </c>
      <c r="BC168" s="327">
        <f t="shared" si="56"/>
        <v>2750000</v>
      </c>
      <c r="BD168" s="327">
        <f t="shared" si="56"/>
        <v>2750000</v>
      </c>
      <c r="BE168" s="327">
        <f t="shared" si="56"/>
        <v>2750000</v>
      </c>
      <c r="BF168" s="327">
        <f t="shared" si="56"/>
        <v>2750000</v>
      </c>
      <c r="BG168" s="327">
        <f t="shared" si="56"/>
        <v>2750000</v>
      </c>
      <c r="BH168" s="327">
        <f t="shared" si="56"/>
        <v>2750000</v>
      </c>
      <c r="BI168" s="327">
        <f t="shared" si="56"/>
        <v>2750000</v>
      </c>
      <c r="BJ168" s="327">
        <f t="shared" si="56"/>
        <v>2750000</v>
      </c>
      <c r="BK168" s="327">
        <f t="shared" si="56"/>
        <v>2750000</v>
      </c>
      <c r="BL168" s="327">
        <f t="shared" si="56"/>
        <v>2750000</v>
      </c>
      <c r="BM168" s="327">
        <f t="shared" si="56"/>
        <v>2750000</v>
      </c>
      <c r="BN168" s="327">
        <f t="shared" si="56"/>
        <v>2750000</v>
      </c>
      <c r="BO168" s="327">
        <f t="shared" si="56"/>
        <v>2750000</v>
      </c>
      <c r="BP168" s="327">
        <f t="shared" si="56"/>
        <v>2750000</v>
      </c>
      <c r="BQ168" s="327">
        <f t="shared" si="56"/>
        <v>2750000</v>
      </c>
      <c r="BR168" s="327">
        <f t="shared" si="56"/>
        <v>2750000</v>
      </c>
      <c r="BS168" s="327">
        <f t="shared" si="56"/>
        <v>2750000</v>
      </c>
      <c r="BT168" s="327">
        <f t="shared" si="56"/>
        <v>2750000</v>
      </c>
      <c r="BU168" s="327">
        <f t="shared" si="56"/>
        <v>2750000</v>
      </c>
      <c r="BV168" s="327">
        <f t="shared" si="56"/>
        <v>2750000</v>
      </c>
      <c r="BW168" s="327">
        <f t="shared" si="56"/>
        <v>2750000</v>
      </c>
      <c r="BX168" s="327" t="e">
        <f t="shared" si="56"/>
        <v>#VALUE!</v>
      </c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  <c r="CJ168" s="222"/>
      <c r="CK168" s="222"/>
      <c r="CL168" s="222"/>
      <c r="CM168" s="222"/>
      <c r="CN168" s="222"/>
      <c r="CO168" s="222"/>
      <c r="CP168" s="222"/>
      <c r="CQ168" s="222"/>
      <c r="CR168" s="222"/>
      <c r="CS168" s="222"/>
      <c r="CT168" s="222"/>
      <c r="CU168" s="222"/>
      <c r="CV168" s="222"/>
      <c r="CW168" s="222"/>
      <c r="CX168" s="222"/>
      <c r="CY168" s="222"/>
      <c r="CZ168" s="222"/>
      <c r="DA168" s="222"/>
      <c r="DB168" s="222"/>
      <c r="DC168" s="222"/>
      <c r="DD168" s="222"/>
      <c r="DE168" s="222"/>
      <c r="DF168" s="222"/>
      <c r="DG168" s="222"/>
      <c r="DH168" s="222"/>
      <c r="DI168" s="222"/>
      <c r="DJ168" s="222"/>
      <c r="DK168" s="222"/>
      <c r="DL168" s="222"/>
      <c r="DM168" s="222"/>
      <c r="DN168" s="222"/>
      <c r="DO168" s="222"/>
      <c r="DP168" s="222"/>
      <c r="DQ168" s="222"/>
      <c r="DR168" s="222"/>
      <c r="DS168" s="222"/>
      <c r="DT168" s="222"/>
      <c r="DU168" s="222"/>
      <c r="DV168" s="222"/>
      <c r="DW168" s="325"/>
      <c r="DX168" s="325"/>
      <c r="DY168" s="325"/>
      <c r="DZ168" s="325"/>
      <c r="EA168" s="325"/>
      <c r="EB168" s="325"/>
      <c r="EC168" s="325"/>
      <c r="ED168" s="325"/>
      <c r="EE168" s="325"/>
      <c r="EF168" s="325"/>
      <c r="EG168" s="325"/>
      <c r="EH168" s="325"/>
    </row>
    <row r="169" spans="1:138" hidden="1">
      <c r="A169" s="222"/>
      <c r="B169" s="318"/>
      <c r="C169" s="313" t="s">
        <v>292</v>
      </c>
      <c r="D169" s="322" t="e">
        <f>IRR(E167:BX167)*12</f>
        <v>#VALUE!</v>
      </c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222"/>
      <c r="AF169" s="222"/>
      <c r="AG169" s="222"/>
      <c r="AH169" s="222"/>
      <c r="AI169" s="222"/>
      <c r="AJ169" s="222"/>
      <c r="AK169" s="222"/>
      <c r="AL169" s="222"/>
      <c r="AM169" s="222"/>
      <c r="AN169" s="222"/>
      <c r="AO169" s="222"/>
      <c r="AP169" s="222"/>
      <c r="AQ169" s="222"/>
      <c r="AR169" s="222"/>
      <c r="AS169" s="222"/>
      <c r="AT169" s="222"/>
      <c r="AU169" s="222"/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222"/>
      <c r="BN169" s="222"/>
      <c r="BO169" s="222"/>
      <c r="BP169" s="222"/>
      <c r="BQ169" s="222"/>
      <c r="BR169" s="222"/>
      <c r="BS169" s="222"/>
      <c r="BT169" s="222"/>
      <c r="BU169" s="222"/>
      <c r="BV169" s="222"/>
      <c r="BW169" s="222"/>
      <c r="BX169" s="222"/>
      <c r="BY169" s="222"/>
      <c r="BZ169" s="222"/>
      <c r="CA169" s="222"/>
      <c r="CB169" s="222"/>
      <c r="CC169" s="222"/>
      <c r="CD169" s="222"/>
      <c r="CE169" s="222"/>
      <c r="CF169" s="222"/>
      <c r="CG169" s="222"/>
      <c r="CH169" s="222"/>
      <c r="CI169" s="222"/>
      <c r="CJ169" s="222"/>
      <c r="CK169" s="222"/>
      <c r="CL169" s="222"/>
      <c r="CM169" s="222"/>
      <c r="CN169" s="222"/>
      <c r="CO169" s="222"/>
      <c r="CP169" s="222"/>
      <c r="CQ169" s="222"/>
      <c r="CR169" s="222"/>
      <c r="CS169" s="222"/>
      <c r="CT169" s="222"/>
      <c r="CU169" s="222"/>
      <c r="CV169" s="222"/>
      <c r="CW169" s="222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2"/>
      <c r="DI169" s="222"/>
      <c r="DJ169" s="222"/>
      <c r="DK169" s="222"/>
      <c r="DL169" s="222"/>
      <c r="DM169" s="222"/>
      <c r="DN169" s="222"/>
      <c r="DO169" s="222"/>
      <c r="DP169" s="222"/>
      <c r="DQ169" s="222"/>
      <c r="DR169" s="222"/>
      <c r="DS169" s="222"/>
      <c r="DT169" s="222"/>
      <c r="DU169" s="222"/>
      <c r="DV169" s="222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</row>
    <row r="170" spans="1:138" hidden="1">
      <c r="A170" s="222"/>
      <c r="B170" s="318"/>
      <c r="C170" s="323" t="s">
        <v>300</v>
      </c>
      <c r="D170" s="324">
        <f>-MIN(M168:BL168)-D171</f>
        <v>5341205.5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  <c r="BQ170" s="222"/>
      <c r="BR170" s="222"/>
      <c r="BS170" s="222"/>
      <c r="BT170" s="222"/>
      <c r="BU170" s="222"/>
      <c r="BV170" s="222"/>
      <c r="BW170" s="222"/>
      <c r="BX170" s="222"/>
      <c r="BY170" s="222"/>
      <c r="BZ170" s="222"/>
      <c r="CA170" s="222"/>
      <c r="CB170" s="222"/>
      <c r="CC170" s="222"/>
      <c r="CD170" s="222"/>
      <c r="CE170" s="222"/>
      <c r="CF170" s="222"/>
      <c r="CG170" s="222"/>
      <c r="CH170" s="222"/>
      <c r="CI170" s="222"/>
      <c r="CJ170" s="222"/>
      <c r="CK170" s="222"/>
      <c r="CL170" s="222"/>
      <c r="CM170" s="222"/>
      <c r="CN170" s="222"/>
      <c r="CO170" s="222"/>
      <c r="CP170" s="222"/>
      <c r="CQ170" s="222"/>
      <c r="CR170" s="222"/>
      <c r="CS170" s="222"/>
      <c r="CT170" s="222"/>
      <c r="CU170" s="222"/>
      <c r="CV170" s="222"/>
      <c r="CW170" s="222"/>
      <c r="CX170" s="222"/>
      <c r="CY170" s="222"/>
      <c r="CZ170" s="222"/>
      <c r="DA170" s="222"/>
      <c r="DB170" s="222"/>
      <c r="DC170" s="222"/>
      <c r="DD170" s="222"/>
      <c r="DE170" s="222"/>
      <c r="DF170" s="222"/>
      <c r="DG170" s="222"/>
      <c r="DH170" s="222"/>
      <c r="DI170" s="222"/>
      <c r="DJ170" s="222"/>
      <c r="DK170" s="222"/>
      <c r="DL170" s="222"/>
      <c r="DM170" s="222"/>
      <c r="DN170" s="222"/>
      <c r="DO170" s="222"/>
      <c r="DP170" s="222"/>
      <c r="DQ170" s="222"/>
      <c r="DR170" s="222"/>
      <c r="DS170" s="222"/>
      <c r="DT170" s="222"/>
      <c r="DU170" s="222"/>
      <c r="DV170" s="222"/>
      <c r="DW170" s="325"/>
      <c r="DX170" s="325"/>
      <c r="DY170" s="325"/>
      <c r="DZ170" s="325"/>
      <c r="EA170" s="325"/>
      <c r="EB170" s="325"/>
      <c r="EC170" s="325"/>
      <c r="ED170" s="325"/>
      <c r="EE170" s="325"/>
      <c r="EF170" s="325"/>
      <c r="EG170" s="325"/>
      <c r="EH170" s="325"/>
    </row>
    <row r="171" spans="1:138" hidden="1">
      <c r="A171" s="222"/>
      <c r="B171" s="318"/>
      <c r="C171" s="323" t="s">
        <v>301</v>
      </c>
      <c r="D171" s="324">
        <f>-SUM(M166:BB166)</f>
        <v>0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  <c r="BQ171" s="222"/>
      <c r="BR171" s="222"/>
      <c r="BS171" s="222"/>
      <c r="BT171" s="222"/>
      <c r="BU171" s="222"/>
      <c r="BV171" s="222"/>
      <c r="BW171" s="222"/>
      <c r="BX171" s="222"/>
      <c r="BY171" s="222"/>
      <c r="BZ171" s="222"/>
      <c r="CA171" s="222"/>
      <c r="CB171" s="222"/>
      <c r="CC171" s="222"/>
      <c r="CD171" s="222"/>
      <c r="CE171" s="222"/>
      <c r="CF171" s="222"/>
      <c r="CG171" s="222"/>
      <c r="CH171" s="222"/>
      <c r="CI171" s="222"/>
      <c r="CJ171" s="222"/>
      <c r="CK171" s="222"/>
      <c r="CL171" s="222"/>
      <c r="CM171" s="222"/>
      <c r="CN171" s="222"/>
      <c r="CO171" s="222"/>
      <c r="CP171" s="222"/>
      <c r="CQ171" s="222"/>
      <c r="CR171" s="222"/>
      <c r="CS171" s="222"/>
      <c r="CT171" s="222"/>
      <c r="CU171" s="222"/>
      <c r="CV171" s="222"/>
      <c r="CW171" s="222"/>
      <c r="CX171" s="222"/>
      <c r="CY171" s="222"/>
      <c r="CZ171" s="222"/>
      <c r="DA171" s="222"/>
      <c r="DB171" s="222"/>
      <c r="DC171" s="222"/>
      <c r="DD171" s="222"/>
      <c r="DE171" s="222"/>
      <c r="DF171" s="222"/>
      <c r="DG171" s="222"/>
      <c r="DH171" s="222"/>
      <c r="DI171" s="222"/>
      <c r="DJ171" s="222"/>
      <c r="DK171" s="222"/>
      <c r="DL171" s="222"/>
      <c r="DM171" s="222"/>
      <c r="DN171" s="222"/>
      <c r="DO171" s="222"/>
      <c r="DP171" s="222"/>
      <c r="DQ171" s="222"/>
      <c r="DR171" s="222"/>
      <c r="DS171" s="222"/>
      <c r="DT171" s="222"/>
      <c r="DU171" s="222"/>
      <c r="DV171" s="222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</row>
    <row r="172" spans="1:138" hidden="1">
      <c r="A172" s="222"/>
      <c r="B172" s="318"/>
      <c r="C172" s="313" t="s">
        <v>302</v>
      </c>
      <c r="D172" s="326">
        <f>D171+D170</f>
        <v>5341205.5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  <c r="BQ172" s="222"/>
      <c r="BR172" s="222"/>
      <c r="BS172" s="222"/>
      <c r="BT172" s="222"/>
      <c r="BU172" s="222"/>
      <c r="BV172" s="222"/>
      <c r="BW172" s="222"/>
      <c r="BX172" s="222"/>
      <c r="BY172" s="222"/>
      <c r="BZ172" s="222"/>
      <c r="CA172" s="222"/>
      <c r="CB172" s="222"/>
      <c r="CC172" s="222"/>
      <c r="CD172" s="222"/>
      <c r="CE172" s="222"/>
      <c r="CF172" s="222"/>
      <c r="CG172" s="222"/>
      <c r="CH172" s="222"/>
      <c r="CI172" s="222"/>
      <c r="CJ172" s="222"/>
      <c r="CK172" s="222"/>
      <c r="CL172" s="222"/>
      <c r="CM172" s="222"/>
      <c r="CN172" s="222"/>
      <c r="CO172" s="222"/>
      <c r="CP172" s="222"/>
      <c r="CQ172" s="222"/>
      <c r="CR172" s="222"/>
      <c r="CS172" s="222"/>
      <c r="CT172" s="222"/>
      <c r="CU172" s="222"/>
      <c r="CV172" s="222"/>
      <c r="CW172" s="222"/>
      <c r="CX172" s="222"/>
      <c r="CY172" s="222"/>
      <c r="CZ172" s="222"/>
      <c r="DA172" s="222"/>
      <c r="DB172" s="222"/>
      <c r="DC172" s="222"/>
      <c r="DD172" s="222"/>
      <c r="DE172" s="222"/>
      <c r="DF172" s="222"/>
      <c r="DG172" s="222"/>
      <c r="DH172" s="222"/>
      <c r="DI172" s="222"/>
      <c r="DJ172" s="222"/>
      <c r="DK172" s="222"/>
      <c r="DL172" s="222"/>
      <c r="DM172" s="222"/>
      <c r="DN172" s="222"/>
      <c r="DO172" s="222"/>
      <c r="DP172" s="222"/>
      <c r="DQ172" s="222"/>
      <c r="DR172" s="222"/>
      <c r="DS172" s="222"/>
      <c r="DT172" s="222"/>
      <c r="DU172" s="222"/>
      <c r="DV172" s="222"/>
      <c r="DW172" s="325"/>
      <c r="DX172" s="325"/>
      <c r="DY172" s="325"/>
      <c r="DZ172" s="325"/>
      <c r="EA172" s="325"/>
      <c r="EB172" s="325"/>
      <c r="EC172" s="325"/>
      <c r="ED172" s="325"/>
      <c r="EE172" s="325"/>
      <c r="EF172" s="325"/>
      <c r="EG172" s="325"/>
      <c r="EH172" s="325"/>
    </row>
    <row r="173" spans="1:138" hidden="1">
      <c r="A173" s="222"/>
      <c r="B173" s="318"/>
      <c r="C173" s="313" t="s">
        <v>303</v>
      </c>
      <c r="D173" s="326" t="e">
        <f>BX164+BX165</f>
        <v>#VALUE!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/>
      <c r="BX173" s="222"/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  <c r="CJ173" s="222"/>
      <c r="CK173" s="222"/>
      <c r="CL173" s="222"/>
      <c r="CM173" s="222"/>
      <c r="CN173" s="222"/>
      <c r="CO173" s="222"/>
      <c r="CP173" s="222"/>
      <c r="CQ173" s="222"/>
      <c r="CR173" s="222"/>
      <c r="CS173" s="222"/>
      <c r="CT173" s="222"/>
      <c r="CU173" s="222"/>
      <c r="CV173" s="222"/>
      <c r="CW173" s="222"/>
      <c r="CX173" s="222"/>
      <c r="CY173" s="222"/>
      <c r="CZ173" s="222"/>
      <c r="DA173" s="222"/>
      <c r="DB173" s="222"/>
      <c r="DC173" s="222"/>
      <c r="DD173" s="222"/>
      <c r="DE173" s="222"/>
      <c r="DF173" s="222"/>
      <c r="DG173" s="222"/>
      <c r="DH173" s="222"/>
      <c r="DI173" s="222"/>
      <c r="DJ173" s="222"/>
      <c r="DK173" s="222"/>
      <c r="DL173" s="222"/>
      <c r="DM173" s="222"/>
      <c r="DN173" s="222"/>
      <c r="DO173" s="222"/>
      <c r="DP173" s="222"/>
      <c r="DQ173" s="222"/>
      <c r="DR173" s="222"/>
      <c r="DS173" s="222"/>
      <c r="DT173" s="222"/>
      <c r="DU173" s="222"/>
      <c r="DV173" s="222"/>
      <c r="DW173" s="325"/>
      <c r="DX173" s="325"/>
      <c r="DY173" s="325"/>
      <c r="DZ173" s="325"/>
      <c r="EA173" s="325"/>
      <c r="EB173" s="325"/>
      <c r="EC173" s="325"/>
      <c r="ED173" s="325"/>
      <c r="EE173" s="325"/>
      <c r="EF173" s="325"/>
      <c r="EG173" s="325"/>
      <c r="EH173" s="325"/>
    </row>
    <row r="174" spans="1:138" hidden="1">
      <c r="A174" s="222"/>
      <c r="B174" s="318"/>
      <c r="C174" s="313" t="s">
        <v>147</v>
      </c>
      <c r="D174" s="322">
        <f>T165/T162</f>
        <v>0.51486504310684167</v>
      </c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  <c r="BQ174" s="222"/>
      <c r="BR174" s="222"/>
      <c r="BS174" s="222"/>
      <c r="BT174" s="222"/>
      <c r="BU174" s="222"/>
      <c r="BV174" s="222"/>
      <c r="BW174" s="222"/>
      <c r="BX174" s="222"/>
      <c r="BY174" s="222"/>
      <c r="BZ174" s="222"/>
      <c r="CA174" s="222"/>
      <c r="CB174" s="222"/>
      <c r="CC174" s="222"/>
      <c r="CD174" s="222"/>
      <c r="CE174" s="222"/>
      <c r="CF174" s="222"/>
      <c r="CG174" s="222"/>
      <c r="CH174" s="222"/>
      <c r="CI174" s="222"/>
      <c r="CJ174" s="222"/>
      <c r="CK174" s="222"/>
      <c r="CL174" s="222"/>
      <c r="CM174" s="222"/>
      <c r="CN174" s="222"/>
      <c r="CO174" s="222"/>
      <c r="CP174" s="222"/>
      <c r="CQ174" s="222"/>
      <c r="CR174" s="222"/>
      <c r="CS174" s="222"/>
      <c r="CT174" s="222"/>
      <c r="CU174" s="222"/>
      <c r="CV174" s="222"/>
      <c r="CW174" s="222"/>
      <c r="CX174" s="222"/>
      <c r="CY174" s="222"/>
      <c r="CZ174" s="222"/>
      <c r="DA174" s="222"/>
      <c r="DB174" s="222"/>
      <c r="DC174" s="222"/>
      <c r="DD174" s="222"/>
      <c r="DE174" s="222"/>
      <c r="DF174" s="222"/>
      <c r="DG174" s="222"/>
      <c r="DH174" s="222"/>
      <c r="DI174" s="222"/>
      <c r="DJ174" s="222"/>
      <c r="DK174" s="222"/>
      <c r="DL174" s="222"/>
      <c r="DM174" s="222"/>
      <c r="DN174" s="222"/>
      <c r="DO174" s="222"/>
      <c r="DP174" s="222"/>
      <c r="DQ174" s="222"/>
      <c r="DR174" s="222"/>
      <c r="DS174" s="222"/>
      <c r="DT174" s="222"/>
      <c r="DU174" s="222"/>
      <c r="DV174" s="222"/>
      <c r="DW174" s="325"/>
      <c r="DX174" s="325"/>
      <c r="DY174" s="325"/>
      <c r="DZ174" s="325"/>
      <c r="EA174" s="325"/>
      <c r="EB174" s="325"/>
      <c r="EC174" s="325"/>
      <c r="ED174" s="325"/>
      <c r="EE174" s="325"/>
      <c r="EF174" s="325"/>
      <c r="EG174" s="325"/>
      <c r="EH174" s="325"/>
    </row>
    <row r="175" spans="1:138" hidden="1">
      <c r="A175" s="222"/>
      <c r="B175" s="318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  <c r="BQ175" s="222"/>
      <c r="BR175" s="222"/>
      <c r="BS175" s="222"/>
      <c r="BT175" s="222"/>
      <c r="BU175" s="222"/>
      <c r="BV175" s="222"/>
      <c r="BW175" s="222"/>
      <c r="BX175" s="222"/>
      <c r="BY175" s="222"/>
      <c r="BZ175" s="222"/>
      <c r="CA175" s="222"/>
      <c r="CB175" s="222"/>
      <c r="CC175" s="222"/>
      <c r="CD175" s="222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2"/>
      <c r="CV175" s="222"/>
      <c r="CW175" s="222"/>
      <c r="CX175" s="222"/>
      <c r="CY175" s="222"/>
      <c r="CZ175" s="222"/>
      <c r="DA175" s="222"/>
      <c r="DB175" s="222"/>
      <c r="DC175" s="222"/>
      <c r="DD175" s="222"/>
      <c r="DE175" s="222"/>
      <c r="DF175" s="222"/>
      <c r="DG175" s="222"/>
      <c r="DH175" s="222"/>
      <c r="DI175" s="222"/>
      <c r="DJ175" s="222"/>
      <c r="DK175" s="222"/>
      <c r="DL175" s="222"/>
      <c r="DM175" s="222"/>
      <c r="DN175" s="222"/>
      <c r="DO175" s="222"/>
      <c r="DP175" s="222"/>
      <c r="DQ175" s="222"/>
      <c r="DR175" s="222"/>
      <c r="DS175" s="222"/>
      <c r="DT175" s="222"/>
      <c r="DU175" s="222"/>
      <c r="DV175" s="222"/>
      <c r="DW175" s="325"/>
      <c r="DX175" s="325"/>
      <c r="DY175" s="325"/>
      <c r="DZ175" s="325"/>
      <c r="EA175" s="325"/>
      <c r="EB175" s="325"/>
      <c r="EC175" s="325"/>
      <c r="ED175" s="325"/>
      <c r="EE175" s="325"/>
      <c r="EF175" s="325"/>
      <c r="EG175" s="325"/>
      <c r="EH175" s="325"/>
    </row>
    <row r="176" spans="1:138" hidden="1">
      <c r="A176" s="222"/>
      <c r="B176" s="318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2"/>
      <c r="BN176" s="222"/>
      <c r="BO176" s="222"/>
      <c r="BP176" s="222"/>
      <c r="BQ176" s="222"/>
      <c r="BR176" s="222"/>
      <c r="BS176" s="222"/>
      <c r="BT176" s="222"/>
      <c r="BU176" s="222"/>
      <c r="BV176" s="222"/>
      <c r="BW176" s="222"/>
      <c r="BX176" s="222"/>
      <c r="BY176" s="222"/>
      <c r="BZ176" s="222"/>
      <c r="CA176" s="222"/>
      <c r="CB176" s="222"/>
      <c r="CC176" s="222"/>
      <c r="CD176" s="222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2"/>
      <c r="CV176" s="222"/>
      <c r="CW176" s="222"/>
      <c r="CX176" s="222"/>
      <c r="CY176" s="222"/>
      <c r="CZ176" s="222"/>
      <c r="DA176" s="222"/>
      <c r="DB176" s="222"/>
      <c r="DC176" s="222"/>
      <c r="DD176" s="222"/>
      <c r="DE176" s="222"/>
      <c r="DF176" s="222"/>
      <c r="DG176" s="222"/>
      <c r="DH176" s="222"/>
      <c r="DI176" s="222"/>
      <c r="DJ176" s="222"/>
      <c r="DK176" s="222"/>
      <c r="DL176" s="222"/>
      <c r="DM176" s="222"/>
      <c r="DN176" s="222"/>
      <c r="DO176" s="222"/>
      <c r="DP176" s="222"/>
      <c r="DQ176" s="222"/>
      <c r="DR176" s="222"/>
      <c r="DS176" s="222"/>
      <c r="DT176" s="222"/>
      <c r="DU176" s="222"/>
      <c r="DV176" s="222"/>
      <c r="DW176" s="325"/>
      <c r="DX176" s="325"/>
      <c r="DY176" s="325"/>
      <c r="DZ176" s="325"/>
      <c r="EA176" s="325"/>
      <c r="EB176" s="325"/>
      <c r="EC176" s="325"/>
      <c r="ED176" s="325"/>
      <c r="EE176" s="325"/>
      <c r="EF176" s="325"/>
      <c r="EG176" s="325"/>
      <c r="EH176" s="325"/>
    </row>
    <row r="177" spans="1:138" hidden="1">
      <c r="A177" s="222"/>
      <c r="B177" s="318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2"/>
      <c r="BN177" s="222"/>
      <c r="BO177" s="222"/>
      <c r="BP177" s="222"/>
      <c r="BQ177" s="222"/>
      <c r="BR177" s="222"/>
      <c r="BS177" s="222"/>
      <c r="BT177" s="222"/>
      <c r="BU177" s="222"/>
      <c r="BV177" s="222"/>
      <c r="BW177" s="222"/>
      <c r="BX177" s="222"/>
      <c r="BY177" s="222"/>
      <c r="BZ177" s="222"/>
      <c r="CA177" s="222"/>
      <c r="CB177" s="222"/>
      <c r="CC177" s="222"/>
      <c r="CD177" s="222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2"/>
      <c r="CV177" s="222"/>
      <c r="CW177" s="222"/>
      <c r="CX177" s="222"/>
      <c r="CY177" s="222"/>
      <c r="CZ177" s="222"/>
      <c r="DA177" s="222"/>
      <c r="DB177" s="222"/>
      <c r="DC177" s="222"/>
      <c r="DD177" s="222"/>
      <c r="DE177" s="222"/>
      <c r="DF177" s="222"/>
      <c r="DG177" s="222"/>
      <c r="DH177" s="222"/>
      <c r="DI177" s="222"/>
      <c r="DJ177" s="222"/>
      <c r="DK177" s="222"/>
      <c r="DL177" s="222"/>
      <c r="DM177" s="222"/>
      <c r="DN177" s="222"/>
      <c r="DO177" s="222"/>
      <c r="DP177" s="222"/>
      <c r="DQ177" s="222"/>
      <c r="DR177" s="222"/>
      <c r="DS177" s="222"/>
      <c r="DT177" s="222"/>
      <c r="DU177" s="222"/>
      <c r="DV177" s="222"/>
      <c r="DW177" s="325"/>
      <c r="DX177" s="325"/>
      <c r="DY177" s="325"/>
      <c r="DZ177" s="325"/>
      <c r="EA177" s="325"/>
      <c r="EB177" s="325"/>
      <c r="EC177" s="325"/>
      <c r="ED177" s="325"/>
      <c r="EE177" s="325"/>
      <c r="EF177" s="325"/>
      <c r="EG177" s="325"/>
      <c r="EH177" s="325"/>
    </row>
    <row r="178" spans="1:138" hidden="1">
      <c r="A178" s="222"/>
      <c r="B178" s="318"/>
      <c r="C178" s="310" t="s">
        <v>309</v>
      </c>
      <c r="D178" s="311"/>
      <c r="E178" s="312">
        <f t="shared" ref="E178:G178" si="57">-(E8+E94)</f>
        <v>0</v>
      </c>
      <c r="F178" s="312">
        <f t="shared" si="57"/>
        <v>0</v>
      </c>
      <c r="G178" s="312">
        <f t="shared" si="57"/>
        <v>0</v>
      </c>
      <c r="H178" s="311">
        <f>-5341205.5</f>
        <v>-5341205.5</v>
      </c>
      <c r="I178" s="311">
        <v>0</v>
      </c>
      <c r="J178" s="311">
        <v>0</v>
      </c>
      <c r="K178" s="311">
        <v>0</v>
      </c>
      <c r="L178" s="311">
        <v>0</v>
      </c>
      <c r="M178" s="311">
        <v>0</v>
      </c>
      <c r="N178" s="311">
        <v>0</v>
      </c>
      <c r="O178" s="311">
        <v>0</v>
      </c>
      <c r="P178" s="311">
        <v>0</v>
      </c>
      <c r="Q178" s="311">
        <v>0</v>
      </c>
      <c r="R178" s="311">
        <v>0</v>
      </c>
      <c r="S178" s="311">
        <v>0</v>
      </c>
      <c r="T178" s="311">
        <f>5341205.5</f>
        <v>5341205.5</v>
      </c>
      <c r="U178" s="312">
        <f t="shared" ref="U178:BX178" si="58">-(U8+U94)</f>
        <v>0</v>
      </c>
      <c r="V178" s="312">
        <f t="shared" si="58"/>
        <v>0</v>
      </c>
      <c r="W178" s="312">
        <f t="shared" si="58"/>
        <v>0</v>
      </c>
      <c r="X178" s="312">
        <f t="shared" si="58"/>
        <v>0</v>
      </c>
      <c r="Y178" s="312">
        <f t="shared" si="58"/>
        <v>0</v>
      </c>
      <c r="Z178" s="312">
        <f t="shared" si="58"/>
        <v>0</v>
      </c>
      <c r="AA178" s="312">
        <f t="shared" si="58"/>
        <v>0</v>
      </c>
      <c r="AB178" s="312">
        <f t="shared" si="58"/>
        <v>0</v>
      </c>
      <c r="AC178" s="312">
        <f t="shared" si="58"/>
        <v>0</v>
      </c>
      <c r="AD178" s="312">
        <f t="shared" si="58"/>
        <v>0</v>
      </c>
      <c r="AE178" s="312">
        <f t="shared" si="58"/>
        <v>0</v>
      </c>
      <c r="AF178" s="312">
        <f t="shared" si="58"/>
        <v>0</v>
      </c>
      <c r="AG178" s="312">
        <f t="shared" si="58"/>
        <v>0</v>
      </c>
      <c r="AH178" s="312">
        <f t="shared" si="58"/>
        <v>0</v>
      </c>
      <c r="AI178" s="312">
        <f t="shared" si="58"/>
        <v>0</v>
      </c>
      <c r="AJ178" s="312">
        <f t="shared" si="58"/>
        <v>0</v>
      </c>
      <c r="AK178" s="312">
        <f t="shared" si="58"/>
        <v>0</v>
      </c>
      <c r="AL178" s="312">
        <f t="shared" si="58"/>
        <v>0</v>
      </c>
      <c r="AM178" s="312">
        <f t="shared" si="58"/>
        <v>0</v>
      </c>
      <c r="AN178" s="312">
        <f t="shared" si="58"/>
        <v>0</v>
      </c>
      <c r="AO178" s="312">
        <f t="shared" si="58"/>
        <v>0</v>
      </c>
      <c r="AP178" s="312">
        <f t="shared" si="58"/>
        <v>0</v>
      </c>
      <c r="AQ178" s="312">
        <f t="shared" si="58"/>
        <v>0</v>
      </c>
      <c r="AR178" s="312">
        <f t="shared" si="58"/>
        <v>0</v>
      </c>
      <c r="AS178" s="312">
        <f t="shared" si="58"/>
        <v>0</v>
      </c>
      <c r="AT178" s="312">
        <f t="shared" si="58"/>
        <v>0</v>
      </c>
      <c r="AU178" s="312">
        <f t="shared" si="58"/>
        <v>0</v>
      </c>
      <c r="AV178" s="312">
        <f t="shared" si="58"/>
        <v>0</v>
      </c>
      <c r="AW178" s="312">
        <f t="shared" si="58"/>
        <v>0</v>
      </c>
      <c r="AX178" s="312">
        <f t="shared" si="58"/>
        <v>0</v>
      </c>
      <c r="AY178" s="312">
        <f t="shared" si="58"/>
        <v>0</v>
      </c>
      <c r="AZ178" s="312">
        <f t="shared" si="58"/>
        <v>0</v>
      </c>
      <c r="BA178" s="312">
        <f t="shared" si="58"/>
        <v>0</v>
      </c>
      <c r="BB178" s="312">
        <f t="shared" si="58"/>
        <v>0</v>
      </c>
      <c r="BC178" s="312">
        <f t="shared" si="58"/>
        <v>0</v>
      </c>
      <c r="BD178" s="312">
        <f t="shared" si="58"/>
        <v>0</v>
      </c>
      <c r="BE178" s="312">
        <f t="shared" si="58"/>
        <v>0</v>
      </c>
      <c r="BF178" s="312">
        <f t="shared" si="58"/>
        <v>0</v>
      </c>
      <c r="BG178" s="312">
        <f t="shared" si="58"/>
        <v>0</v>
      </c>
      <c r="BH178" s="312">
        <f t="shared" si="58"/>
        <v>0</v>
      </c>
      <c r="BI178" s="312">
        <f t="shared" si="58"/>
        <v>0</v>
      </c>
      <c r="BJ178" s="312">
        <f t="shared" si="58"/>
        <v>0</v>
      </c>
      <c r="BK178" s="312">
        <f t="shared" si="58"/>
        <v>0</v>
      </c>
      <c r="BL178" s="312">
        <f t="shared" si="58"/>
        <v>0</v>
      </c>
      <c r="BM178" s="312">
        <f t="shared" si="58"/>
        <v>0</v>
      </c>
      <c r="BN178" s="312">
        <f t="shared" si="58"/>
        <v>0</v>
      </c>
      <c r="BO178" s="312">
        <f t="shared" si="58"/>
        <v>0</v>
      </c>
      <c r="BP178" s="312">
        <f t="shared" si="58"/>
        <v>0</v>
      </c>
      <c r="BQ178" s="312">
        <f t="shared" si="58"/>
        <v>0</v>
      </c>
      <c r="BR178" s="312">
        <f t="shared" si="58"/>
        <v>0</v>
      </c>
      <c r="BS178" s="312">
        <f t="shared" si="58"/>
        <v>0</v>
      </c>
      <c r="BT178" s="312">
        <f t="shared" si="58"/>
        <v>0</v>
      </c>
      <c r="BU178" s="312">
        <f t="shared" si="58"/>
        <v>0</v>
      </c>
      <c r="BV178" s="312">
        <f t="shared" si="58"/>
        <v>0</v>
      </c>
      <c r="BW178" s="312">
        <f t="shared" si="58"/>
        <v>0</v>
      </c>
      <c r="BX178" s="312">
        <f t="shared" si="58"/>
        <v>0</v>
      </c>
      <c r="BY178" s="222"/>
      <c r="BZ178" s="222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  <c r="CP178" s="222"/>
      <c r="CQ178" s="222"/>
      <c r="CR178" s="222"/>
      <c r="CS178" s="222"/>
      <c r="CT178" s="222"/>
      <c r="CU178" s="222"/>
      <c r="CV178" s="222"/>
      <c r="CW178" s="222"/>
      <c r="CX178" s="222"/>
      <c r="CY178" s="222"/>
      <c r="CZ178" s="222"/>
      <c r="DA178" s="222"/>
      <c r="DB178" s="222"/>
      <c r="DC178" s="222"/>
      <c r="DD178" s="222"/>
      <c r="DE178" s="222"/>
      <c r="DF178" s="222"/>
      <c r="DG178" s="222"/>
      <c r="DH178" s="222"/>
      <c r="DI178" s="222"/>
      <c r="DJ178" s="222"/>
      <c r="DK178" s="222"/>
      <c r="DL178" s="222"/>
      <c r="DM178" s="222"/>
      <c r="DN178" s="222"/>
      <c r="DO178" s="222"/>
      <c r="DP178" s="222"/>
      <c r="DQ178" s="222"/>
      <c r="DR178" s="222"/>
      <c r="DS178" s="222"/>
      <c r="DT178" s="222"/>
      <c r="DU178" s="222"/>
      <c r="DV178" s="222"/>
      <c r="DW178" s="222"/>
      <c r="DX178" s="222"/>
      <c r="DY178" s="222"/>
      <c r="DZ178" s="222"/>
      <c r="EA178" s="222"/>
      <c r="EB178" s="222"/>
      <c r="EC178" s="222"/>
      <c r="ED178" s="222"/>
      <c r="EE178" s="222"/>
      <c r="EF178" s="222"/>
      <c r="EG178" s="222"/>
      <c r="EH178" s="222"/>
    </row>
    <row r="179" spans="1:138" hidden="1">
      <c r="A179" s="222"/>
      <c r="B179" s="318"/>
      <c r="C179" s="310" t="s">
        <v>305</v>
      </c>
      <c r="D179" s="319"/>
      <c r="E179" s="311"/>
      <c r="F179" s="311"/>
      <c r="G179" s="311"/>
      <c r="H179" s="311"/>
      <c r="I179" s="311"/>
      <c r="J179" s="311"/>
      <c r="K179" s="311"/>
      <c r="L179" s="311"/>
      <c r="M179" s="311"/>
      <c r="N179" s="311"/>
      <c r="O179" s="311"/>
      <c r="P179" s="311"/>
      <c r="Q179" s="311"/>
      <c r="R179" s="311"/>
      <c r="S179" s="311"/>
      <c r="T179" s="311"/>
      <c r="U179" s="311"/>
      <c r="V179" s="311"/>
      <c r="W179" s="311"/>
      <c r="X179" s="311"/>
      <c r="Y179" s="311"/>
      <c r="Z179" s="311"/>
      <c r="AA179" s="311"/>
      <c r="AB179" s="311"/>
      <c r="AC179" s="311"/>
      <c r="AD179" s="311"/>
      <c r="AE179" s="311"/>
      <c r="AF179" s="311"/>
      <c r="AG179" s="311"/>
      <c r="AH179" s="311"/>
      <c r="AI179" s="311"/>
      <c r="AJ179" s="311"/>
      <c r="AK179" s="311"/>
      <c r="AL179" s="311"/>
      <c r="AM179" s="311"/>
      <c r="AN179" s="311"/>
      <c r="AO179" s="311"/>
      <c r="AP179" s="311"/>
      <c r="AQ179" s="311"/>
      <c r="AR179" s="311"/>
      <c r="AS179" s="311"/>
      <c r="AT179" s="311"/>
      <c r="AU179" s="311"/>
      <c r="AV179" s="311"/>
      <c r="AW179" s="311"/>
      <c r="AX179" s="311"/>
      <c r="AY179" s="311"/>
      <c r="AZ179" s="311"/>
      <c r="BA179" s="311"/>
      <c r="BB179" s="311"/>
      <c r="BC179" s="312"/>
      <c r="BD179" s="311"/>
      <c r="BE179" s="311"/>
      <c r="BF179" s="311"/>
      <c r="BG179" s="311"/>
      <c r="BH179" s="311"/>
      <c r="BI179" s="311"/>
      <c r="BJ179" s="311"/>
      <c r="BK179" s="311"/>
      <c r="BL179" s="311"/>
      <c r="BM179" s="311"/>
      <c r="BN179" s="311"/>
      <c r="BO179" s="311"/>
      <c r="BP179" s="311"/>
      <c r="BQ179" s="311"/>
      <c r="BR179" s="311"/>
      <c r="BS179" s="311"/>
      <c r="BT179" s="311"/>
      <c r="BU179" s="311"/>
      <c r="BV179" s="311"/>
      <c r="BW179" s="311"/>
      <c r="BX179" s="311"/>
      <c r="BY179" s="307"/>
      <c r="BZ179" s="307"/>
      <c r="CA179" s="222"/>
      <c r="CB179" s="222"/>
      <c r="CC179" s="222"/>
      <c r="CD179" s="222"/>
      <c r="CE179" s="222"/>
      <c r="CF179" s="222"/>
      <c r="CG179" s="222"/>
      <c r="CH179" s="222"/>
      <c r="CI179" s="222"/>
      <c r="CJ179" s="222"/>
      <c r="CK179" s="222"/>
      <c r="CL179" s="222"/>
      <c r="CM179" s="222"/>
      <c r="CN179" s="222"/>
      <c r="CO179" s="222"/>
      <c r="CP179" s="222"/>
      <c r="CQ179" s="222"/>
      <c r="CR179" s="222"/>
      <c r="CS179" s="222"/>
      <c r="CT179" s="222"/>
      <c r="CU179" s="222"/>
      <c r="CV179" s="222"/>
      <c r="CW179" s="222"/>
      <c r="CX179" s="222"/>
      <c r="CY179" s="222"/>
      <c r="CZ179" s="222"/>
      <c r="DA179" s="222"/>
      <c r="DB179" s="222"/>
      <c r="DC179" s="222"/>
      <c r="DD179" s="222"/>
      <c r="DE179" s="222"/>
      <c r="DF179" s="222"/>
      <c r="DG179" s="222"/>
      <c r="DH179" s="222"/>
      <c r="DI179" s="222"/>
      <c r="DJ179" s="222"/>
      <c r="DK179" s="222"/>
      <c r="DL179" s="222"/>
      <c r="DM179" s="222"/>
      <c r="DN179" s="222"/>
      <c r="DO179" s="222"/>
      <c r="DP179" s="222"/>
      <c r="DQ179" s="222"/>
      <c r="DR179" s="222"/>
      <c r="DS179" s="222"/>
      <c r="DT179" s="222"/>
      <c r="DU179" s="222"/>
      <c r="DV179" s="222"/>
      <c r="DW179" s="222"/>
      <c r="DX179" s="222"/>
      <c r="DY179" s="222"/>
      <c r="DZ179" s="222"/>
      <c r="EA179" s="222"/>
      <c r="EB179" s="222"/>
      <c r="EC179" s="222"/>
      <c r="ED179" s="222"/>
      <c r="EE179" s="222"/>
      <c r="EF179" s="222"/>
      <c r="EG179" s="222"/>
      <c r="EH179" s="222"/>
    </row>
    <row r="180" spans="1:138" hidden="1">
      <c r="A180" s="222"/>
      <c r="B180" s="318"/>
      <c r="C180" s="310" t="s">
        <v>296</v>
      </c>
      <c r="D180" s="319"/>
      <c r="E180" s="311">
        <f t="shared" ref="E180:G180" si="59">-E59</f>
        <v>0</v>
      </c>
      <c r="F180" s="311">
        <f t="shared" si="59"/>
        <v>0</v>
      </c>
      <c r="G180" s="311">
        <f t="shared" si="59"/>
        <v>0</v>
      </c>
      <c r="H180" s="311">
        <f t="shared" ref="H180:T180" si="60">-H74</f>
        <v>0</v>
      </c>
      <c r="I180" s="311">
        <f t="shared" si="60"/>
        <v>0</v>
      </c>
      <c r="J180" s="311">
        <f t="shared" si="60"/>
        <v>0</v>
      </c>
      <c r="K180" s="311">
        <f t="shared" si="60"/>
        <v>0</v>
      </c>
      <c r="L180" s="311">
        <f t="shared" si="60"/>
        <v>0</v>
      </c>
      <c r="M180" s="311">
        <f t="shared" si="60"/>
        <v>0</v>
      </c>
      <c r="N180" s="311">
        <f t="shared" si="60"/>
        <v>0</v>
      </c>
      <c r="O180" s="311">
        <f t="shared" si="60"/>
        <v>0</v>
      </c>
      <c r="P180" s="311">
        <f t="shared" si="60"/>
        <v>0</v>
      </c>
      <c r="Q180" s="311">
        <f t="shared" si="60"/>
        <v>0</v>
      </c>
      <c r="R180" s="311">
        <f t="shared" si="60"/>
        <v>0</v>
      </c>
      <c r="S180" s="311">
        <f t="shared" si="60"/>
        <v>0</v>
      </c>
      <c r="T180" s="311">
        <f t="shared" si="60"/>
        <v>0</v>
      </c>
      <c r="U180" s="311">
        <f t="shared" ref="U180:BX180" si="61">-U59</f>
        <v>0</v>
      </c>
      <c r="V180" s="311">
        <f t="shared" si="61"/>
        <v>0</v>
      </c>
      <c r="W180" s="311">
        <f t="shared" si="61"/>
        <v>0</v>
      </c>
      <c r="X180" s="311">
        <f t="shared" si="61"/>
        <v>0</v>
      </c>
      <c r="Y180" s="311">
        <f t="shared" si="61"/>
        <v>0</v>
      </c>
      <c r="Z180" s="311">
        <f t="shared" si="61"/>
        <v>0</v>
      </c>
      <c r="AA180" s="311">
        <f t="shared" si="61"/>
        <v>0</v>
      </c>
      <c r="AB180" s="311">
        <f t="shared" si="61"/>
        <v>0</v>
      </c>
      <c r="AC180" s="311">
        <f t="shared" si="61"/>
        <v>0</v>
      </c>
      <c r="AD180" s="311">
        <f t="shared" si="61"/>
        <v>0</v>
      </c>
      <c r="AE180" s="311">
        <f t="shared" si="61"/>
        <v>0</v>
      </c>
      <c r="AF180" s="311">
        <f t="shared" si="61"/>
        <v>0</v>
      </c>
      <c r="AG180" s="311">
        <f t="shared" si="61"/>
        <v>0</v>
      </c>
      <c r="AH180" s="311">
        <f t="shared" si="61"/>
        <v>0</v>
      </c>
      <c r="AI180" s="311">
        <f t="shared" si="61"/>
        <v>0</v>
      </c>
      <c r="AJ180" s="311">
        <f t="shared" si="61"/>
        <v>0</v>
      </c>
      <c r="AK180" s="311">
        <f t="shared" si="61"/>
        <v>0</v>
      </c>
      <c r="AL180" s="311">
        <f t="shared" si="61"/>
        <v>0</v>
      </c>
      <c r="AM180" s="311">
        <f t="shared" si="61"/>
        <v>0</v>
      </c>
      <c r="AN180" s="311">
        <f t="shared" si="61"/>
        <v>0</v>
      </c>
      <c r="AO180" s="311">
        <f t="shared" si="61"/>
        <v>0</v>
      </c>
      <c r="AP180" s="311">
        <f t="shared" si="61"/>
        <v>0</v>
      </c>
      <c r="AQ180" s="311">
        <f t="shared" si="61"/>
        <v>0</v>
      </c>
      <c r="AR180" s="311">
        <f t="shared" si="61"/>
        <v>0</v>
      </c>
      <c r="AS180" s="311">
        <f t="shared" si="61"/>
        <v>0</v>
      </c>
      <c r="AT180" s="311">
        <f t="shared" si="61"/>
        <v>0</v>
      </c>
      <c r="AU180" s="311">
        <f t="shared" si="61"/>
        <v>0</v>
      </c>
      <c r="AV180" s="311">
        <f t="shared" si="61"/>
        <v>0</v>
      </c>
      <c r="AW180" s="311">
        <f t="shared" si="61"/>
        <v>0</v>
      </c>
      <c r="AX180" s="311">
        <f t="shared" si="61"/>
        <v>0</v>
      </c>
      <c r="AY180" s="311">
        <f t="shared" si="61"/>
        <v>0</v>
      </c>
      <c r="AZ180" s="311">
        <f t="shared" si="61"/>
        <v>0</v>
      </c>
      <c r="BA180" s="311">
        <f t="shared" si="61"/>
        <v>0</v>
      </c>
      <c r="BB180" s="311">
        <f t="shared" si="61"/>
        <v>0</v>
      </c>
      <c r="BC180" s="311">
        <f t="shared" si="61"/>
        <v>0</v>
      </c>
      <c r="BD180" s="311">
        <f t="shared" si="61"/>
        <v>0</v>
      </c>
      <c r="BE180" s="311">
        <f t="shared" si="61"/>
        <v>0</v>
      </c>
      <c r="BF180" s="311">
        <f t="shared" si="61"/>
        <v>0</v>
      </c>
      <c r="BG180" s="311">
        <f t="shared" si="61"/>
        <v>0</v>
      </c>
      <c r="BH180" s="311">
        <f t="shared" si="61"/>
        <v>0</v>
      </c>
      <c r="BI180" s="311">
        <f t="shared" si="61"/>
        <v>0</v>
      </c>
      <c r="BJ180" s="311">
        <f t="shared" si="61"/>
        <v>0</v>
      </c>
      <c r="BK180" s="311">
        <f t="shared" si="61"/>
        <v>0</v>
      </c>
      <c r="BL180" s="311">
        <f t="shared" si="61"/>
        <v>0</v>
      </c>
      <c r="BM180" s="311">
        <f t="shared" si="61"/>
        <v>0</v>
      </c>
      <c r="BN180" s="311">
        <f t="shared" si="61"/>
        <v>0</v>
      </c>
      <c r="BO180" s="311">
        <f t="shared" si="61"/>
        <v>0</v>
      </c>
      <c r="BP180" s="311">
        <f t="shared" si="61"/>
        <v>0</v>
      </c>
      <c r="BQ180" s="311">
        <f t="shared" si="61"/>
        <v>0</v>
      </c>
      <c r="BR180" s="311">
        <f t="shared" si="61"/>
        <v>0</v>
      </c>
      <c r="BS180" s="311">
        <f t="shared" si="61"/>
        <v>0</v>
      </c>
      <c r="BT180" s="311">
        <f t="shared" si="61"/>
        <v>0</v>
      </c>
      <c r="BU180" s="311">
        <f t="shared" si="61"/>
        <v>0</v>
      </c>
      <c r="BV180" s="311">
        <f t="shared" si="61"/>
        <v>0</v>
      </c>
      <c r="BW180" s="311">
        <f t="shared" si="61"/>
        <v>0</v>
      </c>
      <c r="BX180" s="311">
        <f t="shared" si="61"/>
        <v>0</v>
      </c>
      <c r="BY180" s="307"/>
      <c r="BZ180" s="307"/>
      <c r="CA180" s="222"/>
      <c r="CB180" s="222"/>
      <c r="CC180" s="222"/>
      <c r="CD180" s="222"/>
      <c r="CE180" s="222"/>
      <c r="CF180" s="222"/>
      <c r="CG180" s="222"/>
      <c r="CH180" s="222"/>
      <c r="CI180" s="222"/>
      <c r="CJ180" s="222"/>
      <c r="CK180" s="222"/>
      <c r="CL180" s="222"/>
      <c r="CM180" s="222"/>
      <c r="CN180" s="222"/>
      <c r="CO180" s="222"/>
      <c r="CP180" s="222"/>
      <c r="CQ180" s="222"/>
      <c r="CR180" s="222"/>
      <c r="CS180" s="222"/>
      <c r="CT180" s="222"/>
      <c r="CU180" s="222"/>
      <c r="CV180" s="222"/>
      <c r="CW180" s="222"/>
      <c r="CX180" s="222"/>
      <c r="CY180" s="222"/>
      <c r="CZ180" s="222"/>
      <c r="DA180" s="222"/>
      <c r="DB180" s="222"/>
      <c r="DC180" s="222"/>
      <c r="DD180" s="222"/>
      <c r="DE180" s="222"/>
      <c r="DF180" s="222"/>
      <c r="DG180" s="222"/>
      <c r="DH180" s="222"/>
      <c r="DI180" s="222"/>
      <c r="DJ180" s="222"/>
      <c r="DK180" s="222"/>
      <c r="DL180" s="222"/>
      <c r="DM180" s="222"/>
      <c r="DN180" s="222"/>
      <c r="DO180" s="222"/>
      <c r="DP180" s="222"/>
      <c r="DQ180" s="222"/>
      <c r="DR180" s="222"/>
      <c r="DS180" s="222"/>
      <c r="DT180" s="222"/>
      <c r="DU180" s="222"/>
      <c r="DV180" s="222"/>
      <c r="DW180" s="222"/>
      <c r="DX180" s="222"/>
      <c r="DY180" s="222"/>
      <c r="DZ180" s="222"/>
      <c r="EA180" s="222"/>
      <c r="EB180" s="222"/>
      <c r="EC180" s="222"/>
      <c r="ED180" s="222"/>
      <c r="EE180" s="222"/>
      <c r="EF180" s="222"/>
      <c r="EG180" s="222"/>
      <c r="EH180" s="222"/>
    </row>
    <row r="181" spans="1:138" hidden="1">
      <c r="A181" s="222"/>
      <c r="B181" s="318"/>
      <c r="C181" s="310" t="s">
        <v>297</v>
      </c>
      <c r="D181" s="319"/>
      <c r="E181" s="311"/>
      <c r="F181" s="311"/>
      <c r="G181" s="311"/>
      <c r="H181" s="311"/>
      <c r="I181" s="311"/>
      <c r="J181" s="311"/>
      <c r="K181" s="311"/>
      <c r="L181" s="311"/>
      <c r="M181" s="311"/>
      <c r="N181" s="311"/>
      <c r="O181" s="311"/>
      <c r="P181" s="311"/>
      <c r="Q181" s="311"/>
      <c r="R181" s="311"/>
      <c r="S181" s="311"/>
      <c r="T181" s="311">
        <v>2750000</v>
      </c>
      <c r="U181" s="311"/>
      <c r="V181" s="311"/>
      <c r="W181" s="311"/>
      <c r="X181" s="311"/>
      <c r="Y181" s="311"/>
      <c r="Z181" s="311"/>
      <c r="AA181" s="311"/>
      <c r="AB181" s="311"/>
      <c r="AC181" s="311"/>
      <c r="AD181" s="311"/>
      <c r="AE181" s="311"/>
      <c r="AF181" s="311"/>
      <c r="AG181" s="311"/>
      <c r="AH181" s="311"/>
      <c r="AI181" s="311"/>
      <c r="AJ181" s="311"/>
      <c r="AK181" s="311"/>
      <c r="AL181" s="311"/>
      <c r="AM181" s="311"/>
      <c r="AN181" s="311"/>
      <c r="AO181" s="311"/>
      <c r="AP181" s="311"/>
      <c r="AQ181" s="311"/>
      <c r="AR181" s="311"/>
      <c r="AS181" s="311"/>
      <c r="AT181" s="311"/>
      <c r="AU181" s="311"/>
      <c r="AV181" s="311"/>
      <c r="AW181" s="311"/>
      <c r="AX181" s="311"/>
      <c r="AY181" s="311"/>
      <c r="AZ181" s="311"/>
      <c r="BA181" s="311"/>
      <c r="BB181" s="311"/>
      <c r="BC181" s="312"/>
      <c r="BD181" s="311"/>
      <c r="BE181" s="311"/>
      <c r="BF181" s="311"/>
      <c r="BG181" s="311"/>
      <c r="BH181" s="311"/>
      <c r="BI181" s="311"/>
      <c r="BJ181" s="311"/>
      <c r="BK181" s="311"/>
      <c r="BL181" s="311"/>
      <c r="BM181" s="311"/>
      <c r="BN181" s="311"/>
      <c r="BO181" s="311"/>
      <c r="BP181" s="311"/>
      <c r="BQ181" s="311"/>
      <c r="BR181" s="311"/>
      <c r="BS181" s="311"/>
      <c r="BT181" s="311"/>
      <c r="BU181" s="311"/>
      <c r="BV181" s="311"/>
      <c r="BW181" s="311"/>
      <c r="BX181" s="311" t="e">
        <f>IF(D105&gt;0.25,(BX100-BX108)*D182,BX100*D182)</f>
        <v>#VALUE!</v>
      </c>
      <c r="BY181" s="307"/>
      <c r="BZ181" s="307"/>
      <c r="CA181" s="222"/>
      <c r="CB181" s="222"/>
      <c r="CC181" s="222"/>
      <c r="CD181" s="222"/>
      <c r="CE181" s="222"/>
      <c r="CF181" s="222"/>
      <c r="CG181" s="222"/>
      <c r="CH181" s="222"/>
      <c r="CI181" s="222"/>
      <c r="CJ181" s="222"/>
      <c r="CK181" s="222"/>
      <c r="CL181" s="222"/>
      <c r="CM181" s="222"/>
      <c r="CN181" s="222"/>
      <c r="CO181" s="222"/>
      <c r="CP181" s="222"/>
      <c r="CQ181" s="222"/>
      <c r="CR181" s="222"/>
      <c r="CS181" s="222"/>
      <c r="CT181" s="222"/>
      <c r="CU181" s="222"/>
      <c r="CV181" s="222"/>
      <c r="CW181" s="222"/>
      <c r="CX181" s="222"/>
      <c r="CY181" s="222"/>
      <c r="CZ181" s="222"/>
      <c r="DA181" s="222"/>
      <c r="DB181" s="222"/>
      <c r="DC181" s="222"/>
      <c r="DD181" s="222"/>
      <c r="DE181" s="222"/>
      <c r="DF181" s="222"/>
      <c r="DG181" s="222"/>
      <c r="DH181" s="222"/>
      <c r="DI181" s="222"/>
      <c r="DJ181" s="222"/>
      <c r="DK181" s="222"/>
      <c r="DL181" s="222"/>
      <c r="DM181" s="222"/>
      <c r="DN181" s="222"/>
      <c r="DO181" s="222"/>
      <c r="DP181" s="222"/>
      <c r="DQ181" s="222"/>
      <c r="DR181" s="222"/>
      <c r="DS181" s="222"/>
      <c r="DT181" s="222"/>
      <c r="DU181" s="222"/>
      <c r="DV181" s="222"/>
      <c r="DW181" s="222"/>
      <c r="DX181" s="222"/>
      <c r="DY181" s="222"/>
      <c r="DZ181" s="222"/>
      <c r="EA181" s="222"/>
      <c r="EB181" s="222"/>
      <c r="EC181" s="222"/>
      <c r="ED181" s="222"/>
      <c r="EE181" s="222"/>
      <c r="EF181" s="222"/>
      <c r="EG181" s="222"/>
      <c r="EH181" s="222"/>
    </row>
    <row r="182" spans="1:138" hidden="1">
      <c r="A182" s="222"/>
      <c r="B182" s="318"/>
      <c r="C182" s="313" t="s">
        <v>298</v>
      </c>
      <c r="D182" s="319">
        <v>0</v>
      </c>
      <c r="E182" s="311"/>
      <c r="F182" s="311"/>
      <c r="G182" s="311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311"/>
      <c r="V182" s="311"/>
      <c r="W182" s="311"/>
      <c r="X182" s="311"/>
      <c r="Y182" s="311"/>
      <c r="Z182" s="311"/>
      <c r="AA182" s="311"/>
      <c r="AB182" s="311"/>
      <c r="AC182" s="311"/>
      <c r="AD182" s="311"/>
      <c r="AE182" s="311"/>
      <c r="AF182" s="311"/>
      <c r="AG182" s="311"/>
      <c r="AH182" s="311"/>
      <c r="AI182" s="311"/>
      <c r="AJ182" s="311"/>
      <c r="AK182" s="311"/>
      <c r="AL182" s="311"/>
      <c r="AM182" s="311"/>
      <c r="AN182" s="311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1"/>
      <c r="AZ182" s="311"/>
      <c r="BA182" s="311"/>
      <c r="BB182" s="311"/>
      <c r="BC182" s="312"/>
      <c r="BD182" s="311"/>
      <c r="BE182" s="311"/>
      <c r="BF182" s="311"/>
      <c r="BG182" s="311"/>
      <c r="BH182" s="311"/>
      <c r="BI182" s="311"/>
      <c r="BJ182" s="311"/>
      <c r="BK182" s="311"/>
      <c r="BL182" s="311"/>
      <c r="BM182" s="311"/>
      <c r="BN182" s="311"/>
      <c r="BO182" s="311"/>
      <c r="BP182" s="311"/>
      <c r="BQ182" s="311"/>
      <c r="BR182" s="311"/>
      <c r="BS182" s="311"/>
      <c r="BT182" s="311"/>
      <c r="BU182" s="311"/>
      <c r="BV182" s="311"/>
      <c r="BW182" s="311"/>
      <c r="BX182" s="311"/>
      <c r="BY182" s="307"/>
      <c r="BZ182" s="307"/>
      <c r="CA182" s="222"/>
      <c r="CB182" s="222"/>
      <c r="CC182" s="222"/>
      <c r="CD182" s="222"/>
      <c r="CE182" s="222"/>
      <c r="CF182" s="222"/>
      <c r="CG182" s="222"/>
      <c r="CH182" s="222"/>
      <c r="CI182" s="222"/>
      <c r="CJ182" s="222"/>
      <c r="CK182" s="222"/>
      <c r="CL182" s="222"/>
      <c r="CM182" s="222"/>
      <c r="CN182" s="222"/>
      <c r="CO182" s="222"/>
      <c r="CP182" s="222"/>
      <c r="CQ182" s="222"/>
      <c r="CR182" s="222"/>
      <c r="CS182" s="222"/>
      <c r="CT182" s="222"/>
      <c r="CU182" s="222"/>
      <c r="CV182" s="222"/>
      <c r="CW182" s="222"/>
      <c r="CX182" s="222"/>
      <c r="CY182" s="222"/>
      <c r="CZ182" s="222"/>
      <c r="DA182" s="222"/>
      <c r="DB182" s="222"/>
      <c r="DC182" s="222"/>
      <c r="DD182" s="222"/>
      <c r="DE182" s="222"/>
      <c r="DF182" s="222"/>
      <c r="DG182" s="222"/>
      <c r="DH182" s="222"/>
      <c r="DI182" s="222"/>
      <c r="DJ182" s="222"/>
      <c r="DK182" s="222"/>
      <c r="DL182" s="222"/>
      <c r="DM182" s="222"/>
      <c r="DN182" s="222"/>
      <c r="DO182" s="222"/>
      <c r="DP182" s="222"/>
      <c r="DQ182" s="222"/>
      <c r="DR182" s="222"/>
      <c r="DS182" s="222"/>
      <c r="DT182" s="222"/>
      <c r="DU182" s="222"/>
      <c r="DV182" s="222"/>
      <c r="DW182" s="222"/>
      <c r="DX182" s="222"/>
      <c r="DY182" s="222"/>
      <c r="DZ182" s="222"/>
      <c r="EA182" s="222"/>
      <c r="EB182" s="222"/>
      <c r="EC182" s="222"/>
      <c r="ED182" s="222"/>
      <c r="EE182" s="222"/>
      <c r="EF182" s="222"/>
      <c r="EG182" s="222"/>
      <c r="EH182" s="222"/>
    </row>
    <row r="183" spans="1:138" hidden="1">
      <c r="A183" s="222"/>
      <c r="B183" s="318"/>
      <c r="C183" s="310" t="s">
        <v>299</v>
      </c>
      <c r="D183" s="311"/>
      <c r="E183" s="321">
        <f t="shared" ref="E183:BX183" si="62">E178+E179+E180+E181+E182</f>
        <v>0</v>
      </c>
      <c r="F183" s="321">
        <f t="shared" si="62"/>
        <v>0</v>
      </c>
      <c r="G183" s="321">
        <f t="shared" si="62"/>
        <v>0</v>
      </c>
      <c r="H183" s="321">
        <f t="shared" si="62"/>
        <v>-5341205.5</v>
      </c>
      <c r="I183" s="321">
        <f t="shared" si="62"/>
        <v>0</v>
      </c>
      <c r="J183" s="321">
        <f t="shared" si="62"/>
        <v>0</v>
      </c>
      <c r="K183" s="321">
        <f t="shared" si="62"/>
        <v>0</v>
      </c>
      <c r="L183" s="321">
        <f t="shared" si="62"/>
        <v>0</v>
      </c>
      <c r="M183" s="321">
        <f t="shared" si="62"/>
        <v>0</v>
      </c>
      <c r="N183" s="321">
        <f t="shared" si="62"/>
        <v>0</v>
      </c>
      <c r="O183" s="321">
        <f t="shared" si="62"/>
        <v>0</v>
      </c>
      <c r="P183" s="321">
        <f t="shared" si="62"/>
        <v>0</v>
      </c>
      <c r="Q183" s="321">
        <f t="shared" si="62"/>
        <v>0</v>
      </c>
      <c r="R183" s="321">
        <f t="shared" si="62"/>
        <v>0</v>
      </c>
      <c r="S183" s="321">
        <f t="shared" si="62"/>
        <v>0</v>
      </c>
      <c r="T183" s="321">
        <f t="shared" si="62"/>
        <v>8091205.5</v>
      </c>
      <c r="U183" s="321">
        <f t="shared" si="62"/>
        <v>0</v>
      </c>
      <c r="V183" s="321">
        <f t="shared" si="62"/>
        <v>0</v>
      </c>
      <c r="W183" s="321">
        <f t="shared" si="62"/>
        <v>0</v>
      </c>
      <c r="X183" s="321">
        <f t="shared" si="62"/>
        <v>0</v>
      </c>
      <c r="Y183" s="321">
        <f t="shared" si="62"/>
        <v>0</v>
      </c>
      <c r="Z183" s="321">
        <f t="shared" si="62"/>
        <v>0</v>
      </c>
      <c r="AA183" s="321">
        <f t="shared" si="62"/>
        <v>0</v>
      </c>
      <c r="AB183" s="321">
        <f t="shared" si="62"/>
        <v>0</v>
      </c>
      <c r="AC183" s="321">
        <f t="shared" si="62"/>
        <v>0</v>
      </c>
      <c r="AD183" s="321">
        <f t="shared" si="62"/>
        <v>0</v>
      </c>
      <c r="AE183" s="321">
        <f t="shared" si="62"/>
        <v>0</v>
      </c>
      <c r="AF183" s="321">
        <f t="shared" si="62"/>
        <v>0</v>
      </c>
      <c r="AG183" s="321">
        <f t="shared" si="62"/>
        <v>0</v>
      </c>
      <c r="AH183" s="321">
        <f t="shared" si="62"/>
        <v>0</v>
      </c>
      <c r="AI183" s="321">
        <f t="shared" si="62"/>
        <v>0</v>
      </c>
      <c r="AJ183" s="321">
        <f t="shared" si="62"/>
        <v>0</v>
      </c>
      <c r="AK183" s="321">
        <f t="shared" si="62"/>
        <v>0</v>
      </c>
      <c r="AL183" s="321">
        <f t="shared" si="62"/>
        <v>0</v>
      </c>
      <c r="AM183" s="321">
        <f t="shared" si="62"/>
        <v>0</v>
      </c>
      <c r="AN183" s="321">
        <f t="shared" si="62"/>
        <v>0</v>
      </c>
      <c r="AO183" s="321">
        <f t="shared" si="62"/>
        <v>0</v>
      </c>
      <c r="AP183" s="321">
        <f t="shared" si="62"/>
        <v>0</v>
      </c>
      <c r="AQ183" s="321">
        <f t="shared" si="62"/>
        <v>0</v>
      </c>
      <c r="AR183" s="321">
        <f t="shared" si="62"/>
        <v>0</v>
      </c>
      <c r="AS183" s="321">
        <f t="shared" si="62"/>
        <v>0</v>
      </c>
      <c r="AT183" s="321">
        <f t="shared" si="62"/>
        <v>0</v>
      </c>
      <c r="AU183" s="321">
        <f t="shared" si="62"/>
        <v>0</v>
      </c>
      <c r="AV183" s="321">
        <f t="shared" si="62"/>
        <v>0</v>
      </c>
      <c r="AW183" s="321">
        <f t="shared" si="62"/>
        <v>0</v>
      </c>
      <c r="AX183" s="321">
        <f t="shared" si="62"/>
        <v>0</v>
      </c>
      <c r="AY183" s="321">
        <f t="shared" si="62"/>
        <v>0</v>
      </c>
      <c r="AZ183" s="321">
        <f t="shared" si="62"/>
        <v>0</v>
      </c>
      <c r="BA183" s="321">
        <f t="shared" si="62"/>
        <v>0</v>
      </c>
      <c r="BB183" s="321">
        <f t="shared" si="62"/>
        <v>0</v>
      </c>
      <c r="BC183" s="321">
        <f t="shared" si="62"/>
        <v>0</v>
      </c>
      <c r="BD183" s="321">
        <f t="shared" si="62"/>
        <v>0</v>
      </c>
      <c r="BE183" s="321">
        <f t="shared" si="62"/>
        <v>0</v>
      </c>
      <c r="BF183" s="321">
        <f t="shared" si="62"/>
        <v>0</v>
      </c>
      <c r="BG183" s="321">
        <f t="shared" si="62"/>
        <v>0</v>
      </c>
      <c r="BH183" s="321">
        <f t="shared" si="62"/>
        <v>0</v>
      </c>
      <c r="BI183" s="321">
        <f t="shared" si="62"/>
        <v>0</v>
      </c>
      <c r="BJ183" s="321">
        <f t="shared" si="62"/>
        <v>0</v>
      </c>
      <c r="BK183" s="321">
        <f t="shared" si="62"/>
        <v>0</v>
      </c>
      <c r="BL183" s="321">
        <f t="shared" si="62"/>
        <v>0</v>
      </c>
      <c r="BM183" s="321">
        <f t="shared" si="62"/>
        <v>0</v>
      </c>
      <c r="BN183" s="321">
        <f t="shared" si="62"/>
        <v>0</v>
      </c>
      <c r="BO183" s="321">
        <f t="shared" si="62"/>
        <v>0</v>
      </c>
      <c r="BP183" s="321">
        <f t="shared" si="62"/>
        <v>0</v>
      </c>
      <c r="BQ183" s="321">
        <f t="shared" si="62"/>
        <v>0</v>
      </c>
      <c r="BR183" s="321">
        <f t="shared" si="62"/>
        <v>0</v>
      </c>
      <c r="BS183" s="321">
        <f t="shared" si="62"/>
        <v>0</v>
      </c>
      <c r="BT183" s="321">
        <f t="shared" si="62"/>
        <v>0</v>
      </c>
      <c r="BU183" s="321">
        <f t="shared" si="62"/>
        <v>0</v>
      </c>
      <c r="BV183" s="321">
        <f t="shared" si="62"/>
        <v>0</v>
      </c>
      <c r="BW183" s="321">
        <f t="shared" si="62"/>
        <v>0</v>
      </c>
      <c r="BX183" s="321" t="e">
        <f t="shared" si="62"/>
        <v>#VALUE!</v>
      </c>
      <c r="BY183" s="222"/>
      <c r="BZ183" s="222"/>
      <c r="CA183" s="222"/>
      <c r="CB183" s="222"/>
      <c r="CC183" s="222"/>
      <c r="CD183" s="222"/>
      <c r="CE183" s="222"/>
      <c r="CF183" s="222"/>
      <c r="CG183" s="222"/>
      <c r="CH183" s="222"/>
      <c r="CI183" s="222"/>
      <c r="CJ183" s="222"/>
      <c r="CK183" s="222"/>
      <c r="CL183" s="222"/>
      <c r="CM183" s="222"/>
      <c r="CN183" s="222"/>
      <c r="CO183" s="222"/>
      <c r="CP183" s="222"/>
      <c r="CQ183" s="222"/>
      <c r="CR183" s="222"/>
      <c r="CS183" s="222"/>
      <c r="CT183" s="222"/>
      <c r="CU183" s="222"/>
      <c r="CV183" s="222"/>
      <c r="CW183" s="222"/>
      <c r="CX183" s="222"/>
      <c r="CY183" s="222"/>
      <c r="CZ183" s="222"/>
      <c r="DA183" s="222"/>
      <c r="DB183" s="222"/>
      <c r="DC183" s="222"/>
      <c r="DD183" s="222"/>
      <c r="DE183" s="222"/>
      <c r="DF183" s="222"/>
      <c r="DG183" s="222"/>
      <c r="DH183" s="222"/>
      <c r="DI183" s="222"/>
      <c r="DJ183" s="222"/>
      <c r="DK183" s="222"/>
      <c r="DL183" s="222"/>
      <c r="DM183" s="222"/>
      <c r="DN183" s="222"/>
      <c r="DO183" s="222"/>
      <c r="DP183" s="222"/>
      <c r="DQ183" s="222"/>
      <c r="DR183" s="222"/>
      <c r="DS183" s="222"/>
      <c r="DT183" s="222"/>
      <c r="DU183" s="222"/>
      <c r="DV183" s="222"/>
      <c r="DW183" s="222"/>
      <c r="DX183" s="222"/>
      <c r="DY183" s="222"/>
      <c r="DZ183" s="222"/>
      <c r="EA183" s="222"/>
      <c r="EB183" s="222"/>
      <c r="EC183" s="222"/>
      <c r="ED183" s="222"/>
      <c r="EE183" s="222"/>
      <c r="EF183" s="222"/>
      <c r="EG183" s="222"/>
      <c r="EH183" s="222"/>
    </row>
    <row r="184" spans="1:138" hidden="1">
      <c r="A184" s="222"/>
      <c r="B184" s="318"/>
      <c r="C184" s="314"/>
      <c r="D184" s="322" t="s">
        <v>306</v>
      </c>
      <c r="E184" s="327">
        <f>E183</f>
        <v>0</v>
      </c>
      <c r="F184" s="327">
        <f t="shared" ref="F184:BX184" si="63">E184+F183</f>
        <v>0</v>
      </c>
      <c r="G184" s="327">
        <f t="shared" si="63"/>
        <v>0</v>
      </c>
      <c r="H184" s="327">
        <f t="shared" si="63"/>
        <v>-5341205.5</v>
      </c>
      <c r="I184" s="327">
        <f t="shared" si="63"/>
        <v>-5341205.5</v>
      </c>
      <c r="J184" s="327">
        <f t="shared" si="63"/>
        <v>-5341205.5</v>
      </c>
      <c r="K184" s="327">
        <f t="shared" si="63"/>
        <v>-5341205.5</v>
      </c>
      <c r="L184" s="327">
        <f t="shared" si="63"/>
        <v>-5341205.5</v>
      </c>
      <c r="M184" s="327">
        <f t="shared" si="63"/>
        <v>-5341205.5</v>
      </c>
      <c r="N184" s="327">
        <f t="shared" si="63"/>
        <v>-5341205.5</v>
      </c>
      <c r="O184" s="327">
        <f t="shared" si="63"/>
        <v>-5341205.5</v>
      </c>
      <c r="P184" s="327">
        <f t="shared" si="63"/>
        <v>-5341205.5</v>
      </c>
      <c r="Q184" s="327">
        <f t="shared" si="63"/>
        <v>-5341205.5</v>
      </c>
      <c r="R184" s="327">
        <f t="shared" si="63"/>
        <v>-5341205.5</v>
      </c>
      <c r="S184" s="327">
        <f t="shared" si="63"/>
        <v>-5341205.5</v>
      </c>
      <c r="T184" s="327">
        <f t="shared" si="63"/>
        <v>2750000</v>
      </c>
      <c r="U184" s="327">
        <f t="shared" si="63"/>
        <v>2750000</v>
      </c>
      <c r="V184" s="328">
        <f t="shared" si="63"/>
        <v>2750000</v>
      </c>
      <c r="W184" s="328">
        <f t="shared" si="63"/>
        <v>2750000</v>
      </c>
      <c r="X184" s="328">
        <f t="shared" si="63"/>
        <v>2750000</v>
      </c>
      <c r="Y184" s="328">
        <f t="shared" si="63"/>
        <v>2750000</v>
      </c>
      <c r="Z184" s="328">
        <f t="shared" si="63"/>
        <v>2750000</v>
      </c>
      <c r="AA184" s="328">
        <f t="shared" si="63"/>
        <v>2750000</v>
      </c>
      <c r="AB184" s="328">
        <f t="shared" si="63"/>
        <v>2750000</v>
      </c>
      <c r="AC184" s="328">
        <f t="shared" si="63"/>
        <v>2750000</v>
      </c>
      <c r="AD184" s="328">
        <f t="shared" si="63"/>
        <v>2750000</v>
      </c>
      <c r="AE184" s="328">
        <f t="shared" si="63"/>
        <v>2750000</v>
      </c>
      <c r="AF184" s="328">
        <f t="shared" si="63"/>
        <v>2750000</v>
      </c>
      <c r="AG184" s="328">
        <f t="shared" si="63"/>
        <v>2750000</v>
      </c>
      <c r="AH184" s="328">
        <f t="shared" si="63"/>
        <v>2750000</v>
      </c>
      <c r="AI184" s="328">
        <f t="shared" si="63"/>
        <v>2750000</v>
      </c>
      <c r="AJ184" s="328">
        <f t="shared" si="63"/>
        <v>2750000</v>
      </c>
      <c r="AK184" s="328">
        <f t="shared" si="63"/>
        <v>2750000</v>
      </c>
      <c r="AL184" s="328">
        <f t="shared" si="63"/>
        <v>2750000</v>
      </c>
      <c r="AM184" s="328">
        <f t="shared" si="63"/>
        <v>2750000</v>
      </c>
      <c r="AN184" s="328">
        <f t="shared" si="63"/>
        <v>2750000</v>
      </c>
      <c r="AO184" s="328">
        <f t="shared" si="63"/>
        <v>2750000</v>
      </c>
      <c r="AP184" s="328">
        <f t="shared" si="63"/>
        <v>2750000</v>
      </c>
      <c r="AQ184" s="328">
        <f t="shared" si="63"/>
        <v>2750000</v>
      </c>
      <c r="AR184" s="328">
        <f t="shared" si="63"/>
        <v>2750000</v>
      </c>
      <c r="AS184" s="328">
        <f t="shared" si="63"/>
        <v>2750000</v>
      </c>
      <c r="AT184" s="328">
        <f t="shared" si="63"/>
        <v>2750000</v>
      </c>
      <c r="AU184" s="328">
        <f t="shared" si="63"/>
        <v>2750000</v>
      </c>
      <c r="AV184" s="328">
        <f t="shared" si="63"/>
        <v>2750000</v>
      </c>
      <c r="AW184" s="328">
        <f t="shared" si="63"/>
        <v>2750000</v>
      </c>
      <c r="AX184" s="328">
        <f t="shared" si="63"/>
        <v>2750000</v>
      </c>
      <c r="AY184" s="328">
        <f t="shared" si="63"/>
        <v>2750000</v>
      </c>
      <c r="AZ184" s="328">
        <f t="shared" si="63"/>
        <v>2750000</v>
      </c>
      <c r="BA184" s="328">
        <f t="shared" si="63"/>
        <v>2750000</v>
      </c>
      <c r="BB184" s="328">
        <f t="shared" si="63"/>
        <v>2750000</v>
      </c>
      <c r="BC184" s="327">
        <f t="shared" si="63"/>
        <v>2750000</v>
      </c>
      <c r="BD184" s="327">
        <f t="shared" si="63"/>
        <v>2750000</v>
      </c>
      <c r="BE184" s="327">
        <f t="shared" si="63"/>
        <v>2750000</v>
      </c>
      <c r="BF184" s="327">
        <f t="shared" si="63"/>
        <v>2750000</v>
      </c>
      <c r="BG184" s="327">
        <f t="shared" si="63"/>
        <v>2750000</v>
      </c>
      <c r="BH184" s="327">
        <f t="shared" si="63"/>
        <v>2750000</v>
      </c>
      <c r="BI184" s="327">
        <f t="shared" si="63"/>
        <v>2750000</v>
      </c>
      <c r="BJ184" s="327">
        <f t="shared" si="63"/>
        <v>2750000</v>
      </c>
      <c r="BK184" s="327">
        <f t="shared" si="63"/>
        <v>2750000</v>
      </c>
      <c r="BL184" s="327">
        <f t="shared" si="63"/>
        <v>2750000</v>
      </c>
      <c r="BM184" s="327">
        <f t="shared" si="63"/>
        <v>2750000</v>
      </c>
      <c r="BN184" s="327">
        <f t="shared" si="63"/>
        <v>2750000</v>
      </c>
      <c r="BO184" s="327">
        <f t="shared" si="63"/>
        <v>2750000</v>
      </c>
      <c r="BP184" s="327">
        <f t="shared" si="63"/>
        <v>2750000</v>
      </c>
      <c r="BQ184" s="327">
        <f t="shared" si="63"/>
        <v>2750000</v>
      </c>
      <c r="BR184" s="327">
        <f t="shared" si="63"/>
        <v>2750000</v>
      </c>
      <c r="BS184" s="327">
        <f t="shared" si="63"/>
        <v>2750000</v>
      </c>
      <c r="BT184" s="327">
        <f t="shared" si="63"/>
        <v>2750000</v>
      </c>
      <c r="BU184" s="327">
        <f t="shared" si="63"/>
        <v>2750000</v>
      </c>
      <c r="BV184" s="327">
        <f t="shared" si="63"/>
        <v>2750000</v>
      </c>
      <c r="BW184" s="327">
        <f t="shared" si="63"/>
        <v>2750000</v>
      </c>
      <c r="BX184" s="327" t="e">
        <f t="shared" si="63"/>
        <v>#VALUE!</v>
      </c>
      <c r="BY184" s="222"/>
      <c r="BZ184" s="222"/>
      <c r="CA184" s="222"/>
      <c r="CB184" s="222"/>
      <c r="CC184" s="222"/>
      <c r="CD184" s="222"/>
      <c r="CE184" s="222"/>
      <c r="CF184" s="222"/>
      <c r="CG184" s="222"/>
      <c r="CH184" s="222"/>
      <c r="CI184" s="222"/>
      <c r="CJ184" s="222"/>
      <c r="CK184" s="222"/>
      <c r="CL184" s="222"/>
      <c r="CM184" s="222"/>
      <c r="CN184" s="222"/>
      <c r="CO184" s="222"/>
      <c r="CP184" s="222"/>
      <c r="CQ184" s="222"/>
      <c r="CR184" s="222"/>
      <c r="CS184" s="222"/>
      <c r="CT184" s="222"/>
      <c r="CU184" s="222"/>
      <c r="CV184" s="222"/>
      <c r="CW184" s="222"/>
      <c r="CX184" s="222"/>
      <c r="CY184" s="222"/>
      <c r="CZ184" s="222"/>
      <c r="DA184" s="222"/>
      <c r="DB184" s="222"/>
      <c r="DC184" s="222"/>
      <c r="DD184" s="222"/>
      <c r="DE184" s="222"/>
      <c r="DF184" s="222"/>
      <c r="DG184" s="222"/>
      <c r="DH184" s="222"/>
      <c r="DI184" s="222"/>
      <c r="DJ184" s="222"/>
      <c r="DK184" s="222"/>
      <c r="DL184" s="222"/>
      <c r="DM184" s="222"/>
      <c r="DN184" s="222"/>
      <c r="DO184" s="222"/>
      <c r="DP184" s="222"/>
      <c r="DQ184" s="222"/>
      <c r="DR184" s="222"/>
      <c r="DS184" s="222"/>
      <c r="DT184" s="222"/>
      <c r="DU184" s="222"/>
      <c r="DV184" s="222"/>
      <c r="DW184" s="222"/>
      <c r="DX184" s="222"/>
      <c r="DY184" s="222"/>
      <c r="DZ184" s="222"/>
      <c r="EA184" s="222"/>
      <c r="EB184" s="222"/>
      <c r="EC184" s="222"/>
      <c r="ED184" s="222"/>
      <c r="EE184" s="222"/>
      <c r="EF184" s="222"/>
      <c r="EG184" s="222"/>
      <c r="EH184" s="222"/>
    </row>
    <row r="185" spans="1:138" hidden="1">
      <c r="A185" s="222"/>
      <c r="B185" s="318"/>
      <c r="C185" s="313" t="s">
        <v>292</v>
      </c>
      <c r="D185" s="322" t="e">
        <f>IRR(E183:BX183)*12</f>
        <v>#VALUE!</v>
      </c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22"/>
      <c r="AD185" s="222"/>
      <c r="AE185" s="222"/>
      <c r="AF185" s="222"/>
      <c r="AG185" s="222"/>
      <c r="AH185" s="222"/>
      <c r="AI185" s="222"/>
      <c r="AJ185" s="222"/>
      <c r="AK185" s="222"/>
      <c r="AL185" s="222"/>
      <c r="AM185" s="222"/>
      <c r="AN185" s="222"/>
      <c r="AO185" s="222"/>
      <c r="AP185" s="222"/>
      <c r="AQ185" s="222"/>
      <c r="AR185" s="222"/>
      <c r="AS185" s="222"/>
      <c r="AT185" s="222"/>
      <c r="AU185" s="222"/>
      <c r="AV185" s="222"/>
      <c r="AW185" s="222"/>
      <c r="AX185" s="222"/>
      <c r="AY185" s="222"/>
      <c r="AZ185" s="222"/>
      <c r="BA185" s="222"/>
      <c r="BB185" s="222"/>
      <c r="BC185" s="222"/>
      <c r="BD185" s="222"/>
      <c r="BE185" s="222"/>
      <c r="BF185" s="222"/>
      <c r="BG185" s="222"/>
      <c r="BH185" s="222"/>
      <c r="BI185" s="222"/>
      <c r="BJ185" s="222"/>
      <c r="BK185" s="222"/>
      <c r="BL185" s="222"/>
      <c r="BM185" s="222"/>
      <c r="BN185" s="222"/>
      <c r="BO185" s="222"/>
      <c r="BP185" s="222"/>
      <c r="BQ185" s="222"/>
      <c r="BR185" s="222"/>
      <c r="BS185" s="222"/>
      <c r="BT185" s="222"/>
      <c r="BU185" s="222"/>
      <c r="BV185" s="222"/>
      <c r="BW185" s="222"/>
      <c r="BX185" s="222"/>
      <c r="BY185" s="222"/>
      <c r="BZ185" s="222"/>
      <c r="CA185" s="222"/>
      <c r="CB185" s="222"/>
      <c r="CC185" s="222"/>
      <c r="CD185" s="222"/>
      <c r="CE185" s="222"/>
      <c r="CF185" s="222"/>
      <c r="CG185" s="222"/>
      <c r="CH185" s="222"/>
      <c r="CI185" s="222"/>
      <c r="CJ185" s="222"/>
      <c r="CK185" s="222"/>
      <c r="CL185" s="222"/>
      <c r="CM185" s="222"/>
      <c r="CN185" s="222"/>
      <c r="CO185" s="222"/>
      <c r="CP185" s="222"/>
      <c r="CQ185" s="222"/>
      <c r="CR185" s="222"/>
      <c r="CS185" s="222"/>
      <c r="CT185" s="222"/>
      <c r="CU185" s="222"/>
      <c r="CV185" s="222"/>
      <c r="CW185" s="222"/>
      <c r="CX185" s="222"/>
      <c r="CY185" s="222"/>
      <c r="CZ185" s="222"/>
      <c r="DA185" s="222"/>
      <c r="DB185" s="222"/>
      <c r="DC185" s="222"/>
      <c r="DD185" s="222"/>
      <c r="DE185" s="222"/>
      <c r="DF185" s="222"/>
      <c r="DG185" s="222"/>
      <c r="DH185" s="222"/>
      <c r="DI185" s="222"/>
      <c r="DJ185" s="222"/>
      <c r="DK185" s="222"/>
      <c r="DL185" s="222"/>
      <c r="DM185" s="222"/>
      <c r="DN185" s="222"/>
      <c r="DO185" s="222"/>
      <c r="DP185" s="222"/>
      <c r="DQ185" s="222"/>
      <c r="DR185" s="222"/>
      <c r="DS185" s="222"/>
      <c r="DT185" s="222"/>
      <c r="DU185" s="222"/>
      <c r="DV185" s="222"/>
      <c r="DW185" s="222"/>
      <c r="DX185" s="222"/>
      <c r="DY185" s="222"/>
      <c r="DZ185" s="222"/>
      <c r="EA185" s="222"/>
      <c r="EB185" s="222"/>
      <c r="EC185" s="222"/>
      <c r="ED185" s="222"/>
      <c r="EE185" s="222"/>
      <c r="EF185" s="222"/>
      <c r="EG185" s="222"/>
      <c r="EH185" s="222"/>
    </row>
    <row r="186" spans="1:138" hidden="1">
      <c r="A186" s="222"/>
      <c r="B186" s="318"/>
      <c r="C186" s="323" t="s">
        <v>300</v>
      </c>
      <c r="D186" s="324">
        <f>-MIN(M184:BL184)-D187</f>
        <v>5341205.5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2"/>
      <c r="AX186" s="222"/>
      <c r="AY186" s="222"/>
      <c r="AZ186" s="222"/>
      <c r="BA186" s="222"/>
      <c r="BB186" s="222"/>
      <c r="BC186" s="222"/>
      <c r="BD186" s="222"/>
      <c r="BE186" s="222"/>
      <c r="BF186" s="222"/>
      <c r="BG186" s="222"/>
      <c r="BH186" s="222"/>
      <c r="BI186" s="222"/>
      <c r="BJ186" s="222"/>
      <c r="BK186" s="222"/>
      <c r="BL186" s="222"/>
      <c r="BM186" s="222"/>
      <c r="BN186" s="222"/>
      <c r="BO186" s="222"/>
      <c r="BP186" s="222"/>
      <c r="BQ186" s="222"/>
      <c r="BR186" s="222"/>
      <c r="BS186" s="222"/>
      <c r="BT186" s="222"/>
      <c r="BU186" s="222"/>
      <c r="BV186" s="222"/>
      <c r="BW186" s="222"/>
      <c r="BX186" s="222"/>
      <c r="BY186" s="222"/>
      <c r="BZ186" s="222"/>
      <c r="CA186" s="222"/>
      <c r="CB186" s="222"/>
      <c r="CC186" s="222"/>
      <c r="CD186" s="222"/>
      <c r="CE186" s="222"/>
      <c r="CF186" s="222"/>
      <c r="CG186" s="222"/>
      <c r="CH186" s="222"/>
      <c r="CI186" s="222"/>
      <c r="CJ186" s="222"/>
      <c r="CK186" s="222"/>
      <c r="CL186" s="222"/>
      <c r="CM186" s="222"/>
      <c r="CN186" s="222"/>
      <c r="CO186" s="222"/>
      <c r="CP186" s="222"/>
      <c r="CQ186" s="222"/>
      <c r="CR186" s="222"/>
      <c r="CS186" s="222"/>
      <c r="CT186" s="222"/>
      <c r="CU186" s="222"/>
      <c r="CV186" s="222"/>
      <c r="CW186" s="222"/>
      <c r="CX186" s="222"/>
      <c r="CY186" s="222"/>
      <c r="CZ186" s="222"/>
      <c r="DA186" s="222"/>
      <c r="DB186" s="222"/>
      <c r="DC186" s="222"/>
      <c r="DD186" s="222"/>
      <c r="DE186" s="222"/>
      <c r="DF186" s="222"/>
      <c r="DG186" s="222"/>
      <c r="DH186" s="222"/>
      <c r="DI186" s="222"/>
      <c r="DJ186" s="222"/>
      <c r="DK186" s="222"/>
      <c r="DL186" s="222"/>
      <c r="DM186" s="222"/>
      <c r="DN186" s="222"/>
      <c r="DO186" s="222"/>
      <c r="DP186" s="222"/>
      <c r="DQ186" s="222"/>
      <c r="DR186" s="222"/>
      <c r="DS186" s="222"/>
      <c r="DT186" s="222"/>
      <c r="DU186" s="222"/>
      <c r="DV186" s="222"/>
      <c r="DW186" s="222"/>
      <c r="DX186" s="222"/>
      <c r="DY186" s="222"/>
      <c r="DZ186" s="222"/>
      <c r="EA186" s="222"/>
      <c r="EB186" s="222"/>
      <c r="EC186" s="222"/>
      <c r="ED186" s="222"/>
      <c r="EE186" s="222"/>
      <c r="EF186" s="222"/>
      <c r="EG186" s="222"/>
      <c r="EH186" s="222"/>
    </row>
    <row r="187" spans="1:138" hidden="1">
      <c r="A187" s="222"/>
      <c r="B187" s="318"/>
      <c r="C187" s="323" t="s">
        <v>301</v>
      </c>
      <c r="D187" s="324">
        <f>-SUM(M182:BB182)</f>
        <v>0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2"/>
      <c r="AX187" s="222"/>
      <c r="AY187" s="222"/>
      <c r="AZ187" s="222"/>
      <c r="BA187" s="222"/>
      <c r="BB187" s="222"/>
      <c r="BC187" s="222"/>
      <c r="BD187" s="222"/>
      <c r="BE187" s="222"/>
      <c r="BF187" s="222"/>
      <c r="BG187" s="222"/>
      <c r="BH187" s="222"/>
      <c r="BI187" s="222"/>
      <c r="BJ187" s="222"/>
      <c r="BK187" s="222"/>
      <c r="BL187" s="222"/>
      <c r="BM187" s="222"/>
      <c r="BN187" s="222"/>
      <c r="BO187" s="222"/>
      <c r="BP187" s="222"/>
      <c r="BQ187" s="222"/>
      <c r="BR187" s="222"/>
      <c r="BS187" s="222"/>
      <c r="BT187" s="222"/>
      <c r="BU187" s="222"/>
      <c r="BV187" s="222"/>
      <c r="BW187" s="222"/>
      <c r="BX187" s="222"/>
      <c r="BY187" s="222"/>
      <c r="BZ187" s="222"/>
      <c r="CA187" s="222"/>
      <c r="CB187" s="222"/>
      <c r="CC187" s="222"/>
      <c r="CD187" s="222"/>
      <c r="CE187" s="222"/>
      <c r="CF187" s="222"/>
      <c r="CG187" s="222"/>
      <c r="CH187" s="222"/>
      <c r="CI187" s="222"/>
      <c r="CJ187" s="222"/>
      <c r="CK187" s="222"/>
      <c r="CL187" s="222"/>
      <c r="CM187" s="222"/>
      <c r="CN187" s="222"/>
      <c r="CO187" s="222"/>
      <c r="CP187" s="222"/>
      <c r="CQ187" s="222"/>
      <c r="CR187" s="222"/>
      <c r="CS187" s="222"/>
      <c r="CT187" s="222"/>
      <c r="CU187" s="222"/>
      <c r="CV187" s="222"/>
      <c r="CW187" s="222"/>
      <c r="CX187" s="222"/>
      <c r="CY187" s="222"/>
      <c r="CZ187" s="222"/>
      <c r="DA187" s="222"/>
      <c r="DB187" s="222"/>
      <c r="DC187" s="222"/>
      <c r="DD187" s="222"/>
      <c r="DE187" s="222"/>
      <c r="DF187" s="222"/>
      <c r="DG187" s="222"/>
      <c r="DH187" s="222"/>
      <c r="DI187" s="222"/>
      <c r="DJ187" s="222"/>
      <c r="DK187" s="222"/>
      <c r="DL187" s="222"/>
      <c r="DM187" s="222"/>
      <c r="DN187" s="222"/>
      <c r="DO187" s="222"/>
      <c r="DP187" s="222"/>
      <c r="DQ187" s="222"/>
      <c r="DR187" s="222"/>
      <c r="DS187" s="222"/>
      <c r="DT187" s="222"/>
      <c r="DU187" s="222"/>
      <c r="DV187" s="222"/>
      <c r="DW187" s="222"/>
      <c r="DX187" s="222"/>
      <c r="DY187" s="222"/>
      <c r="DZ187" s="222"/>
      <c r="EA187" s="222"/>
      <c r="EB187" s="222"/>
      <c r="EC187" s="222"/>
      <c r="ED187" s="222"/>
      <c r="EE187" s="222"/>
      <c r="EF187" s="222"/>
      <c r="EG187" s="222"/>
      <c r="EH187" s="222"/>
    </row>
    <row r="188" spans="1:138" hidden="1">
      <c r="A188" s="222"/>
      <c r="B188" s="318"/>
      <c r="C188" s="313" t="s">
        <v>302</v>
      </c>
      <c r="D188" s="326">
        <f>D187+D186</f>
        <v>5341205.5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2"/>
      <c r="BN188" s="222"/>
      <c r="BO188" s="222"/>
      <c r="BP188" s="222"/>
      <c r="BQ188" s="222"/>
      <c r="BR188" s="222"/>
      <c r="BS188" s="222"/>
      <c r="BT188" s="222"/>
      <c r="BU188" s="222"/>
      <c r="BV188" s="222"/>
      <c r="BW188" s="222"/>
      <c r="BX188" s="222"/>
      <c r="BY188" s="222"/>
      <c r="BZ188" s="222"/>
      <c r="CA188" s="222"/>
      <c r="CB188" s="222"/>
      <c r="CC188" s="222"/>
      <c r="CD188" s="222"/>
      <c r="CE188" s="222"/>
      <c r="CF188" s="222"/>
      <c r="CG188" s="222"/>
      <c r="CH188" s="222"/>
      <c r="CI188" s="222"/>
      <c r="CJ188" s="222"/>
      <c r="CK188" s="222"/>
      <c r="CL188" s="222"/>
      <c r="CM188" s="222"/>
      <c r="CN188" s="222"/>
      <c r="CO188" s="222"/>
      <c r="CP188" s="222"/>
      <c r="CQ188" s="222"/>
      <c r="CR188" s="222"/>
      <c r="CS188" s="222"/>
      <c r="CT188" s="222"/>
      <c r="CU188" s="222"/>
      <c r="CV188" s="222"/>
      <c r="CW188" s="222"/>
      <c r="CX188" s="222"/>
      <c r="CY188" s="222"/>
      <c r="CZ188" s="222"/>
      <c r="DA188" s="222"/>
      <c r="DB188" s="222"/>
      <c r="DC188" s="222"/>
      <c r="DD188" s="222"/>
      <c r="DE188" s="222"/>
      <c r="DF188" s="222"/>
      <c r="DG188" s="222"/>
      <c r="DH188" s="222"/>
      <c r="DI188" s="222"/>
      <c r="DJ188" s="222"/>
      <c r="DK188" s="222"/>
      <c r="DL188" s="222"/>
      <c r="DM188" s="222"/>
      <c r="DN188" s="222"/>
      <c r="DO188" s="222"/>
      <c r="DP188" s="222"/>
      <c r="DQ188" s="222"/>
      <c r="DR188" s="222"/>
      <c r="DS188" s="222"/>
      <c r="DT188" s="222"/>
      <c r="DU188" s="222"/>
      <c r="DV188" s="222"/>
      <c r="DW188" s="325"/>
      <c r="DX188" s="325"/>
      <c r="DY188" s="325"/>
      <c r="DZ188" s="325"/>
      <c r="EA188" s="325"/>
      <c r="EB188" s="325"/>
      <c r="EC188" s="325"/>
      <c r="ED188" s="325"/>
      <c r="EE188" s="325"/>
      <c r="EF188" s="325"/>
      <c r="EG188" s="325"/>
      <c r="EH188" s="325"/>
    </row>
    <row r="189" spans="1:138" hidden="1">
      <c r="A189" s="222"/>
      <c r="B189" s="318"/>
      <c r="C189" s="313" t="s">
        <v>303</v>
      </c>
      <c r="D189" s="326" t="e">
        <f>BX180+BX181</f>
        <v>#VALUE!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2"/>
      <c r="BN189" s="222"/>
      <c r="BO189" s="222"/>
      <c r="BP189" s="222"/>
      <c r="BQ189" s="222"/>
      <c r="BR189" s="222"/>
      <c r="BS189" s="222"/>
      <c r="BT189" s="222"/>
      <c r="BU189" s="222"/>
      <c r="BV189" s="222"/>
      <c r="BW189" s="222"/>
      <c r="BX189" s="222"/>
      <c r="BY189" s="222"/>
      <c r="BZ189" s="222"/>
      <c r="CA189" s="222"/>
      <c r="CB189" s="222"/>
      <c r="CC189" s="222"/>
      <c r="CD189" s="222"/>
      <c r="CE189" s="222"/>
      <c r="CF189" s="222"/>
      <c r="CG189" s="222"/>
      <c r="CH189" s="222"/>
      <c r="CI189" s="222"/>
      <c r="CJ189" s="222"/>
      <c r="CK189" s="222"/>
      <c r="CL189" s="222"/>
      <c r="CM189" s="222"/>
      <c r="CN189" s="222"/>
      <c r="CO189" s="222"/>
      <c r="CP189" s="222"/>
      <c r="CQ189" s="222"/>
      <c r="CR189" s="222"/>
      <c r="CS189" s="222"/>
      <c r="CT189" s="222"/>
      <c r="CU189" s="222"/>
      <c r="CV189" s="222"/>
      <c r="CW189" s="222"/>
      <c r="CX189" s="222"/>
      <c r="CY189" s="222"/>
      <c r="CZ189" s="222"/>
      <c r="DA189" s="222"/>
      <c r="DB189" s="222"/>
      <c r="DC189" s="222"/>
      <c r="DD189" s="222"/>
      <c r="DE189" s="222"/>
      <c r="DF189" s="222"/>
      <c r="DG189" s="222"/>
      <c r="DH189" s="222"/>
      <c r="DI189" s="222"/>
      <c r="DJ189" s="222"/>
      <c r="DK189" s="222"/>
      <c r="DL189" s="222"/>
      <c r="DM189" s="222"/>
      <c r="DN189" s="222"/>
      <c r="DO189" s="222"/>
      <c r="DP189" s="222"/>
      <c r="DQ189" s="222"/>
      <c r="DR189" s="222"/>
      <c r="DS189" s="222"/>
      <c r="DT189" s="222"/>
      <c r="DU189" s="222"/>
      <c r="DV189" s="222"/>
      <c r="DW189" s="325"/>
      <c r="DX189" s="325"/>
      <c r="DY189" s="325"/>
      <c r="DZ189" s="325"/>
      <c r="EA189" s="325"/>
      <c r="EB189" s="325"/>
      <c r="EC189" s="325"/>
      <c r="ED189" s="325"/>
      <c r="EE189" s="325"/>
      <c r="EF189" s="325"/>
      <c r="EG189" s="325"/>
      <c r="EH189" s="325"/>
    </row>
    <row r="190" spans="1:138" hidden="1">
      <c r="A190" s="222"/>
      <c r="B190" s="318"/>
      <c r="C190" s="313" t="s">
        <v>147</v>
      </c>
      <c r="D190" s="322">
        <f>T181/T178</f>
        <v>0.51486504310684167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2"/>
      <c r="BN190" s="222"/>
      <c r="BO190" s="222"/>
      <c r="BP190" s="222"/>
      <c r="BQ190" s="222"/>
      <c r="BR190" s="222"/>
      <c r="BS190" s="222"/>
      <c r="BT190" s="222"/>
      <c r="BU190" s="222"/>
      <c r="BV190" s="222"/>
      <c r="BW190" s="222"/>
      <c r="BX190" s="222"/>
      <c r="BY190" s="222"/>
      <c r="BZ190" s="222"/>
      <c r="CA190" s="222"/>
      <c r="CB190" s="222"/>
      <c r="CC190" s="222"/>
      <c r="CD190" s="222"/>
      <c r="CE190" s="222"/>
      <c r="CF190" s="222"/>
      <c r="CG190" s="222"/>
      <c r="CH190" s="222"/>
      <c r="CI190" s="222"/>
      <c r="CJ190" s="222"/>
      <c r="CK190" s="222"/>
      <c r="CL190" s="222"/>
      <c r="CM190" s="222"/>
      <c r="CN190" s="222"/>
      <c r="CO190" s="222"/>
      <c r="CP190" s="222"/>
      <c r="CQ190" s="222"/>
      <c r="CR190" s="222"/>
      <c r="CS190" s="222"/>
      <c r="CT190" s="222"/>
      <c r="CU190" s="222"/>
      <c r="CV190" s="222"/>
      <c r="CW190" s="222"/>
      <c r="CX190" s="222"/>
      <c r="CY190" s="222"/>
      <c r="CZ190" s="222"/>
      <c r="DA190" s="222"/>
      <c r="DB190" s="222"/>
      <c r="DC190" s="222"/>
      <c r="DD190" s="222"/>
      <c r="DE190" s="222"/>
      <c r="DF190" s="222"/>
      <c r="DG190" s="222"/>
      <c r="DH190" s="222"/>
      <c r="DI190" s="222"/>
      <c r="DJ190" s="222"/>
      <c r="DK190" s="222"/>
      <c r="DL190" s="222"/>
      <c r="DM190" s="222"/>
      <c r="DN190" s="222"/>
      <c r="DO190" s="222"/>
      <c r="DP190" s="222"/>
      <c r="DQ190" s="222"/>
      <c r="DR190" s="222"/>
      <c r="DS190" s="222"/>
      <c r="DT190" s="222"/>
      <c r="DU190" s="222"/>
      <c r="DV190" s="222"/>
      <c r="DW190" s="325"/>
      <c r="DX190" s="325"/>
      <c r="DY190" s="325"/>
      <c r="DZ190" s="325"/>
      <c r="EA190" s="325"/>
      <c r="EB190" s="325"/>
      <c r="EC190" s="325"/>
      <c r="ED190" s="325"/>
      <c r="EE190" s="325"/>
      <c r="EF190" s="325"/>
      <c r="EG190" s="325"/>
      <c r="EH190" s="325"/>
    </row>
    <row r="191" spans="1:138" hidden="1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2"/>
      <c r="BN191" s="222"/>
      <c r="BO191" s="222"/>
      <c r="BP191" s="222"/>
      <c r="BQ191" s="222"/>
      <c r="BR191" s="222"/>
      <c r="BS191" s="222"/>
      <c r="BT191" s="222"/>
      <c r="BU191" s="222"/>
      <c r="BV191" s="222"/>
      <c r="BW191" s="222"/>
      <c r="BX191" s="222"/>
      <c r="BY191" s="222"/>
      <c r="BZ191" s="238"/>
      <c r="CA191" s="222"/>
      <c r="CB191" s="222"/>
      <c r="CC191" s="222"/>
      <c r="CD191" s="222"/>
      <c r="CE191" s="222"/>
      <c r="CF191" s="222"/>
      <c r="CG191" s="222"/>
      <c r="CH191" s="222"/>
      <c r="CI191" s="222"/>
      <c r="CJ191" s="222"/>
      <c r="CK191" s="222"/>
      <c r="CL191" s="222"/>
      <c r="CM191" s="222"/>
      <c r="CN191" s="222"/>
      <c r="CO191" s="222"/>
      <c r="CP191" s="222"/>
      <c r="CQ191" s="222"/>
      <c r="CR191" s="222"/>
      <c r="CS191" s="222"/>
      <c r="CT191" s="222"/>
      <c r="CU191" s="222"/>
      <c r="CV191" s="222"/>
      <c r="CW191" s="222"/>
      <c r="CX191" s="222"/>
      <c r="CY191" s="222"/>
      <c r="CZ191" s="222"/>
      <c r="DA191" s="222"/>
      <c r="DB191" s="222"/>
      <c r="DC191" s="222"/>
      <c r="DD191" s="222"/>
      <c r="DE191" s="222"/>
      <c r="DF191" s="222"/>
      <c r="DG191" s="222"/>
      <c r="DH191" s="222"/>
      <c r="DI191" s="222"/>
      <c r="DJ191" s="222"/>
      <c r="DK191" s="222"/>
      <c r="DL191" s="222"/>
      <c r="DM191" s="222"/>
      <c r="DN191" s="222"/>
      <c r="DO191" s="222"/>
      <c r="DP191" s="222"/>
      <c r="DQ191" s="222"/>
      <c r="DR191" s="222"/>
      <c r="DS191" s="222"/>
      <c r="DT191" s="222"/>
      <c r="DU191" s="222"/>
      <c r="DV191" s="222"/>
      <c r="DW191" s="325"/>
      <c r="DX191" s="325"/>
      <c r="DY191" s="325"/>
      <c r="DZ191" s="325"/>
      <c r="EA191" s="325"/>
      <c r="EB191" s="325"/>
      <c r="EC191" s="325"/>
      <c r="ED191" s="325"/>
      <c r="EE191" s="325"/>
      <c r="EF191" s="325"/>
      <c r="EG191" s="325"/>
      <c r="EH191" s="325"/>
    </row>
    <row r="192" spans="1:138" ht="14.1" hidden="1"/>
    <row r="193" ht="14.1" hidden="1"/>
  </sheetData>
  <mergeCells count="34">
    <mergeCell ref="S123:T123"/>
    <mergeCell ref="B2:C4"/>
    <mergeCell ref="B5:B8"/>
    <mergeCell ref="B9:B11"/>
    <mergeCell ref="B12:B15"/>
    <mergeCell ref="B16:C16"/>
    <mergeCell ref="B17:B97"/>
    <mergeCell ref="B98:C98"/>
    <mergeCell ref="B99:C99"/>
    <mergeCell ref="B100:C100"/>
    <mergeCell ref="D105:E105"/>
    <mergeCell ref="D108:BW108"/>
    <mergeCell ref="S122:T122"/>
    <mergeCell ref="BM2:BX2"/>
    <mergeCell ref="E2:P2"/>
    <mergeCell ref="Q2:AB2"/>
    <mergeCell ref="BY90:BZ90"/>
    <mergeCell ref="BZ91:BZ97"/>
    <mergeCell ref="BY98:BZ98"/>
    <mergeCell ref="BY99:BZ99"/>
    <mergeCell ref="BZ5:BZ8"/>
    <mergeCell ref="BZ9:BZ11"/>
    <mergeCell ref="BY16:BZ16"/>
    <mergeCell ref="BZ17:BZ89"/>
    <mergeCell ref="CC17:CC89"/>
    <mergeCell ref="CC5:CC8"/>
    <mergeCell ref="CC9:CC11"/>
    <mergeCell ref="CC12:CC15"/>
    <mergeCell ref="CB16:CC16"/>
    <mergeCell ref="AC2:AN2"/>
    <mergeCell ref="AO2:AZ2"/>
    <mergeCell ref="BA2:BL2"/>
    <mergeCell ref="BY2:BZ4"/>
    <mergeCell ref="BZ12:BZ15"/>
  </mergeCells>
  <conditionalFormatting sqref="E17:BX17 E23:BX23 E26:BX26 E34:BX34 E37:BX37 E49:BX49 E55:BX55 E63:BX63 E87:BX87 E90:BX90">
    <cfRule type="cellIs" dxfId="8" priority="1" operator="equal">
      <formula>0</formula>
    </cfRule>
  </conditionalFormatting>
  <conditionalFormatting sqref="F113:BS116 E114 BT114:BX114 E116 BT116:BX116 E130 F130:BX133 E132 E148:BX148 E162 M162:BX162 F162:L165 E164 M164:BX164 M178:T178 H178:L181 E180:G180 M180:BX180">
    <cfRule type="cellIs" dxfId="7" priority="2" operator="equal">
      <formula>0</formula>
    </cfRule>
  </conditionalFormatting>
  <dataValidations count="1">
    <dataValidation type="list" allowBlank="1" showErrorMessage="1" sqref="CB4" xr:uid="{00000000-0002-0000-1300-000000000000}">
      <formula1>$D$3:$BX$3</formula1>
    </dataValidation>
  </dataValidations>
  <pageMargins left="0" right="0" top="0" bottom="0" header="0" footer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B2:T79"/>
  <sheetViews>
    <sheetView workbookViewId="0"/>
  </sheetViews>
  <sheetFormatPr defaultColWidth="12.625" defaultRowHeight="15" customHeight="1"/>
  <sheetData>
    <row r="2" spans="2:20" ht="14.1">
      <c r="B2" s="575" t="s">
        <v>310</v>
      </c>
      <c r="C2" s="588"/>
      <c r="D2" s="588"/>
      <c r="E2" s="588"/>
      <c r="G2" s="575" t="s">
        <v>311</v>
      </c>
      <c r="H2" s="588"/>
      <c r="I2" s="588"/>
      <c r="J2" s="588"/>
      <c r="L2" s="575" t="s">
        <v>312</v>
      </c>
      <c r="M2" s="588"/>
      <c r="N2" s="588"/>
      <c r="O2" s="588"/>
      <c r="Q2" s="575" t="s">
        <v>313</v>
      </c>
      <c r="R2" s="588"/>
      <c r="S2" s="588"/>
      <c r="T2" s="588"/>
    </row>
    <row r="3" spans="2:20" ht="15" customHeight="1">
      <c r="B3" s="588"/>
      <c r="C3" s="588"/>
      <c r="D3" s="588"/>
      <c r="E3" s="588"/>
      <c r="G3" s="588"/>
      <c r="H3" s="588"/>
      <c r="I3" s="588"/>
      <c r="J3" s="588"/>
      <c r="L3" s="588"/>
      <c r="M3" s="588"/>
      <c r="N3" s="588"/>
      <c r="O3" s="588"/>
      <c r="Q3" s="588"/>
      <c r="R3" s="588"/>
      <c r="S3" s="588"/>
      <c r="T3" s="588"/>
    </row>
    <row r="7" spans="2:20" ht="14.1">
      <c r="B7" s="336" t="s">
        <v>314</v>
      </c>
      <c r="C7" s="337" t="s">
        <v>315</v>
      </c>
      <c r="D7" s="338" t="s">
        <v>279</v>
      </c>
      <c r="E7" s="339" t="s">
        <v>316</v>
      </c>
      <c r="G7" s="336" t="s">
        <v>314</v>
      </c>
      <c r="H7" s="337" t="s">
        <v>315</v>
      </c>
      <c r="I7" s="338" t="s">
        <v>279</v>
      </c>
      <c r="J7" s="339" t="s">
        <v>316</v>
      </c>
      <c r="L7" s="336" t="s">
        <v>314</v>
      </c>
      <c r="M7" s="337" t="s">
        <v>315</v>
      </c>
      <c r="N7" s="338" t="s">
        <v>279</v>
      </c>
      <c r="O7" s="339" t="s">
        <v>316</v>
      </c>
      <c r="Q7" s="336" t="s">
        <v>314</v>
      </c>
      <c r="R7" s="337" t="s">
        <v>315</v>
      </c>
      <c r="S7" s="338" t="s">
        <v>279</v>
      </c>
      <c r="T7" s="339" t="s">
        <v>316</v>
      </c>
    </row>
    <row r="8" spans="2:20" ht="14.1">
      <c r="B8" s="340">
        <v>45292</v>
      </c>
      <c r="C8" s="341">
        <f t="array" ref="C8:C79">TRANSPOSE('Cash-flow PLAN'!E110:BX110)</f>
        <v>0</v>
      </c>
      <c r="D8" s="342">
        <f>0-C8</f>
        <v>0</v>
      </c>
      <c r="E8" s="343">
        <f>D8*'Cash-flow PLAN'!$D$54/12</f>
        <v>0</v>
      </c>
      <c r="G8" s="340">
        <v>45292</v>
      </c>
      <c r="H8" s="344">
        <f t="array" ref="H8:H79">TRANSPOSE('Cash-flow M 22.7.'!E145:BX145)</f>
        <v>0</v>
      </c>
      <c r="I8" s="342">
        <f>0-H8</f>
        <v>0</v>
      </c>
      <c r="J8" s="343">
        <f>I8*'Cash-flow M 22.7.'!$D$58/12</f>
        <v>0</v>
      </c>
      <c r="L8" s="340">
        <v>45292</v>
      </c>
      <c r="M8" s="344">
        <f t="array" ref="M8:M79">TRANSPOSE('Cash-flow PLAN'!E142:BX142)</f>
        <v>0</v>
      </c>
      <c r="N8" s="342">
        <f>0-M8</f>
        <v>0</v>
      </c>
      <c r="O8" s="343">
        <f>N8*'Cash-flow PLAN'!$D$56/12</f>
        <v>0</v>
      </c>
      <c r="Q8" s="340">
        <v>45292</v>
      </c>
      <c r="R8" s="341">
        <f t="array" ref="R8:R79">TRANSPOSE('Cash-flow PLAN'!E159:BX159)</f>
        <v>0</v>
      </c>
      <c r="S8" s="342">
        <f>0-R8</f>
        <v>0</v>
      </c>
      <c r="T8" s="343">
        <f>S8*'Cash-flow PLAN'!$D$57/12</f>
        <v>0</v>
      </c>
    </row>
    <row r="9" spans="2:20" ht="14.1">
      <c r="B9" s="345">
        <v>45323</v>
      </c>
      <c r="C9" s="341">
        <v>0</v>
      </c>
      <c r="D9" s="342">
        <f t="shared" ref="D9:D78" si="0">D8-C9</f>
        <v>0</v>
      </c>
      <c r="E9" s="343">
        <f>D9*'Cash-flow PLAN'!$D$54/12</f>
        <v>0</v>
      </c>
      <c r="G9" s="345">
        <v>45323</v>
      </c>
      <c r="H9" s="341">
        <v>0</v>
      </c>
      <c r="I9" s="342">
        <f t="shared" ref="I9:I78" si="1">I8-H9</f>
        <v>0</v>
      </c>
      <c r="J9" s="343">
        <f>I9*'Cash-flow M 22.7.'!$D$58/12</f>
        <v>0</v>
      </c>
      <c r="L9" s="345">
        <v>45323</v>
      </c>
      <c r="M9" s="341">
        <v>0</v>
      </c>
      <c r="N9" s="342">
        <f t="shared" ref="N9:N78" si="2">N8-M9</f>
        <v>0</v>
      </c>
      <c r="O9" s="343">
        <f>N9*'Cash-flow PLAN'!$D$56/12</f>
        <v>0</v>
      </c>
      <c r="Q9" s="345">
        <v>45323</v>
      </c>
      <c r="R9" s="341">
        <v>0</v>
      </c>
      <c r="S9" s="342">
        <f t="shared" ref="S9:S78" si="3">S8-R9</f>
        <v>0</v>
      </c>
      <c r="T9" s="343">
        <f>S9*'Cash-flow PLAN'!$D$57/12</f>
        <v>0</v>
      </c>
    </row>
    <row r="10" spans="2:20" ht="14.1">
      <c r="B10" s="345">
        <v>45352</v>
      </c>
      <c r="C10" s="341">
        <v>0</v>
      </c>
      <c r="D10" s="342">
        <f t="shared" si="0"/>
        <v>0</v>
      </c>
      <c r="E10" s="343">
        <f>D10*'Cash-flow PLAN'!$D$54/12</f>
        <v>0</v>
      </c>
      <c r="G10" s="345">
        <v>45352</v>
      </c>
      <c r="H10" s="341">
        <v>0</v>
      </c>
      <c r="I10" s="342">
        <f t="shared" si="1"/>
        <v>0</v>
      </c>
      <c r="J10" s="343">
        <f>I10*'Cash-flow M 22.7.'!$D$58/12</f>
        <v>0</v>
      </c>
      <c r="L10" s="345">
        <v>45352</v>
      </c>
      <c r="M10" s="341">
        <v>0</v>
      </c>
      <c r="N10" s="342">
        <f t="shared" si="2"/>
        <v>0</v>
      </c>
      <c r="O10" s="343">
        <f>N10*'Cash-flow PLAN'!$D$56/12</f>
        <v>0</v>
      </c>
      <c r="Q10" s="345">
        <v>45352</v>
      </c>
      <c r="R10" s="341">
        <v>0</v>
      </c>
      <c r="S10" s="342">
        <f t="shared" si="3"/>
        <v>0</v>
      </c>
      <c r="T10" s="343">
        <f>S10*'Cash-flow PLAN'!$D$57/12</f>
        <v>0</v>
      </c>
    </row>
    <row r="11" spans="2:20" ht="14.1">
      <c r="B11" s="345">
        <v>45383</v>
      </c>
      <c r="C11" s="341">
        <v>-16365002</v>
      </c>
      <c r="D11" s="342">
        <f t="shared" si="0"/>
        <v>16365002</v>
      </c>
      <c r="E11" s="343">
        <f>D11*'Cash-flow PLAN'!$D$54/12</f>
        <v>143193.76749999999</v>
      </c>
      <c r="G11" s="345">
        <v>45383</v>
      </c>
      <c r="H11" s="341">
        <v>0</v>
      </c>
      <c r="I11" s="342">
        <f t="shared" si="1"/>
        <v>0</v>
      </c>
      <c r="J11" s="343">
        <f>I11*'Cash-flow M 22.7.'!$D$58/12</f>
        <v>0</v>
      </c>
      <c r="L11" s="345">
        <v>45383</v>
      </c>
      <c r="M11" s="341">
        <v>-10682501</v>
      </c>
      <c r="N11" s="342">
        <f t="shared" si="2"/>
        <v>10682501</v>
      </c>
      <c r="O11" s="343">
        <f>N11*'Cash-flow PLAN'!$D$56/12</f>
        <v>93471.883749999994</v>
      </c>
      <c r="Q11" s="345">
        <v>45383</v>
      </c>
      <c r="R11" s="341">
        <v>0</v>
      </c>
      <c r="S11" s="342">
        <f t="shared" si="3"/>
        <v>0</v>
      </c>
      <c r="T11" s="343">
        <f>S11*'Cash-flow PLAN'!$D$57/12</f>
        <v>0</v>
      </c>
    </row>
    <row r="12" spans="2:20" ht="14.1">
      <c r="B12" s="345">
        <v>45413</v>
      </c>
      <c r="C12" s="341">
        <v>-1000000</v>
      </c>
      <c r="D12" s="342">
        <f t="shared" si="0"/>
        <v>17365002</v>
      </c>
      <c r="E12" s="343">
        <f>D12*'Cash-flow PLAN'!$D$54/12</f>
        <v>151943.76749999999</v>
      </c>
      <c r="G12" s="345">
        <v>45413</v>
      </c>
      <c r="H12" s="341">
        <v>0</v>
      </c>
      <c r="I12" s="342">
        <f t="shared" si="1"/>
        <v>0</v>
      </c>
      <c r="J12" s="343">
        <f>I12*'Cash-flow M 22.7.'!$D$58/12</f>
        <v>0</v>
      </c>
      <c r="L12" s="345">
        <v>45413</v>
      </c>
      <c r="M12" s="341">
        <v>0</v>
      </c>
      <c r="N12" s="342">
        <f t="shared" si="2"/>
        <v>10682501</v>
      </c>
      <c r="O12" s="343">
        <f>N12*'Cash-flow PLAN'!$D$56/12</f>
        <v>93471.883749999994</v>
      </c>
      <c r="Q12" s="345">
        <v>45413</v>
      </c>
      <c r="R12" s="341">
        <v>0</v>
      </c>
      <c r="S12" s="342">
        <f t="shared" si="3"/>
        <v>0</v>
      </c>
      <c r="T12" s="343">
        <f>S12*'Cash-flow PLAN'!$D$57/12</f>
        <v>0</v>
      </c>
    </row>
    <row r="13" spans="2:20" ht="14.1">
      <c r="B13" s="346">
        <v>45444</v>
      </c>
      <c r="C13" s="341">
        <v>0</v>
      </c>
      <c r="D13" s="342">
        <f t="shared" si="0"/>
        <v>17365002</v>
      </c>
      <c r="E13" s="343">
        <f>D13*'Cash-flow PLAN'!$D$54/12</f>
        <v>151943.76749999999</v>
      </c>
      <c r="G13" s="346">
        <v>45444</v>
      </c>
      <c r="H13" s="341">
        <v>0</v>
      </c>
      <c r="I13" s="342">
        <f t="shared" si="1"/>
        <v>0</v>
      </c>
      <c r="J13" s="343">
        <f>I13*'Cash-flow M 22.7.'!$D$58/12</f>
        <v>0</v>
      </c>
      <c r="L13" s="346">
        <v>45444</v>
      </c>
      <c r="M13" s="341">
        <v>0</v>
      </c>
      <c r="N13" s="342">
        <f t="shared" si="2"/>
        <v>10682501</v>
      </c>
      <c r="O13" s="343">
        <f>N13*'Cash-flow PLAN'!$D$56/12</f>
        <v>93471.883749999994</v>
      </c>
      <c r="Q13" s="346">
        <v>45444</v>
      </c>
      <c r="R13" s="341">
        <v>0</v>
      </c>
      <c r="S13" s="342">
        <f t="shared" si="3"/>
        <v>0</v>
      </c>
      <c r="T13" s="343">
        <f>S13*'Cash-flow PLAN'!$D$57/12</f>
        <v>0</v>
      </c>
    </row>
    <row r="14" spans="2:20" ht="14.1">
      <c r="B14" s="345">
        <v>45474</v>
      </c>
      <c r="C14" s="341">
        <v>0</v>
      </c>
      <c r="D14" s="342">
        <f t="shared" si="0"/>
        <v>17365002</v>
      </c>
      <c r="E14" s="343">
        <f>D14*'Cash-flow PLAN'!$D$54/12</f>
        <v>151943.76749999999</v>
      </c>
      <c r="G14" s="345">
        <v>45474</v>
      </c>
      <c r="H14" s="341">
        <v>0</v>
      </c>
      <c r="I14" s="342">
        <f t="shared" si="1"/>
        <v>0</v>
      </c>
      <c r="J14" s="343">
        <f>I14*'Cash-flow M 22.7.'!$D$58/12</f>
        <v>0</v>
      </c>
      <c r="L14" s="345">
        <v>45474</v>
      </c>
      <c r="M14" s="341">
        <v>0</v>
      </c>
      <c r="N14" s="342">
        <f t="shared" si="2"/>
        <v>10682501</v>
      </c>
      <c r="O14" s="343">
        <f>N14*'Cash-flow PLAN'!$D$56/12</f>
        <v>93471.883749999994</v>
      </c>
      <c r="Q14" s="345">
        <v>45474</v>
      </c>
      <c r="R14" s="341">
        <v>0</v>
      </c>
      <c r="S14" s="342">
        <f t="shared" si="3"/>
        <v>0</v>
      </c>
      <c r="T14" s="343">
        <f>S14*'Cash-flow PLAN'!$D$57/12</f>
        <v>0</v>
      </c>
    </row>
    <row r="15" spans="2:20" ht="14.1">
      <c r="B15" s="345">
        <v>45505</v>
      </c>
      <c r="C15" s="341">
        <v>0</v>
      </c>
      <c r="D15" s="342">
        <f t="shared" si="0"/>
        <v>17365002</v>
      </c>
      <c r="E15" s="343">
        <f>D15*'Cash-flow PLAN'!$D$54/12</f>
        <v>151943.76749999999</v>
      </c>
      <c r="G15" s="345">
        <v>45505</v>
      </c>
      <c r="H15" s="341">
        <v>-9000000</v>
      </c>
      <c r="I15" s="342">
        <f t="shared" si="1"/>
        <v>9000000</v>
      </c>
      <c r="J15" s="343">
        <f>I15*'Cash-flow M 22.7.'!$D$58/12</f>
        <v>82500</v>
      </c>
      <c r="L15" s="345">
        <v>45505</v>
      </c>
      <c r="M15" s="341">
        <v>0</v>
      </c>
      <c r="N15" s="342">
        <f t="shared" si="2"/>
        <v>10682501</v>
      </c>
      <c r="O15" s="343">
        <f>N15*'Cash-flow PLAN'!$D$56/12</f>
        <v>93471.883749999994</v>
      </c>
      <c r="Q15" s="345">
        <v>45505</v>
      </c>
      <c r="R15" s="341">
        <v>0</v>
      </c>
      <c r="S15" s="342">
        <f t="shared" si="3"/>
        <v>0</v>
      </c>
      <c r="T15" s="343">
        <f>S15*'Cash-flow PLAN'!$D$57/12</f>
        <v>0</v>
      </c>
    </row>
    <row r="16" spans="2:20" ht="14.1">
      <c r="B16" s="345">
        <v>45536</v>
      </c>
      <c r="C16" s="341">
        <v>0</v>
      </c>
      <c r="D16" s="342">
        <f t="shared" si="0"/>
        <v>17365002</v>
      </c>
      <c r="E16" s="343">
        <f>D16*'Cash-flow PLAN'!$D$54/12</f>
        <v>151943.76749999999</v>
      </c>
      <c r="G16" s="345">
        <v>45536</v>
      </c>
      <c r="H16" s="341">
        <v>0</v>
      </c>
      <c r="I16" s="342">
        <f t="shared" si="1"/>
        <v>9000000</v>
      </c>
      <c r="J16" s="343">
        <f>I16*'Cash-flow M 22.7.'!$D$58/12</f>
        <v>82500</v>
      </c>
      <c r="L16" s="345">
        <v>45536</v>
      </c>
      <c r="M16" s="341">
        <v>0</v>
      </c>
      <c r="N16" s="342">
        <f t="shared" si="2"/>
        <v>10682501</v>
      </c>
      <c r="O16" s="343">
        <f>N16*'Cash-flow PLAN'!$D$56/12</f>
        <v>93471.883749999994</v>
      </c>
      <c r="Q16" s="345">
        <v>45536</v>
      </c>
      <c r="R16" s="341">
        <v>0</v>
      </c>
      <c r="S16" s="342">
        <f t="shared" si="3"/>
        <v>0</v>
      </c>
      <c r="T16" s="343">
        <f>S16*'Cash-flow PLAN'!$D$57/12</f>
        <v>0</v>
      </c>
    </row>
    <row r="17" spans="2:20" ht="14.1">
      <c r="B17" s="345">
        <v>45566</v>
      </c>
      <c r="C17" s="341">
        <v>0</v>
      </c>
      <c r="D17" s="342">
        <f t="shared" si="0"/>
        <v>17365002</v>
      </c>
      <c r="E17" s="343">
        <f>D17*'Cash-flow PLAN'!$D$54/12</f>
        <v>151943.76749999999</v>
      </c>
      <c r="G17" s="345">
        <v>45566</v>
      </c>
      <c r="H17" s="341">
        <v>0</v>
      </c>
      <c r="I17" s="342">
        <f t="shared" si="1"/>
        <v>9000000</v>
      </c>
      <c r="J17" s="343">
        <f>I17*'Cash-flow M 22.7.'!$D$58/12</f>
        <v>82500</v>
      </c>
      <c r="L17" s="345">
        <v>45566</v>
      </c>
      <c r="M17" s="341">
        <v>0</v>
      </c>
      <c r="N17" s="342">
        <f t="shared" si="2"/>
        <v>10682501</v>
      </c>
      <c r="O17" s="343">
        <f>N17*'Cash-flow PLAN'!$D$56/12</f>
        <v>93471.883749999994</v>
      </c>
      <c r="Q17" s="345">
        <v>45566</v>
      </c>
      <c r="R17" s="341">
        <v>0</v>
      </c>
      <c r="S17" s="342">
        <f t="shared" si="3"/>
        <v>0</v>
      </c>
      <c r="T17" s="343">
        <f>S17*'Cash-flow PLAN'!$D$57/12</f>
        <v>0</v>
      </c>
    </row>
    <row r="18" spans="2:20" ht="14.1">
      <c r="B18" s="345">
        <v>45597</v>
      </c>
      <c r="C18" s="341">
        <v>-3000000</v>
      </c>
      <c r="D18" s="342">
        <f t="shared" si="0"/>
        <v>20365002</v>
      </c>
      <c r="E18" s="343">
        <f>D18*'Cash-flow PLAN'!$D$54/12</f>
        <v>178193.76749999999</v>
      </c>
      <c r="G18" s="345">
        <v>45597</v>
      </c>
      <c r="H18" s="341">
        <v>0</v>
      </c>
      <c r="I18" s="342">
        <f t="shared" si="1"/>
        <v>9000000</v>
      </c>
      <c r="J18" s="343">
        <f>I18*'Cash-flow M 22.7.'!$D$58/12</f>
        <v>82500</v>
      </c>
      <c r="L18" s="345">
        <v>45597</v>
      </c>
      <c r="M18" s="341">
        <v>0</v>
      </c>
      <c r="N18" s="342">
        <f t="shared" si="2"/>
        <v>10682501</v>
      </c>
      <c r="O18" s="343">
        <f>N18*'Cash-flow PLAN'!$D$56/12</f>
        <v>93471.883749999994</v>
      </c>
      <c r="Q18" s="345">
        <v>45597</v>
      </c>
      <c r="R18" s="341">
        <v>0</v>
      </c>
      <c r="S18" s="342">
        <f t="shared" si="3"/>
        <v>0</v>
      </c>
      <c r="T18" s="343">
        <f>S18*'Cash-flow PLAN'!$D$57/12</f>
        <v>0</v>
      </c>
    </row>
    <row r="19" spans="2:20" ht="14.1">
      <c r="B19" s="345">
        <v>45627</v>
      </c>
      <c r="C19" s="341">
        <v>-2100000</v>
      </c>
      <c r="D19" s="342">
        <f t="shared" si="0"/>
        <v>22465002</v>
      </c>
      <c r="E19" s="343">
        <f>D19*'Cash-flow PLAN'!$D$54/12</f>
        <v>196568.76749999999</v>
      </c>
      <c r="G19" s="345">
        <v>45627</v>
      </c>
      <c r="H19" s="341">
        <v>0</v>
      </c>
      <c r="I19" s="342">
        <f t="shared" si="1"/>
        <v>9000000</v>
      </c>
      <c r="J19" s="343">
        <f>I19*'Cash-flow M 22.7.'!$D$58/12</f>
        <v>82500</v>
      </c>
      <c r="L19" s="345">
        <v>45627</v>
      </c>
      <c r="M19" s="341">
        <v>0</v>
      </c>
      <c r="N19" s="342">
        <f t="shared" si="2"/>
        <v>10682501</v>
      </c>
      <c r="O19" s="343">
        <f>N19*'Cash-flow PLAN'!$D$56/12</f>
        <v>93471.883749999994</v>
      </c>
      <c r="Q19" s="345">
        <v>45627</v>
      </c>
      <c r="R19" s="341">
        <v>0</v>
      </c>
      <c r="S19" s="342">
        <f t="shared" si="3"/>
        <v>0</v>
      </c>
      <c r="T19" s="343">
        <f>S19*'Cash-flow PLAN'!$D$57/12</f>
        <v>0</v>
      </c>
    </row>
    <row r="20" spans="2:20" ht="14.1">
      <c r="B20" s="340">
        <v>45658</v>
      </c>
      <c r="C20" s="341">
        <v>0</v>
      </c>
      <c r="D20" s="342">
        <f t="shared" si="0"/>
        <v>22465002</v>
      </c>
      <c r="E20" s="343">
        <f>D20*'Cash-flow PLAN'!$D$54/12</f>
        <v>196568.76749999999</v>
      </c>
      <c r="G20" s="340">
        <v>45658</v>
      </c>
      <c r="H20" s="341">
        <v>0</v>
      </c>
      <c r="I20" s="342">
        <f t="shared" si="1"/>
        <v>9000000</v>
      </c>
      <c r="J20" s="343">
        <f>I20*'Cash-flow M 22.7.'!$D$58/12</f>
        <v>82500</v>
      </c>
      <c r="L20" s="340">
        <v>45658</v>
      </c>
      <c r="M20" s="341">
        <v>0</v>
      </c>
      <c r="N20" s="342">
        <f t="shared" si="2"/>
        <v>10682501</v>
      </c>
      <c r="O20" s="343">
        <f>N20*'Cash-flow PLAN'!$D$56/12</f>
        <v>93471.883749999994</v>
      </c>
      <c r="Q20" s="340">
        <v>45658</v>
      </c>
      <c r="R20" s="341">
        <v>0</v>
      </c>
      <c r="S20" s="342">
        <f t="shared" si="3"/>
        <v>0</v>
      </c>
      <c r="T20" s="343">
        <f>S20*'Cash-flow PLAN'!$D$57/12</f>
        <v>0</v>
      </c>
    </row>
    <row r="21" spans="2:20" ht="14.1">
      <c r="B21" s="345">
        <v>45689</v>
      </c>
      <c r="C21" s="341">
        <v>0</v>
      </c>
      <c r="D21" s="342">
        <f t="shared" si="0"/>
        <v>22465002</v>
      </c>
      <c r="E21" s="343">
        <f>D21*'Cash-flow PLAN'!$D$54/12</f>
        <v>196568.76749999999</v>
      </c>
      <c r="G21" s="345">
        <v>45689</v>
      </c>
      <c r="H21" s="341">
        <v>0</v>
      </c>
      <c r="I21" s="342">
        <f t="shared" si="1"/>
        <v>9000000</v>
      </c>
      <c r="J21" s="343">
        <f>I21*'Cash-flow M 22.7.'!$D$58/12</f>
        <v>82500</v>
      </c>
      <c r="L21" s="345">
        <v>45689</v>
      </c>
      <c r="M21" s="341">
        <v>0</v>
      </c>
      <c r="N21" s="342">
        <f t="shared" si="2"/>
        <v>10682501</v>
      </c>
      <c r="O21" s="343">
        <f>N21*'Cash-flow PLAN'!$D$56/12</f>
        <v>93471.883749999994</v>
      </c>
      <c r="Q21" s="345">
        <v>45689</v>
      </c>
      <c r="R21" s="341">
        <v>0</v>
      </c>
      <c r="S21" s="342">
        <f t="shared" si="3"/>
        <v>0</v>
      </c>
      <c r="T21" s="343">
        <f>S21*'Cash-flow PLAN'!$D$57/12</f>
        <v>0</v>
      </c>
    </row>
    <row r="22" spans="2:20" ht="14.1">
      <c r="B22" s="345">
        <v>45717</v>
      </c>
      <c r="C22" s="341">
        <v>0</v>
      </c>
      <c r="D22" s="342">
        <f t="shared" si="0"/>
        <v>22465002</v>
      </c>
      <c r="E22" s="343">
        <f>D22*'Cash-flow PLAN'!$D$54/12</f>
        <v>196568.76749999999</v>
      </c>
      <c r="G22" s="345">
        <v>45717</v>
      </c>
      <c r="H22" s="341">
        <v>0</v>
      </c>
      <c r="I22" s="342">
        <f t="shared" si="1"/>
        <v>9000000</v>
      </c>
      <c r="J22" s="343">
        <f>I22*'Cash-flow M 22.7.'!$D$58/12</f>
        <v>82500</v>
      </c>
      <c r="L22" s="345">
        <v>45717</v>
      </c>
      <c r="M22" s="341">
        <v>0</v>
      </c>
      <c r="N22" s="342">
        <f t="shared" si="2"/>
        <v>10682501</v>
      </c>
      <c r="O22" s="343">
        <f>N22*'Cash-flow PLAN'!$D$56/12</f>
        <v>93471.883749999994</v>
      </c>
      <c r="Q22" s="345">
        <v>45717</v>
      </c>
      <c r="R22" s="341">
        <v>0</v>
      </c>
      <c r="S22" s="342">
        <f t="shared" si="3"/>
        <v>0</v>
      </c>
      <c r="T22" s="343">
        <f>S22*'Cash-flow PLAN'!$D$57/12</f>
        <v>0</v>
      </c>
    </row>
    <row r="23" spans="2:20" ht="14.1">
      <c r="B23" s="345">
        <v>45748</v>
      </c>
      <c r="C23" s="341">
        <v>22465002</v>
      </c>
      <c r="D23" s="342">
        <f t="shared" si="0"/>
        <v>0</v>
      </c>
      <c r="E23" s="343">
        <f>D23*'Cash-flow PLAN'!$D$54/12</f>
        <v>0</v>
      </c>
      <c r="G23" s="345">
        <v>45748</v>
      </c>
      <c r="H23" s="341">
        <v>0</v>
      </c>
      <c r="I23" s="342">
        <f t="shared" si="1"/>
        <v>9000000</v>
      </c>
      <c r="J23" s="343">
        <f>I23*'Cash-flow M 22.7.'!$D$58/12</f>
        <v>82500</v>
      </c>
      <c r="L23" s="345">
        <v>45748</v>
      </c>
      <c r="M23" s="341">
        <v>10682501</v>
      </c>
      <c r="N23" s="342">
        <f t="shared" si="2"/>
        <v>0</v>
      </c>
      <c r="O23" s="343">
        <f>N23*'Cash-flow PLAN'!$D$56/12</f>
        <v>0</v>
      </c>
      <c r="Q23" s="345">
        <v>45748</v>
      </c>
      <c r="R23" s="341">
        <v>0</v>
      </c>
      <c r="S23" s="342">
        <f t="shared" si="3"/>
        <v>0</v>
      </c>
      <c r="T23" s="343">
        <f>S23*'Cash-flow PLAN'!$D$57/12</f>
        <v>0</v>
      </c>
    </row>
    <row r="24" spans="2:20" ht="14.1">
      <c r="B24" s="345">
        <v>45778</v>
      </c>
      <c r="C24" s="341">
        <v>0</v>
      </c>
      <c r="D24" s="342">
        <f t="shared" si="0"/>
        <v>0</v>
      </c>
      <c r="E24" s="343">
        <f>D24*'Cash-flow PLAN'!$D$54/12</f>
        <v>0</v>
      </c>
      <c r="G24" s="345">
        <v>45778</v>
      </c>
      <c r="H24" s="341">
        <v>0</v>
      </c>
      <c r="I24" s="342">
        <f t="shared" si="1"/>
        <v>9000000</v>
      </c>
      <c r="J24" s="343">
        <f>I24*'Cash-flow M 22.7.'!$D$58/12</f>
        <v>82500</v>
      </c>
      <c r="L24" s="345">
        <v>45778</v>
      </c>
      <c r="M24" s="341">
        <v>0</v>
      </c>
      <c r="N24" s="342">
        <f t="shared" si="2"/>
        <v>0</v>
      </c>
      <c r="O24" s="343">
        <f>N24*'Cash-flow PLAN'!$D$56/12</f>
        <v>0</v>
      </c>
      <c r="Q24" s="345">
        <v>45778</v>
      </c>
      <c r="R24" s="341">
        <v>0</v>
      </c>
      <c r="S24" s="342">
        <f t="shared" si="3"/>
        <v>0</v>
      </c>
      <c r="T24" s="343">
        <f>S24*'Cash-flow PLAN'!$D$57/12</f>
        <v>0</v>
      </c>
    </row>
    <row r="25" spans="2:20" ht="14.1">
      <c r="B25" s="346">
        <v>45809</v>
      </c>
      <c r="C25" s="341">
        <v>0</v>
      </c>
      <c r="D25" s="342">
        <f t="shared" si="0"/>
        <v>0</v>
      </c>
      <c r="E25" s="343">
        <f>D25*'Cash-flow PLAN'!$D$54/12</f>
        <v>0</v>
      </c>
      <c r="G25" s="346">
        <v>45809</v>
      </c>
      <c r="H25" s="341">
        <v>0</v>
      </c>
      <c r="I25" s="342">
        <f t="shared" si="1"/>
        <v>9000000</v>
      </c>
      <c r="J25" s="343">
        <f>I25*'Cash-flow M 22.7.'!$D$58/12</f>
        <v>82500</v>
      </c>
      <c r="L25" s="346">
        <v>45809</v>
      </c>
      <c r="M25" s="341">
        <v>0</v>
      </c>
      <c r="N25" s="342">
        <f t="shared" si="2"/>
        <v>0</v>
      </c>
      <c r="O25" s="343">
        <f>N25*'Cash-flow PLAN'!$D$56/12</f>
        <v>0</v>
      </c>
      <c r="Q25" s="346">
        <v>45809</v>
      </c>
      <c r="R25" s="341">
        <v>0</v>
      </c>
      <c r="S25" s="342">
        <f t="shared" si="3"/>
        <v>0</v>
      </c>
      <c r="T25" s="343">
        <f>S25*'Cash-flow PLAN'!$D$57/12</f>
        <v>0</v>
      </c>
    </row>
    <row r="26" spans="2:20" ht="14.1">
      <c r="B26" s="345">
        <v>45839</v>
      </c>
      <c r="C26" s="341">
        <v>0</v>
      </c>
      <c r="D26" s="342">
        <f t="shared" si="0"/>
        <v>0</v>
      </c>
      <c r="E26" s="343">
        <f>D26*'Cash-flow PLAN'!$D$54/12</f>
        <v>0</v>
      </c>
      <c r="G26" s="345">
        <v>45839</v>
      </c>
      <c r="H26" s="341">
        <v>0</v>
      </c>
      <c r="I26" s="342">
        <f t="shared" si="1"/>
        <v>9000000</v>
      </c>
      <c r="J26" s="343">
        <f>I26*'Cash-flow M 22.7.'!$D$58/12</f>
        <v>82500</v>
      </c>
      <c r="L26" s="345">
        <v>45839</v>
      </c>
      <c r="M26" s="341">
        <v>0</v>
      </c>
      <c r="N26" s="342">
        <f t="shared" si="2"/>
        <v>0</v>
      </c>
      <c r="O26" s="343">
        <f>N26*'Cash-flow PLAN'!$D$56/12</f>
        <v>0</v>
      </c>
      <c r="Q26" s="345">
        <v>45839</v>
      </c>
      <c r="R26" s="341">
        <v>0</v>
      </c>
      <c r="S26" s="342">
        <f t="shared" si="3"/>
        <v>0</v>
      </c>
      <c r="T26" s="343">
        <f>S26*'Cash-flow PLAN'!$D$57/12</f>
        <v>0</v>
      </c>
    </row>
    <row r="27" spans="2:20" ht="14.1">
      <c r="B27" s="345">
        <v>45870</v>
      </c>
      <c r="C27" s="341">
        <v>0</v>
      </c>
      <c r="D27" s="342">
        <f t="shared" si="0"/>
        <v>0</v>
      </c>
      <c r="E27" s="343">
        <f>D27*'Cash-flow PLAN'!$D$54/12</f>
        <v>0</v>
      </c>
      <c r="G27" s="345">
        <v>45870</v>
      </c>
      <c r="H27" s="341">
        <v>0</v>
      </c>
      <c r="I27" s="342">
        <f t="shared" si="1"/>
        <v>9000000</v>
      </c>
      <c r="J27" s="343">
        <f>I27*'Cash-flow M 22.7.'!$D$58/12</f>
        <v>82500</v>
      </c>
      <c r="L27" s="345">
        <v>45870</v>
      </c>
      <c r="M27" s="341">
        <v>0</v>
      </c>
      <c r="N27" s="342">
        <f t="shared" si="2"/>
        <v>0</v>
      </c>
      <c r="O27" s="343">
        <f>N27*'Cash-flow PLAN'!$D$56/12</f>
        <v>0</v>
      </c>
      <c r="Q27" s="345">
        <v>45870</v>
      </c>
      <c r="R27" s="341">
        <v>0</v>
      </c>
      <c r="S27" s="342">
        <f t="shared" si="3"/>
        <v>0</v>
      </c>
      <c r="T27" s="343">
        <f>S27*'Cash-flow PLAN'!$D$57/12</f>
        <v>0</v>
      </c>
    </row>
    <row r="28" spans="2:20" ht="14.1">
      <c r="B28" s="345">
        <v>45901</v>
      </c>
      <c r="C28" s="341">
        <v>0</v>
      </c>
      <c r="D28" s="342">
        <f t="shared" si="0"/>
        <v>0</v>
      </c>
      <c r="E28" s="343">
        <f>D28*'Cash-flow PLAN'!$D$54/12</f>
        <v>0</v>
      </c>
      <c r="G28" s="345">
        <v>45901</v>
      </c>
      <c r="H28" s="341">
        <v>0</v>
      </c>
      <c r="I28" s="342">
        <f t="shared" si="1"/>
        <v>9000000</v>
      </c>
      <c r="J28" s="343">
        <f>I28*'Cash-flow M 22.7.'!$D$58/12</f>
        <v>82500</v>
      </c>
      <c r="L28" s="345">
        <v>45901</v>
      </c>
      <c r="M28" s="341">
        <v>0</v>
      </c>
      <c r="N28" s="342">
        <f t="shared" si="2"/>
        <v>0</v>
      </c>
      <c r="O28" s="343">
        <f>N28*'Cash-flow PLAN'!$D$56/12</f>
        <v>0</v>
      </c>
      <c r="Q28" s="345">
        <v>45901</v>
      </c>
      <c r="R28" s="341">
        <v>0</v>
      </c>
      <c r="S28" s="342">
        <f t="shared" si="3"/>
        <v>0</v>
      </c>
      <c r="T28" s="343">
        <f>S28*'Cash-flow PLAN'!$D$57/12</f>
        <v>0</v>
      </c>
    </row>
    <row r="29" spans="2:20" ht="14.1">
      <c r="B29" s="345">
        <v>45931</v>
      </c>
      <c r="C29" s="341">
        <v>0</v>
      </c>
      <c r="D29" s="342">
        <f t="shared" si="0"/>
        <v>0</v>
      </c>
      <c r="E29" s="343">
        <f>D29*'Cash-flow PLAN'!$D$54/12</f>
        <v>0</v>
      </c>
      <c r="G29" s="345">
        <v>45931</v>
      </c>
      <c r="H29" s="341">
        <v>0</v>
      </c>
      <c r="I29" s="342">
        <f t="shared" si="1"/>
        <v>9000000</v>
      </c>
      <c r="J29" s="343">
        <f>I29*'Cash-flow M 22.7.'!$D$58/12</f>
        <v>82500</v>
      </c>
      <c r="L29" s="345">
        <v>45931</v>
      </c>
      <c r="M29" s="341">
        <v>0</v>
      </c>
      <c r="N29" s="342">
        <f t="shared" si="2"/>
        <v>0</v>
      </c>
      <c r="O29" s="343">
        <f>N29*'Cash-flow PLAN'!$D$56/12</f>
        <v>0</v>
      </c>
      <c r="Q29" s="345">
        <v>45931</v>
      </c>
      <c r="R29" s="341">
        <v>0</v>
      </c>
      <c r="S29" s="342">
        <f t="shared" si="3"/>
        <v>0</v>
      </c>
      <c r="T29" s="343">
        <f>S29*'Cash-flow PLAN'!$D$57/12</f>
        <v>0</v>
      </c>
    </row>
    <row r="30" spans="2:20" ht="14.1">
      <c r="B30" s="345">
        <v>45962</v>
      </c>
      <c r="C30" s="341">
        <v>0</v>
      </c>
      <c r="D30" s="342">
        <f t="shared" si="0"/>
        <v>0</v>
      </c>
      <c r="E30" s="343">
        <f>D30*'Cash-flow PLAN'!$D$54/12</f>
        <v>0</v>
      </c>
      <c r="G30" s="345">
        <v>45962</v>
      </c>
      <c r="H30" s="341">
        <v>0</v>
      </c>
      <c r="I30" s="342">
        <f t="shared" si="1"/>
        <v>9000000</v>
      </c>
      <c r="J30" s="343">
        <f>I30*'Cash-flow M 22.7.'!$D$58/12</f>
        <v>82500</v>
      </c>
      <c r="L30" s="345">
        <v>45962</v>
      </c>
      <c r="M30" s="341">
        <v>0</v>
      </c>
      <c r="N30" s="342">
        <f t="shared" si="2"/>
        <v>0</v>
      </c>
      <c r="O30" s="343">
        <f>N30*'Cash-flow PLAN'!$D$56/12</f>
        <v>0</v>
      </c>
      <c r="Q30" s="345">
        <v>45962</v>
      </c>
      <c r="R30" s="341">
        <v>0</v>
      </c>
      <c r="S30" s="342">
        <f t="shared" si="3"/>
        <v>0</v>
      </c>
      <c r="T30" s="343">
        <f>S30*'Cash-flow PLAN'!$D$57/12</f>
        <v>0</v>
      </c>
    </row>
    <row r="31" spans="2:20" ht="14.1">
      <c r="B31" s="345">
        <v>45992</v>
      </c>
      <c r="C31" s="341">
        <v>0</v>
      </c>
      <c r="D31" s="342">
        <f t="shared" si="0"/>
        <v>0</v>
      </c>
      <c r="E31" s="343">
        <f>D31*'Cash-flow PLAN'!$D$54/12</f>
        <v>0</v>
      </c>
      <c r="G31" s="345">
        <v>45992</v>
      </c>
      <c r="H31" s="341">
        <v>0</v>
      </c>
      <c r="I31" s="342">
        <f t="shared" si="1"/>
        <v>9000000</v>
      </c>
      <c r="J31" s="343">
        <f>I31*'Cash-flow M 22.7.'!$D$58/12</f>
        <v>82500</v>
      </c>
      <c r="L31" s="345">
        <v>45992</v>
      </c>
      <c r="M31" s="341">
        <v>0</v>
      </c>
      <c r="N31" s="342">
        <f t="shared" si="2"/>
        <v>0</v>
      </c>
      <c r="O31" s="343">
        <f>N31*'Cash-flow PLAN'!$D$56/12</f>
        <v>0</v>
      </c>
      <c r="Q31" s="345">
        <v>45992</v>
      </c>
      <c r="R31" s="341">
        <v>0</v>
      </c>
      <c r="S31" s="342">
        <f t="shared" si="3"/>
        <v>0</v>
      </c>
      <c r="T31" s="343">
        <f>S31*'Cash-flow PLAN'!$D$57/12</f>
        <v>0</v>
      </c>
    </row>
    <row r="32" spans="2:20" ht="14.1">
      <c r="B32" s="340">
        <v>46023</v>
      </c>
      <c r="C32" s="341">
        <v>0</v>
      </c>
      <c r="D32" s="342">
        <f t="shared" si="0"/>
        <v>0</v>
      </c>
      <c r="E32" s="343">
        <f>D32*'Cash-flow PLAN'!$D$54/12</f>
        <v>0</v>
      </c>
      <c r="G32" s="340">
        <v>46023</v>
      </c>
      <c r="H32" s="341">
        <v>9000000</v>
      </c>
      <c r="I32" s="342">
        <f t="shared" si="1"/>
        <v>0</v>
      </c>
      <c r="J32" s="343">
        <f>I32*'Cash-flow M 22.7.'!$D$58/12</f>
        <v>0</v>
      </c>
      <c r="K32" s="367">
        <f>-SUM(J14:J31)-J31</f>
        <v>-1485000</v>
      </c>
      <c r="L32" s="340">
        <v>46023</v>
      </c>
      <c r="M32" s="341">
        <v>0</v>
      </c>
      <c r="N32" s="342">
        <f t="shared" si="2"/>
        <v>0</v>
      </c>
      <c r="O32" s="343">
        <f>N32*'Cash-flow PLAN'!$D$56/12</f>
        <v>0</v>
      </c>
      <c r="Q32" s="340">
        <v>46023</v>
      </c>
      <c r="R32" s="341">
        <v>0</v>
      </c>
      <c r="S32" s="342">
        <f t="shared" si="3"/>
        <v>0</v>
      </c>
      <c r="T32" s="343">
        <f>S32*'Cash-flow PLAN'!$D$57/12</f>
        <v>0</v>
      </c>
    </row>
    <row r="33" spans="2:20" ht="14.1">
      <c r="B33" s="345">
        <v>46054</v>
      </c>
      <c r="C33" s="341">
        <v>0</v>
      </c>
      <c r="D33" s="342">
        <f t="shared" si="0"/>
        <v>0</v>
      </c>
      <c r="E33" s="343">
        <f>D33*'Cash-flow PLAN'!$D$54/12</f>
        <v>0</v>
      </c>
      <c r="G33" s="345">
        <v>46054</v>
      </c>
      <c r="H33" s="341">
        <v>0</v>
      </c>
      <c r="I33" s="342">
        <f t="shared" si="1"/>
        <v>0</v>
      </c>
      <c r="J33" s="343">
        <f>I33*'Cash-flow M 22.7.'!$D$58/12</f>
        <v>0</v>
      </c>
      <c r="L33" s="345">
        <v>46054</v>
      </c>
      <c r="M33" s="341">
        <v>0</v>
      </c>
      <c r="N33" s="342">
        <f t="shared" si="2"/>
        <v>0</v>
      </c>
      <c r="O33" s="343">
        <f>N33*'Cash-flow PLAN'!$D$56/12</f>
        <v>0</v>
      </c>
      <c r="Q33" s="345">
        <v>46054</v>
      </c>
      <c r="R33" s="341">
        <v>0</v>
      </c>
      <c r="S33" s="342">
        <f t="shared" si="3"/>
        <v>0</v>
      </c>
      <c r="T33" s="343">
        <f>S33*'Cash-flow PLAN'!$D$57/12</f>
        <v>0</v>
      </c>
    </row>
    <row r="34" spans="2:20" ht="14.1">
      <c r="B34" s="345">
        <v>46082</v>
      </c>
      <c r="C34" s="341">
        <v>0</v>
      </c>
      <c r="D34" s="342">
        <f t="shared" si="0"/>
        <v>0</v>
      </c>
      <c r="E34" s="343">
        <f>D34*'Cash-flow PLAN'!$D$54/12</f>
        <v>0</v>
      </c>
      <c r="G34" s="345">
        <v>46082</v>
      </c>
      <c r="H34" s="341">
        <v>0</v>
      </c>
      <c r="I34" s="342">
        <f t="shared" si="1"/>
        <v>0</v>
      </c>
      <c r="J34" s="343">
        <f>I34*'Cash-flow M 22.7.'!$D$58/12</f>
        <v>0</v>
      </c>
      <c r="L34" s="345">
        <v>46082</v>
      </c>
      <c r="M34" s="341">
        <v>0</v>
      </c>
      <c r="N34" s="342">
        <f t="shared" si="2"/>
        <v>0</v>
      </c>
      <c r="O34" s="343">
        <f>N34*'Cash-flow PLAN'!$D$56/12</f>
        <v>0</v>
      </c>
      <c r="Q34" s="345">
        <v>46082</v>
      </c>
      <c r="R34" s="341">
        <v>0</v>
      </c>
      <c r="S34" s="342">
        <f t="shared" si="3"/>
        <v>0</v>
      </c>
      <c r="T34" s="343">
        <f>S34*'Cash-flow PLAN'!$D$57/12</f>
        <v>0</v>
      </c>
    </row>
    <row r="35" spans="2:20" ht="14.1">
      <c r="B35" s="345">
        <v>46113</v>
      </c>
      <c r="C35" s="341">
        <v>0</v>
      </c>
      <c r="D35" s="342">
        <f t="shared" si="0"/>
        <v>0</v>
      </c>
      <c r="E35" s="343">
        <f>D35*'Cash-flow PLAN'!$D$54/12</f>
        <v>0</v>
      </c>
      <c r="G35" s="345">
        <v>46113</v>
      </c>
      <c r="H35" s="341">
        <v>0</v>
      </c>
      <c r="I35" s="342">
        <f t="shared" si="1"/>
        <v>0</v>
      </c>
      <c r="J35" s="343">
        <f>I35*'Cash-flow M 22.7.'!$D$58/12</f>
        <v>0</v>
      </c>
      <c r="L35" s="345">
        <v>46113</v>
      </c>
      <c r="M35" s="341">
        <v>0</v>
      </c>
      <c r="N35" s="342">
        <f t="shared" si="2"/>
        <v>0</v>
      </c>
      <c r="O35" s="343">
        <f>N35*'Cash-flow PLAN'!$D$56/12</f>
        <v>0</v>
      </c>
      <c r="Q35" s="345">
        <v>46113</v>
      </c>
      <c r="R35" s="341">
        <v>0</v>
      </c>
      <c r="S35" s="342">
        <f t="shared" si="3"/>
        <v>0</v>
      </c>
      <c r="T35" s="343">
        <f>S35*'Cash-flow PLAN'!$D$57/12</f>
        <v>0</v>
      </c>
    </row>
    <row r="36" spans="2:20" ht="14.1">
      <c r="B36" s="345">
        <v>46143</v>
      </c>
      <c r="C36" s="341">
        <v>0</v>
      </c>
      <c r="D36" s="342">
        <f t="shared" si="0"/>
        <v>0</v>
      </c>
      <c r="E36" s="343">
        <f>D36*'Cash-flow PLAN'!$D$54/12</f>
        <v>0</v>
      </c>
      <c r="G36" s="345">
        <v>46143</v>
      </c>
      <c r="H36" s="341">
        <v>0</v>
      </c>
      <c r="I36" s="342">
        <f t="shared" si="1"/>
        <v>0</v>
      </c>
      <c r="J36" s="343">
        <f>I36*'Cash-flow M 22.7.'!$D$58/12</f>
        <v>0</v>
      </c>
      <c r="L36" s="345">
        <v>46143</v>
      </c>
      <c r="M36" s="341">
        <v>0</v>
      </c>
      <c r="N36" s="342">
        <f t="shared" si="2"/>
        <v>0</v>
      </c>
      <c r="O36" s="343">
        <f>N36*'Cash-flow PLAN'!$D$56/12</f>
        <v>0</v>
      </c>
      <c r="Q36" s="345">
        <v>46143</v>
      </c>
      <c r="R36" s="341">
        <v>0</v>
      </c>
      <c r="S36" s="342">
        <f t="shared" si="3"/>
        <v>0</v>
      </c>
      <c r="T36" s="343">
        <f>S36*'Cash-flow PLAN'!$D$57/12</f>
        <v>0</v>
      </c>
    </row>
    <row r="37" spans="2:20" ht="14.1">
      <c r="B37" s="346">
        <v>46174</v>
      </c>
      <c r="C37" s="341">
        <v>0</v>
      </c>
      <c r="D37" s="342">
        <f t="shared" si="0"/>
        <v>0</v>
      </c>
      <c r="E37" s="343">
        <f>D37*'Cash-flow PLAN'!$D$54/12</f>
        <v>0</v>
      </c>
      <c r="G37" s="346">
        <v>46174</v>
      </c>
      <c r="H37" s="341">
        <v>0</v>
      </c>
      <c r="I37" s="342">
        <f t="shared" si="1"/>
        <v>0</v>
      </c>
      <c r="J37" s="343">
        <f>I37*'Cash-flow M 22.7.'!$D$58/12</f>
        <v>0</v>
      </c>
      <c r="L37" s="346">
        <v>46174</v>
      </c>
      <c r="M37" s="341">
        <v>0</v>
      </c>
      <c r="N37" s="342">
        <f t="shared" si="2"/>
        <v>0</v>
      </c>
      <c r="O37" s="343">
        <f>N37*'Cash-flow PLAN'!$D$56/12</f>
        <v>0</v>
      </c>
      <c r="Q37" s="346">
        <v>46174</v>
      </c>
      <c r="R37" s="341">
        <v>0</v>
      </c>
      <c r="S37" s="342">
        <f t="shared" si="3"/>
        <v>0</v>
      </c>
      <c r="T37" s="343">
        <f>S37*'Cash-flow PLAN'!$D$57/12</f>
        <v>0</v>
      </c>
    </row>
    <row r="38" spans="2:20" ht="14.1">
      <c r="B38" s="345">
        <v>46204</v>
      </c>
      <c r="C38" s="341">
        <v>0</v>
      </c>
      <c r="D38" s="342">
        <f t="shared" si="0"/>
        <v>0</v>
      </c>
      <c r="E38" s="343">
        <f>D38*'Cash-flow PLAN'!$D$54/12</f>
        <v>0</v>
      </c>
      <c r="G38" s="345">
        <v>46204</v>
      </c>
      <c r="H38" s="341">
        <v>0</v>
      </c>
      <c r="I38" s="342">
        <f t="shared" si="1"/>
        <v>0</v>
      </c>
      <c r="J38" s="343">
        <f>I38*'Cash-flow M 22.7.'!$D$58/12</f>
        <v>0</v>
      </c>
      <c r="L38" s="345">
        <v>46204</v>
      </c>
      <c r="M38" s="341">
        <v>0</v>
      </c>
      <c r="N38" s="342">
        <f t="shared" si="2"/>
        <v>0</v>
      </c>
      <c r="O38" s="343">
        <f>N38*'Cash-flow PLAN'!$D$56/12</f>
        <v>0</v>
      </c>
      <c r="Q38" s="345">
        <v>46204</v>
      </c>
      <c r="R38" s="341">
        <v>0</v>
      </c>
      <c r="S38" s="342">
        <f t="shared" si="3"/>
        <v>0</v>
      </c>
      <c r="T38" s="343">
        <f>S38*'Cash-flow PLAN'!$D$57/12</f>
        <v>0</v>
      </c>
    </row>
    <row r="39" spans="2:20" ht="14.1">
      <c r="B39" s="345">
        <v>46235</v>
      </c>
      <c r="C39" s="341">
        <v>0</v>
      </c>
      <c r="D39" s="342">
        <f t="shared" si="0"/>
        <v>0</v>
      </c>
      <c r="E39" s="343">
        <f>D39*'Cash-flow PLAN'!$D$54/12</f>
        <v>0</v>
      </c>
      <c r="G39" s="345">
        <v>46235</v>
      </c>
      <c r="H39" s="341">
        <v>0</v>
      </c>
      <c r="I39" s="342">
        <f t="shared" si="1"/>
        <v>0</v>
      </c>
      <c r="J39" s="343">
        <f>I39*'Cash-flow M 22.7.'!$D$58/12</f>
        <v>0</v>
      </c>
      <c r="L39" s="345">
        <v>46235</v>
      </c>
      <c r="M39" s="341">
        <v>0</v>
      </c>
      <c r="N39" s="342">
        <f t="shared" si="2"/>
        <v>0</v>
      </c>
      <c r="O39" s="343">
        <f>N39*'Cash-flow PLAN'!$D$56/12</f>
        <v>0</v>
      </c>
      <c r="Q39" s="345">
        <v>46235</v>
      </c>
      <c r="R39" s="341">
        <v>0</v>
      </c>
      <c r="S39" s="342">
        <f t="shared" si="3"/>
        <v>0</v>
      </c>
      <c r="T39" s="343">
        <f>S39*'Cash-flow PLAN'!$D$57/12</f>
        <v>0</v>
      </c>
    </row>
    <row r="40" spans="2:20" ht="14.1">
      <c r="B40" s="345">
        <v>46266</v>
      </c>
      <c r="C40" s="341">
        <v>0</v>
      </c>
      <c r="D40" s="342">
        <f t="shared" si="0"/>
        <v>0</v>
      </c>
      <c r="E40" s="343">
        <f>D40*'Cash-flow PLAN'!$D$54/12</f>
        <v>0</v>
      </c>
      <c r="G40" s="345">
        <v>46266</v>
      </c>
      <c r="H40" s="341">
        <v>0</v>
      </c>
      <c r="I40" s="342">
        <f t="shared" si="1"/>
        <v>0</v>
      </c>
      <c r="J40" s="343">
        <f>I40*'Cash-flow M 22.7.'!$D$58/12</f>
        <v>0</v>
      </c>
      <c r="L40" s="345">
        <v>46266</v>
      </c>
      <c r="M40" s="341">
        <v>0</v>
      </c>
      <c r="N40" s="342">
        <f t="shared" si="2"/>
        <v>0</v>
      </c>
      <c r="O40" s="343">
        <f>N40*'Cash-flow PLAN'!$D$56/12</f>
        <v>0</v>
      </c>
      <c r="Q40" s="345">
        <v>46266</v>
      </c>
      <c r="R40" s="341">
        <v>0</v>
      </c>
      <c r="S40" s="342">
        <f t="shared" si="3"/>
        <v>0</v>
      </c>
      <c r="T40" s="343">
        <f>S40*'Cash-flow PLAN'!$D$57/12</f>
        <v>0</v>
      </c>
    </row>
    <row r="41" spans="2:20" ht="14.1">
      <c r="B41" s="345">
        <v>46296</v>
      </c>
      <c r="C41" s="341">
        <v>0</v>
      </c>
      <c r="D41" s="342">
        <f t="shared" si="0"/>
        <v>0</v>
      </c>
      <c r="E41" s="343">
        <f>D41*'Cash-flow PLAN'!$D$54/12</f>
        <v>0</v>
      </c>
      <c r="G41" s="345">
        <v>46296</v>
      </c>
      <c r="H41" s="341">
        <v>0</v>
      </c>
      <c r="I41" s="342">
        <f t="shared" si="1"/>
        <v>0</v>
      </c>
      <c r="J41" s="343">
        <f>I41*'Cash-flow M 22.7.'!$D$58/12</f>
        <v>0</v>
      </c>
      <c r="L41" s="345">
        <v>46296</v>
      </c>
      <c r="M41" s="341">
        <v>0</v>
      </c>
      <c r="N41" s="342">
        <f t="shared" si="2"/>
        <v>0</v>
      </c>
      <c r="O41" s="343">
        <f>N41*'Cash-flow PLAN'!$D$56/12</f>
        <v>0</v>
      </c>
      <c r="Q41" s="345">
        <v>46296</v>
      </c>
      <c r="R41" s="341">
        <v>0</v>
      </c>
      <c r="S41" s="342">
        <f t="shared" si="3"/>
        <v>0</v>
      </c>
      <c r="T41" s="343">
        <f>S41*'Cash-flow PLAN'!$D$57/12</f>
        <v>0</v>
      </c>
    </row>
    <row r="42" spans="2:20" ht="14.1">
      <c r="B42" s="345">
        <v>46327</v>
      </c>
      <c r="C42" s="341">
        <v>0</v>
      </c>
      <c r="D42" s="342">
        <f t="shared" si="0"/>
        <v>0</v>
      </c>
      <c r="E42" s="343">
        <f>D42*'Cash-flow PLAN'!$D$54/12</f>
        <v>0</v>
      </c>
      <c r="G42" s="345">
        <v>46327</v>
      </c>
      <c r="H42" s="341">
        <v>0</v>
      </c>
      <c r="I42" s="342">
        <f t="shared" si="1"/>
        <v>0</v>
      </c>
      <c r="J42" s="343">
        <f>I42*'Cash-flow M 22.7.'!$D$58/12</f>
        <v>0</v>
      </c>
      <c r="L42" s="345">
        <v>46327</v>
      </c>
      <c r="M42" s="341">
        <v>0</v>
      </c>
      <c r="N42" s="342">
        <f t="shared" si="2"/>
        <v>0</v>
      </c>
      <c r="O42" s="343">
        <f>N42*'Cash-flow PLAN'!$D$56/12</f>
        <v>0</v>
      </c>
      <c r="Q42" s="345">
        <v>46327</v>
      </c>
      <c r="R42" s="341">
        <v>0</v>
      </c>
      <c r="S42" s="342">
        <f t="shared" si="3"/>
        <v>0</v>
      </c>
      <c r="T42" s="343">
        <f>S42*'Cash-flow PLAN'!$D$57/12</f>
        <v>0</v>
      </c>
    </row>
    <row r="43" spans="2:20" ht="14.1">
      <c r="B43" s="345">
        <v>46357</v>
      </c>
      <c r="C43" s="341">
        <v>0</v>
      </c>
      <c r="D43" s="342">
        <f t="shared" si="0"/>
        <v>0</v>
      </c>
      <c r="E43" s="343">
        <f>D43*'Cash-flow PLAN'!$D$54/12</f>
        <v>0</v>
      </c>
      <c r="G43" s="345">
        <v>46357</v>
      </c>
      <c r="H43" s="341">
        <v>0</v>
      </c>
      <c r="I43" s="342">
        <f t="shared" si="1"/>
        <v>0</v>
      </c>
      <c r="J43" s="343">
        <f>I43*'Cash-flow M 22.7.'!$D$58/12</f>
        <v>0</v>
      </c>
      <c r="L43" s="345">
        <v>46357</v>
      </c>
      <c r="M43" s="341">
        <v>0</v>
      </c>
      <c r="N43" s="342">
        <f t="shared" si="2"/>
        <v>0</v>
      </c>
      <c r="O43" s="343">
        <f>N43*'Cash-flow PLAN'!$D$56/12</f>
        <v>0</v>
      </c>
      <c r="Q43" s="345">
        <v>46357</v>
      </c>
      <c r="R43" s="341">
        <v>0</v>
      </c>
      <c r="S43" s="342">
        <f t="shared" si="3"/>
        <v>0</v>
      </c>
      <c r="T43" s="343">
        <f>S43*'Cash-flow PLAN'!$D$57/12</f>
        <v>0</v>
      </c>
    </row>
    <row r="44" spans="2:20" ht="14.1">
      <c r="B44" s="340">
        <v>46388</v>
      </c>
      <c r="C44" s="341">
        <v>0</v>
      </c>
      <c r="D44" s="342">
        <f t="shared" si="0"/>
        <v>0</v>
      </c>
      <c r="E44" s="343">
        <f>D44*'Cash-flow PLAN'!$D$54/12</f>
        <v>0</v>
      </c>
      <c r="G44" s="340">
        <v>46388</v>
      </c>
      <c r="H44" s="341">
        <v>0</v>
      </c>
      <c r="I44" s="342">
        <f t="shared" si="1"/>
        <v>0</v>
      </c>
      <c r="J44" s="343">
        <f>I44*'Cash-flow M 22.7.'!$D$58/12</f>
        <v>0</v>
      </c>
      <c r="L44" s="340">
        <v>46388</v>
      </c>
      <c r="M44" s="341">
        <v>0</v>
      </c>
      <c r="N44" s="342">
        <f t="shared" si="2"/>
        <v>0</v>
      </c>
      <c r="O44" s="343">
        <f>N44*'Cash-flow PLAN'!$D$56/12</f>
        <v>0</v>
      </c>
      <c r="Q44" s="340">
        <v>46388</v>
      </c>
      <c r="R44" s="341">
        <v>0</v>
      </c>
      <c r="S44" s="342">
        <f t="shared" si="3"/>
        <v>0</v>
      </c>
      <c r="T44" s="343">
        <f>S44*'Cash-flow PLAN'!$D$57/12</f>
        <v>0</v>
      </c>
    </row>
    <row r="45" spans="2:20" ht="14.1">
      <c r="B45" s="345">
        <v>46419</v>
      </c>
      <c r="C45" s="341">
        <v>0</v>
      </c>
      <c r="D45" s="342">
        <f t="shared" si="0"/>
        <v>0</v>
      </c>
      <c r="E45" s="343">
        <f>D45*'Cash-flow PLAN'!$D$54/12</f>
        <v>0</v>
      </c>
      <c r="G45" s="345">
        <v>46419</v>
      </c>
      <c r="H45" s="341">
        <v>0</v>
      </c>
      <c r="I45" s="342">
        <f t="shared" si="1"/>
        <v>0</v>
      </c>
      <c r="J45" s="343">
        <f>I45*'Cash-flow M 22.7.'!$D$58/12</f>
        <v>0</v>
      </c>
      <c r="L45" s="345">
        <v>46419</v>
      </c>
      <c r="M45" s="341">
        <v>0</v>
      </c>
      <c r="N45" s="342">
        <f t="shared" si="2"/>
        <v>0</v>
      </c>
      <c r="O45" s="343">
        <f>N45*'Cash-flow PLAN'!$D$56/12</f>
        <v>0</v>
      </c>
      <c r="Q45" s="345">
        <v>46419</v>
      </c>
      <c r="R45" s="341">
        <v>0</v>
      </c>
      <c r="S45" s="342">
        <f t="shared" si="3"/>
        <v>0</v>
      </c>
      <c r="T45" s="343">
        <f>S45*'Cash-flow PLAN'!$D$57/12</f>
        <v>0</v>
      </c>
    </row>
    <row r="46" spans="2:20" ht="14.1">
      <c r="B46" s="345">
        <v>46447</v>
      </c>
      <c r="C46" s="341">
        <v>0</v>
      </c>
      <c r="D46" s="342">
        <f t="shared" si="0"/>
        <v>0</v>
      </c>
      <c r="E46" s="343">
        <f>D46*'Cash-flow PLAN'!$D$54/12</f>
        <v>0</v>
      </c>
      <c r="G46" s="345">
        <v>46447</v>
      </c>
      <c r="H46" s="341">
        <v>0</v>
      </c>
      <c r="I46" s="342">
        <f t="shared" si="1"/>
        <v>0</v>
      </c>
      <c r="J46" s="343">
        <f>I46*'Cash-flow M 22.7.'!$D$58/12</f>
        <v>0</v>
      </c>
      <c r="L46" s="345">
        <v>46447</v>
      </c>
      <c r="M46" s="341">
        <v>0</v>
      </c>
      <c r="N46" s="342">
        <f t="shared" si="2"/>
        <v>0</v>
      </c>
      <c r="O46" s="343">
        <f>N46*'Cash-flow PLAN'!$D$56/12</f>
        <v>0</v>
      </c>
      <c r="Q46" s="345">
        <v>46447</v>
      </c>
      <c r="R46" s="341">
        <v>0</v>
      </c>
      <c r="S46" s="342">
        <f t="shared" si="3"/>
        <v>0</v>
      </c>
      <c r="T46" s="343">
        <f>S46*'Cash-flow PLAN'!$D$57/12</f>
        <v>0</v>
      </c>
    </row>
    <row r="47" spans="2:20" ht="14.1">
      <c r="B47" s="345">
        <v>46478</v>
      </c>
      <c r="C47" s="341">
        <v>0</v>
      </c>
      <c r="D47" s="342">
        <f t="shared" si="0"/>
        <v>0</v>
      </c>
      <c r="E47" s="343">
        <f>D47*'Cash-flow PLAN'!$D$54/12</f>
        <v>0</v>
      </c>
      <c r="G47" s="345">
        <v>46478</v>
      </c>
      <c r="H47" s="341">
        <v>0</v>
      </c>
      <c r="I47" s="342">
        <f t="shared" si="1"/>
        <v>0</v>
      </c>
      <c r="J47" s="343">
        <f>I47*'Cash-flow M 22.7.'!$D$58/12</f>
        <v>0</v>
      </c>
      <c r="L47" s="345">
        <v>46478</v>
      </c>
      <c r="M47" s="341">
        <v>0</v>
      </c>
      <c r="N47" s="342">
        <f t="shared" si="2"/>
        <v>0</v>
      </c>
      <c r="O47" s="343">
        <f>N47*'Cash-flow PLAN'!$D$56/12</f>
        <v>0</v>
      </c>
      <c r="Q47" s="345">
        <v>46478</v>
      </c>
      <c r="R47" s="341">
        <v>0</v>
      </c>
      <c r="S47" s="342">
        <f t="shared" si="3"/>
        <v>0</v>
      </c>
      <c r="T47" s="343">
        <f>S47*'Cash-flow PLAN'!$D$57/12</f>
        <v>0</v>
      </c>
    </row>
    <row r="48" spans="2:20" ht="14.1">
      <c r="B48" s="345">
        <v>46508</v>
      </c>
      <c r="C48" s="341">
        <v>0</v>
      </c>
      <c r="D48" s="342">
        <f t="shared" si="0"/>
        <v>0</v>
      </c>
      <c r="E48" s="343">
        <f>D48*'Cash-flow PLAN'!$D$54/12</f>
        <v>0</v>
      </c>
      <c r="G48" s="345">
        <v>46508</v>
      </c>
      <c r="H48" s="341">
        <v>0</v>
      </c>
      <c r="I48" s="342">
        <f t="shared" si="1"/>
        <v>0</v>
      </c>
      <c r="J48" s="343">
        <f>I48*'Cash-flow M 22.7.'!$D$58/12</f>
        <v>0</v>
      </c>
      <c r="L48" s="345">
        <v>46508</v>
      </c>
      <c r="M48" s="341">
        <v>0</v>
      </c>
      <c r="N48" s="342">
        <f t="shared" si="2"/>
        <v>0</v>
      </c>
      <c r="O48" s="343">
        <f>N48*'Cash-flow PLAN'!$D$56/12</f>
        <v>0</v>
      </c>
      <c r="Q48" s="345">
        <v>46508</v>
      </c>
      <c r="R48" s="341">
        <v>0</v>
      </c>
      <c r="S48" s="342">
        <f t="shared" si="3"/>
        <v>0</v>
      </c>
      <c r="T48" s="343">
        <f>S48*'Cash-flow PLAN'!$D$57/12</f>
        <v>0</v>
      </c>
    </row>
    <row r="49" spans="2:20" ht="14.1">
      <c r="B49" s="346">
        <v>46539</v>
      </c>
      <c r="C49" s="341">
        <v>0</v>
      </c>
      <c r="D49" s="342">
        <f t="shared" si="0"/>
        <v>0</v>
      </c>
      <c r="E49" s="343">
        <f>D49*'Cash-flow PLAN'!$D$54/12</f>
        <v>0</v>
      </c>
      <c r="G49" s="346">
        <v>46539</v>
      </c>
      <c r="H49" s="341">
        <v>0</v>
      </c>
      <c r="I49" s="342">
        <f t="shared" si="1"/>
        <v>0</v>
      </c>
      <c r="J49" s="343">
        <f>I49*'Cash-flow M 22.7.'!$D$58/12</f>
        <v>0</v>
      </c>
      <c r="L49" s="346">
        <v>46539</v>
      </c>
      <c r="M49" s="341">
        <v>0</v>
      </c>
      <c r="N49" s="342">
        <f t="shared" si="2"/>
        <v>0</v>
      </c>
      <c r="O49" s="343">
        <f>N49*'Cash-flow PLAN'!$D$56/12</f>
        <v>0</v>
      </c>
      <c r="Q49" s="346">
        <v>46539</v>
      </c>
      <c r="R49" s="341">
        <v>0</v>
      </c>
      <c r="S49" s="342">
        <f t="shared" si="3"/>
        <v>0</v>
      </c>
      <c r="T49" s="343">
        <f>S49*'Cash-flow PLAN'!$D$57/12</f>
        <v>0</v>
      </c>
    </row>
    <row r="50" spans="2:20" ht="14.1">
      <c r="B50" s="345">
        <v>46569</v>
      </c>
      <c r="C50" s="341">
        <v>0</v>
      </c>
      <c r="D50" s="342">
        <f t="shared" si="0"/>
        <v>0</v>
      </c>
      <c r="E50" s="343">
        <f>D50*'Cash-flow PLAN'!$D$54/12</f>
        <v>0</v>
      </c>
      <c r="G50" s="345">
        <v>46569</v>
      </c>
      <c r="H50" s="341">
        <v>0</v>
      </c>
      <c r="I50" s="342">
        <f t="shared" si="1"/>
        <v>0</v>
      </c>
      <c r="J50" s="343">
        <f>I50*'Cash-flow M 22.7.'!$D$58/12</f>
        <v>0</v>
      </c>
      <c r="L50" s="345">
        <v>46569</v>
      </c>
      <c r="M50" s="341">
        <v>0</v>
      </c>
      <c r="N50" s="342">
        <f t="shared" si="2"/>
        <v>0</v>
      </c>
      <c r="O50" s="343">
        <f>N50*'Cash-flow PLAN'!$D$56/12</f>
        <v>0</v>
      </c>
      <c r="Q50" s="345">
        <v>46569</v>
      </c>
      <c r="R50" s="341">
        <v>0</v>
      </c>
      <c r="S50" s="342">
        <f t="shared" si="3"/>
        <v>0</v>
      </c>
      <c r="T50" s="343">
        <f>S50*'Cash-flow PLAN'!$D$57/12</f>
        <v>0</v>
      </c>
    </row>
    <row r="51" spans="2:20" ht="14.1">
      <c r="B51" s="345">
        <v>46600</v>
      </c>
      <c r="C51" s="341">
        <v>0</v>
      </c>
      <c r="D51" s="342">
        <f t="shared" si="0"/>
        <v>0</v>
      </c>
      <c r="E51" s="343">
        <f>D51*'Cash-flow PLAN'!$D$54/12</f>
        <v>0</v>
      </c>
      <c r="G51" s="345">
        <v>46600</v>
      </c>
      <c r="H51" s="341">
        <v>0</v>
      </c>
      <c r="I51" s="342">
        <f t="shared" si="1"/>
        <v>0</v>
      </c>
      <c r="J51" s="343">
        <f>I51*'Cash-flow M 22.7.'!$D$58/12</f>
        <v>0</v>
      </c>
      <c r="L51" s="345">
        <v>46600</v>
      </c>
      <c r="M51" s="341">
        <v>0</v>
      </c>
      <c r="N51" s="342">
        <f t="shared" si="2"/>
        <v>0</v>
      </c>
      <c r="O51" s="343">
        <f>N51*'Cash-flow PLAN'!$D$56/12</f>
        <v>0</v>
      </c>
      <c r="Q51" s="345">
        <v>46600</v>
      </c>
      <c r="R51" s="341">
        <v>0</v>
      </c>
      <c r="S51" s="342">
        <f t="shared" si="3"/>
        <v>0</v>
      </c>
      <c r="T51" s="343">
        <f>S51*'Cash-flow PLAN'!$D$57/12</f>
        <v>0</v>
      </c>
    </row>
    <row r="52" spans="2:20" ht="14.1">
      <c r="B52" s="345">
        <v>46631</v>
      </c>
      <c r="C52" s="341">
        <v>0</v>
      </c>
      <c r="D52" s="342">
        <f t="shared" si="0"/>
        <v>0</v>
      </c>
      <c r="E52" s="343">
        <f>D52*'Cash-flow PLAN'!$D$54/12</f>
        <v>0</v>
      </c>
      <c r="G52" s="345">
        <v>46631</v>
      </c>
      <c r="H52" s="341">
        <v>0</v>
      </c>
      <c r="I52" s="342">
        <f t="shared" si="1"/>
        <v>0</v>
      </c>
      <c r="J52" s="343">
        <f>I52*'Cash-flow M 22.7.'!$D$58/12</f>
        <v>0</v>
      </c>
      <c r="L52" s="345">
        <v>46631</v>
      </c>
      <c r="M52" s="341">
        <v>0</v>
      </c>
      <c r="N52" s="342">
        <f t="shared" si="2"/>
        <v>0</v>
      </c>
      <c r="O52" s="343">
        <f>N52*'Cash-flow PLAN'!$D$56/12</f>
        <v>0</v>
      </c>
      <c r="Q52" s="345">
        <v>46631</v>
      </c>
      <c r="R52" s="341">
        <v>0</v>
      </c>
      <c r="S52" s="342">
        <f t="shared" si="3"/>
        <v>0</v>
      </c>
      <c r="T52" s="343">
        <f>S52*'Cash-flow PLAN'!$D$57/12</f>
        <v>0</v>
      </c>
    </row>
    <row r="53" spans="2:20" ht="14.1">
      <c r="B53" s="345">
        <v>46661</v>
      </c>
      <c r="C53" s="341">
        <v>0</v>
      </c>
      <c r="D53" s="342">
        <f t="shared" si="0"/>
        <v>0</v>
      </c>
      <c r="E53" s="343">
        <f>D53*'Cash-flow PLAN'!$D$54/12</f>
        <v>0</v>
      </c>
      <c r="G53" s="345">
        <v>46661</v>
      </c>
      <c r="H53" s="341">
        <v>0</v>
      </c>
      <c r="I53" s="342">
        <f t="shared" si="1"/>
        <v>0</v>
      </c>
      <c r="J53" s="343">
        <f>I53*'Cash-flow M 22.7.'!$D$58/12</f>
        <v>0</v>
      </c>
      <c r="L53" s="345">
        <v>46661</v>
      </c>
      <c r="M53" s="341">
        <v>0</v>
      </c>
      <c r="N53" s="342">
        <f t="shared" si="2"/>
        <v>0</v>
      </c>
      <c r="O53" s="343">
        <f>N53*'Cash-flow PLAN'!$D$56/12</f>
        <v>0</v>
      </c>
      <c r="Q53" s="345">
        <v>46661</v>
      </c>
      <c r="R53" s="341">
        <v>0</v>
      </c>
      <c r="S53" s="342">
        <f t="shared" si="3"/>
        <v>0</v>
      </c>
      <c r="T53" s="343">
        <f>S53*'Cash-flow PLAN'!$D$57/12</f>
        <v>0</v>
      </c>
    </row>
    <row r="54" spans="2:20" ht="14.1">
      <c r="B54" s="345">
        <v>46692</v>
      </c>
      <c r="C54" s="341">
        <v>0</v>
      </c>
      <c r="D54" s="342">
        <f t="shared" si="0"/>
        <v>0</v>
      </c>
      <c r="E54" s="343">
        <f>D54*'Cash-flow PLAN'!$D$54/12</f>
        <v>0</v>
      </c>
      <c r="G54" s="345">
        <v>46692</v>
      </c>
      <c r="H54" s="341">
        <v>0</v>
      </c>
      <c r="I54" s="342">
        <f t="shared" si="1"/>
        <v>0</v>
      </c>
      <c r="J54" s="343">
        <f>I54*'Cash-flow M 22.7.'!$D$58/12</f>
        <v>0</v>
      </c>
      <c r="L54" s="345">
        <v>46692</v>
      </c>
      <c r="M54" s="341">
        <v>0</v>
      </c>
      <c r="N54" s="342">
        <f t="shared" si="2"/>
        <v>0</v>
      </c>
      <c r="O54" s="343">
        <f>N54*'Cash-flow PLAN'!$D$56/12</f>
        <v>0</v>
      </c>
      <c r="Q54" s="345">
        <v>46692</v>
      </c>
      <c r="R54" s="341">
        <v>0</v>
      </c>
      <c r="S54" s="342">
        <f t="shared" si="3"/>
        <v>0</v>
      </c>
      <c r="T54" s="343">
        <f>S54*'Cash-flow PLAN'!$D$57/12</f>
        <v>0</v>
      </c>
    </row>
    <row r="55" spans="2:20" ht="14.1">
      <c r="B55" s="345">
        <v>46722</v>
      </c>
      <c r="C55" s="341">
        <v>0</v>
      </c>
      <c r="D55" s="342">
        <f t="shared" si="0"/>
        <v>0</v>
      </c>
      <c r="E55" s="343">
        <f>D55*'Cash-flow PLAN'!$D$54/12</f>
        <v>0</v>
      </c>
      <c r="G55" s="345">
        <v>46722</v>
      </c>
      <c r="H55" s="341">
        <v>0</v>
      </c>
      <c r="I55" s="342">
        <f t="shared" si="1"/>
        <v>0</v>
      </c>
      <c r="J55" s="343">
        <f>I55*'Cash-flow M 22.7.'!$D$58/12</f>
        <v>0</v>
      </c>
      <c r="L55" s="345">
        <v>46722</v>
      </c>
      <c r="M55" s="341">
        <v>0</v>
      </c>
      <c r="N55" s="342">
        <f t="shared" si="2"/>
        <v>0</v>
      </c>
      <c r="O55" s="343">
        <f>N55*'Cash-flow PLAN'!$D$56/12</f>
        <v>0</v>
      </c>
      <c r="Q55" s="345">
        <v>46722</v>
      </c>
      <c r="R55" s="341">
        <v>0</v>
      </c>
      <c r="S55" s="342">
        <f t="shared" si="3"/>
        <v>0</v>
      </c>
      <c r="T55" s="343">
        <f>S55*'Cash-flow PLAN'!$D$57/12</f>
        <v>0</v>
      </c>
    </row>
    <row r="56" spans="2:20" ht="14.1">
      <c r="B56" s="340">
        <v>46753</v>
      </c>
      <c r="C56" s="341">
        <v>0</v>
      </c>
      <c r="D56" s="342">
        <f t="shared" si="0"/>
        <v>0</v>
      </c>
      <c r="E56" s="343">
        <f>D56*'Cash-flow PLAN'!$D$54/12</f>
        <v>0</v>
      </c>
      <c r="G56" s="340">
        <v>46753</v>
      </c>
      <c r="H56" s="341">
        <v>0</v>
      </c>
      <c r="I56" s="342">
        <f t="shared" si="1"/>
        <v>0</v>
      </c>
      <c r="J56" s="343">
        <f>I56*'Cash-flow M 22.7.'!$D$58/12</f>
        <v>0</v>
      </c>
      <c r="L56" s="340">
        <v>46753</v>
      </c>
      <c r="M56" s="341">
        <v>0</v>
      </c>
      <c r="N56" s="342">
        <f t="shared" si="2"/>
        <v>0</v>
      </c>
      <c r="O56" s="343">
        <f>N56*'Cash-flow PLAN'!$D$56/12</f>
        <v>0</v>
      </c>
      <c r="Q56" s="340">
        <v>46753</v>
      </c>
      <c r="R56" s="341">
        <v>0</v>
      </c>
      <c r="S56" s="342">
        <f t="shared" si="3"/>
        <v>0</v>
      </c>
      <c r="T56" s="343">
        <f>S56*'Cash-flow PLAN'!$D$57/12</f>
        <v>0</v>
      </c>
    </row>
    <row r="57" spans="2:20" ht="14.1">
      <c r="B57" s="345">
        <v>46784</v>
      </c>
      <c r="C57" s="341">
        <v>0</v>
      </c>
      <c r="D57" s="342">
        <f t="shared" si="0"/>
        <v>0</v>
      </c>
      <c r="E57" s="343">
        <f>D57*'Cash-flow PLAN'!$D$54/12</f>
        <v>0</v>
      </c>
      <c r="G57" s="345">
        <v>46784</v>
      </c>
      <c r="H57" s="341">
        <v>0</v>
      </c>
      <c r="I57" s="342">
        <f t="shared" si="1"/>
        <v>0</v>
      </c>
      <c r="J57" s="343">
        <f>I57*'Cash-flow M 22.7.'!$D$58/12</f>
        <v>0</v>
      </c>
      <c r="L57" s="345">
        <v>46784</v>
      </c>
      <c r="M57" s="341">
        <v>0</v>
      </c>
      <c r="N57" s="342">
        <f t="shared" si="2"/>
        <v>0</v>
      </c>
      <c r="O57" s="343">
        <f>N57*'Cash-flow PLAN'!$D$56/12</f>
        <v>0</v>
      </c>
      <c r="Q57" s="345">
        <v>46784</v>
      </c>
      <c r="R57" s="341">
        <v>0</v>
      </c>
      <c r="S57" s="342">
        <f t="shared" si="3"/>
        <v>0</v>
      </c>
      <c r="T57" s="343">
        <f>S57*'Cash-flow PLAN'!$D$57/12</f>
        <v>0</v>
      </c>
    </row>
    <row r="58" spans="2:20" ht="14.1">
      <c r="B58" s="345">
        <v>46813</v>
      </c>
      <c r="C58" s="341">
        <v>0</v>
      </c>
      <c r="D58" s="342">
        <f t="shared" si="0"/>
        <v>0</v>
      </c>
      <c r="E58" s="343">
        <f>D58*'Cash-flow PLAN'!$D$54/12</f>
        <v>0</v>
      </c>
      <c r="G58" s="345">
        <v>46813</v>
      </c>
      <c r="H58" s="341">
        <v>0</v>
      </c>
      <c r="I58" s="342">
        <f t="shared" si="1"/>
        <v>0</v>
      </c>
      <c r="J58" s="343">
        <f>I58*'Cash-flow M 22.7.'!$D$58/12</f>
        <v>0</v>
      </c>
      <c r="L58" s="345">
        <v>46813</v>
      </c>
      <c r="M58" s="341">
        <v>0</v>
      </c>
      <c r="N58" s="342">
        <f t="shared" si="2"/>
        <v>0</v>
      </c>
      <c r="O58" s="343">
        <f>N58*'Cash-flow PLAN'!$D$56/12</f>
        <v>0</v>
      </c>
      <c r="Q58" s="345">
        <v>46813</v>
      </c>
      <c r="R58" s="341">
        <v>0</v>
      </c>
      <c r="S58" s="342">
        <f t="shared" si="3"/>
        <v>0</v>
      </c>
      <c r="T58" s="343">
        <f>S58*'Cash-flow PLAN'!$D$57/12</f>
        <v>0</v>
      </c>
    </row>
    <row r="59" spans="2:20" ht="14.1">
      <c r="B59" s="345">
        <v>46844</v>
      </c>
      <c r="C59" s="341">
        <v>0</v>
      </c>
      <c r="D59" s="342">
        <f t="shared" si="0"/>
        <v>0</v>
      </c>
      <c r="E59" s="343">
        <f>D59*'Cash-flow PLAN'!$D$54/12</f>
        <v>0</v>
      </c>
      <c r="G59" s="345">
        <v>46844</v>
      </c>
      <c r="H59" s="341">
        <v>0</v>
      </c>
      <c r="I59" s="342">
        <f t="shared" si="1"/>
        <v>0</v>
      </c>
      <c r="J59" s="343">
        <f>I59*'Cash-flow M 22.7.'!$D$58/12</f>
        <v>0</v>
      </c>
      <c r="L59" s="345">
        <v>46844</v>
      </c>
      <c r="M59" s="341">
        <v>0</v>
      </c>
      <c r="N59" s="342">
        <f t="shared" si="2"/>
        <v>0</v>
      </c>
      <c r="O59" s="343">
        <f>N59*'Cash-flow PLAN'!$D$56/12</f>
        <v>0</v>
      </c>
      <c r="Q59" s="345">
        <v>46844</v>
      </c>
      <c r="R59" s="341">
        <v>0</v>
      </c>
      <c r="S59" s="342">
        <f t="shared" si="3"/>
        <v>0</v>
      </c>
      <c r="T59" s="343">
        <f>S59*'Cash-flow PLAN'!$D$57/12</f>
        <v>0</v>
      </c>
    </row>
    <row r="60" spans="2:20" ht="14.1">
      <c r="B60" s="345">
        <v>46874</v>
      </c>
      <c r="C60" s="341">
        <v>0</v>
      </c>
      <c r="D60" s="342">
        <f t="shared" si="0"/>
        <v>0</v>
      </c>
      <c r="E60" s="343">
        <f>D60*'Cash-flow PLAN'!$D$54/12</f>
        <v>0</v>
      </c>
      <c r="G60" s="345">
        <v>46874</v>
      </c>
      <c r="H60" s="341">
        <v>0</v>
      </c>
      <c r="I60" s="342">
        <f t="shared" si="1"/>
        <v>0</v>
      </c>
      <c r="J60" s="343">
        <f>I60*'Cash-flow M 22.7.'!$D$58/12</f>
        <v>0</v>
      </c>
      <c r="L60" s="345">
        <v>46874</v>
      </c>
      <c r="M60" s="341">
        <v>0</v>
      </c>
      <c r="N60" s="342">
        <f t="shared" si="2"/>
        <v>0</v>
      </c>
      <c r="O60" s="343">
        <f>N60*'Cash-flow PLAN'!$D$56/12</f>
        <v>0</v>
      </c>
      <c r="Q60" s="345">
        <v>46874</v>
      </c>
      <c r="R60" s="341">
        <v>0</v>
      </c>
      <c r="S60" s="342">
        <f t="shared" si="3"/>
        <v>0</v>
      </c>
      <c r="T60" s="343">
        <f>S60*'Cash-flow PLAN'!$D$57/12</f>
        <v>0</v>
      </c>
    </row>
    <row r="61" spans="2:20" ht="14.1">
      <c r="B61" s="346">
        <v>46905</v>
      </c>
      <c r="C61" s="341">
        <v>0</v>
      </c>
      <c r="D61" s="342">
        <f t="shared" si="0"/>
        <v>0</v>
      </c>
      <c r="E61" s="343">
        <f>D61*'Cash-flow PLAN'!$D$54/12</f>
        <v>0</v>
      </c>
      <c r="G61" s="346">
        <v>46905</v>
      </c>
      <c r="H61" s="341">
        <v>0</v>
      </c>
      <c r="I61" s="342">
        <f t="shared" si="1"/>
        <v>0</v>
      </c>
      <c r="J61" s="343">
        <f>I61*'Cash-flow M 22.7.'!$D$58/12</f>
        <v>0</v>
      </c>
      <c r="L61" s="346">
        <v>46905</v>
      </c>
      <c r="M61" s="341">
        <v>0</v>
      </c>
      <c r="N61" s="342">
        <f t="shared" si="2"/>
        <v>0</v>
      </c>
      <c r="O61" s="343">
        <f>N61*'Cash-flow PLAN'!$D$56/12</f>
        <v>0</v>
      </c>
      <c r="Q61" s="346">
        <v>46905</v>
      </c>
      <c r="R61" s="341">
        <v>0</v>
      </c>
      <c r="S61" s="342">
        <f t="shared" si="3"/>
        <v>0</v>
      </c>
      <c r="T61" s="343">
        <f>S61*'Cash-flow PLAN'!$D$57/12</f>
        <v>0</v>
      </c>
    </row>
    <row r="62" spans="2:20" ht="14.1">
      <c r="B62" s="345">
        <v>46935</v>
      </c>
      <c r="C62" s="341">
        <v>0</v>
      </c>
      <c r="D62" s="342">
        <f t="shared" si="0"/>
        <v>0</v>
      </c>
      <c r="E62" s="343">
        <f>D62*'Cash-flow PLAN'!$D$54/12</f>
        <v>0</v>
      </c>
      <c r="G62" s="345">
        <v>46935</v>
      </c>
      <c r="H62" s="341">
        <v>0</v>
      </c>
      <c r="I62" s="342">
        <f t="shared" si="1"/>
        <v>0</v>
      </c>
      <c r="J62" s="343">
        <f>I62*'Cash-flow M 22.7.'!$D$58/12</f>
        <v>0</v>
      </c>
      <c r="L62" s="345">
        <v>46935</v>
      </c>
      <c r="M62" s="341">
        <v>0</v>
      </c>
      <c r="N62" s="342">
        <f t="shared" si="2"/>
        <v>0</v>
      </c>
      <c r="O62" s="343">
        <f>N62*'Cash-flow PLAN'!$D$56/12</f>
        <v>0</v>
      </c>
      <c r="Q62" s="345">
        <v>46935</v>
      </c>
      <c r="R62" s="341">
        <v>0</v>
      </c>
      <c r="S62" s="342">
        <f t="shared" si="3"/>
        <v>0</v>
      </c>
      <c r="T62" s="343">
        <f>S62*'Cash-flow PLAN'!$D$57/12</f>
        <v>0</v>
      </c>
    </row>
    <row r="63" spans="2:20" ht="14.1">
      <c r="B63" s="345">
        <v>46966</v>
      </c>
      <c r="C63" s="341">
        <v>0</v>
      </c>
      <c r="D63" s="342">
        <f t="shared" si="0"/>
        <v>0</v>
      </c>
      <c r="E63" s="343">
        <f>D63*'Cash-flow PLAN'!$D$54/12</f>
        <v>0</v>
      </c>
      <c r="G63" s="345">
        <v>46966</v>
      </c>
      <c r="H63" s="341">
        <v>0</v>
      </c>
      <c r="I63" s="342">
        <f t="shared" si="1"/>
        <v>0</v>
      </c>
      <c r="J63" s="343">
        <f>I63*'Cash-flow M 22.7.'!$D$58/12</f>
        <v>0</v>
      </c>
      <c r="L63" s="345">
        <v>46966</v>
      </c>
      <c r="M63" s="341">
        <v>0</v>
      </c>
      <c r="N63" s="342">
        <f t="shared" si="2"/>
        <v>0</v>
      </c>
      <c r="O63" s="343">
        <f>N63*'Cash-flow PLAN'!$D$56/12</f>
        <v>0</v>
      </c>
      <c r="Q63" s="345">
        <v>46966</v>
      </c>
      <c r="R63" s="341">
        <v>0</v>
      </c>
      <c r="S63" s="342">
        <f t="shared" si="3"/>
        <v>0</v>
      </c>
      <c r="T63" s="343">
        <f>S63*'Cash-flow PLAN'!$D$57/12</f>
        <v>0</v>
      </c>
    </row>
    <row r="64" spans="2:20" ht="14.1">
      <c r="B64" s="345">
        <v>46997</v>
      </c>
      <c r="C64" s="341">
        <v>0</v>
      </c>
      <c r="D64" s="342">
        <f t="shared" si="0"/>
        <v>0</v>
      </c>
      <c r="E64" s="343">
        <f>D64*'Cash-flow PLAN'!$D$54/12</f>
        <v>0</v>
      </c>
      <c r="G64" s="345">
        <v>46997</v>
      </c>
      <c r="H64" s="341">
        <v>0</v>
      </c>
      <c r="I64" s="342">
        <f t="shared" si="1"/>
        <v>0</v>
      </c>
      <c r="J64" s="343">
        <f>I64*'Cash-flow M 22.7.'!$D$58/12</f>
        <v>0</v>
      </c>
      <c r="L64" s="345">
        <v>46997</v>
      </c>
      <c r="M64" s="341">
        <v>0</v>
      </c>
      <c r="N64" s="342">
        <f t="shared" si="2"/>
        <v>0</v>
      </c>
      <c r="O64" s="343">
        <f>N64*'Cash-flow PLAN'!$D$56/12</f>
        <v>0</v>
      </c>
      <c r="Q64" s="345">
        <v>46997</v>
      </c>
      <c r="R64" s="341">
        <v>0</v>
      </c>
      <c r="S64" s="342">
        <f t="shared" si="3"/>
        <v>0</v>
      </c>
      <c r="T64" s="343">
        <f>S64*'Cash-flow PLAN'!$D$57/12</f>
        <v>0</v>
      </c>
    </row>
    <row r="65" spans="2:20" ht="14.1">
      <c r="B65" s="345">
        <v>47027</v>
      </c>
      <c r="C65" s="341">
        <v>0</v>
      </c>
      <c r="D65" s="342">
        <f t="shared" si="0"/>
        <v>0</v>
      </c>
      <c r="E65" s="343">
        <f>D65*'Cash-flow PLAN'!$D$54/12</f>
        <v>0</v>
      </c>
      <c r="G65" s="345">
        <v>47027</v>
      </c>
      <c r="H65" s="341">
        <v>0</v>
      </c>
      <c r="I65" s="342">
        <f t="shared" si="1"/>
        <v>0</v>
      </c>
      <c r="J65" s="343">
        <f>I65*'Cash-flow M 22.7.'!$D$58/12</f>
        <v>0</v>
      </c>
      <c r="L65" s="345">
        <v>47027</v>
      </c>
      <c r="M65" s="341">
        <v>0</v>
      </c>
      <c r="N65" s="342">
        <f t="shared" si="2"/>
        <v>0</v>
      </c>
      <c r="O65" s="343">
        <f>N65*'Cash-flow PLAN'!$D$56/12</f>
        <v>0</v>
      </c>
      <c r="Q65" s="345">
        <v>47027</v>
      </c>
      <c r="R65" s="341">
        <v>0</v>
      </c>
      <c r="S65" s="342">
        <f t="shared" si="3"/>
        <v>0</v>
      </c>
      <c r="T65" s="343">
        <f>S65*'Cash-flow PLAN'!$D$57/12</f>
        <v>0</v>
      </c>
    </row>
    <row r="66" spans="2:20" ht="14.1">
      <c r="B66" s="345">
        <v>47058</v>
      </c>
      <c r="C66" s="341">
        <v>0</v>
      </c>
      <c r="D66" s="342">
        <f t="shared" si="0"/>
        <v>0</v>
      </c>
      <c r="E66" s="343">
        <f>D66*'Cash-flow PLAN'!$D$54/12</f>
        <v>0</v>
      </c>
      <c r="G66" s="345">
        <v>47058</v>
      </c>
      <c r="H66" s="341">
        <v>0</v>
      </c>
      <c r="I66" s="342">
        <f t="shared" si="1"/>
        <v>0</v>
      </c>
      <c r="J66" s="343">
        <f>I66*'Cash-flow M 22.7.'!$D$58/12</f>
        <v>0</v>
      </c>
      <c r="L66" s="345">
        <v>47058</v>
      </c>
      <c r="M66" s="341">
        <v>0</v>
      </c>
      <c r="N66" s="342">
        <f t="shared" si="2"/>
        <v>0</v>
      </c>
      <c r="O66" s="343">
        <f>N66*'Cash-flow PLAN'!$D$56/12</f>
        <v>0</v>
      </c>
      <c r="Q66" s="345">
        <v>47058</v>
      </c>
      <c r="R66" s="341">
        <v>0</v>
      </c>
      <c r="S66" s="342">
        <f t="shared" si="3"/>
        <v>0</v>
      </c>
      <c r="T66" s="343">
        <f>S66*'Cash-flow PLAN'!$D$57/12</f>
        <v>0</v>
      </c>
    </row>
    <row r="67" spans="2:20" ht="14.1">
      <c r="B67" s="345">
        <v>47088</v>
      </c>
      <c r="C67" s="341">
        <v>0</v>
      </c>
      <c r="D67" s="342">
        <f t="shared" si="0"/>
        <v>0</v>
      </c>
      <c r="E67" s="343">
        <f>D67*'Cash-flow PLAN'!$D$54/12</f>
        <v>0</v>
      </c>
      <c r="G67" s="345">
        <v>47088</v>
      </c>
      <c r="H67" s="341">
        <v>0</v>
      </c>
      <c r="I67" s="342">
        <f t="shared" si="1"/>
        <v>0</v>
      </c>
      <c r="J67" s="343">
        <f>I67*'Cash-flow M 22.7.'!$D$58/12</f>
        <v>0</v>
      </c>
      <c r="L67" s="345">
        <v>47088</v>
      </c>
      <c r="M67" s="341">
        <v>0</v>
      </c>
      <c r="N67" s="342">
        <f t="shared" si="2"/>
        <v>0</v>
      </c>
      <c r="O67" s="343">
        <f>N67*'Cash-flow PLAN'!$D$56/12</f>
        <v>0</v>
      </c>
      <c r="Q67" s="345">
        <v>47088</v>
      </c>
      <c r="R67" s="341">
        <v>0</v>
      </c>
      <c r="S67" s="342">
        <f t="shared" si="3"/>
        <v>0</v>
      </c>
      <c r="T67" s="343">
        <f>S67*'Cash-flow PLAN'!$D$57/12</f>
        <v>0</v>
      </c>
    </row>
    <row r="68" spans="2:20" ht="14.1">
      <c r="B68" s="340">
        <v>47119</v>
      </c>
      <c r="C68" s="341">
        <v>0</v>
      </c>
      <c r="D68" s="342">
        <f t="shared" si="0"/>
        <v>0</v>
      </c>
      <c r="E68" s="343">
        <f>D68*'Cash-flow PLAN'!$D$54/12</f>
        <v>0</v>
      </c>
      <c r="G68" s="340">
        <v>47119</v>
      </c>
      <c r="H68" s="341">
        <v>0</v>
      </c>
      <c r="I68" s="342">
        <f t="shared" si="1"/>
        <v>0</v>
      </c>
      <c r="J68" s="343">
        <f>I68*'Cash-flow M 22.7.'!$D$58/12</f>
        <v>0</v>
      </c>
      <c r="L68" s="340">
        <v>47119</v>
      </c>
      <c r="M68" s="341">
        <v>0</v>
      </c>
      <c r="N68" s="342">
        <f t="shared" si="2"/>
        <v>0</v>
      </c>
      <c r="O68" s="343">
        <f>N68*'Cash-flow PLAN'!$D$56/12</f>
        <v>0</v>
      </c>
      <c r="Q68" s="340">
        <v>47119</v>
      </c>
      <c r="R68" s="341">
        <v>0</v>
      </c>
      <c r="S68" s="342">
        <f t="shared" si="3"/>
        <v>0</v>
      </c>
      <c r="T68" s="343">
        <f>S68*'Cash-flow PLAN'!$D$57/12</f>
        <v>0</v>
      </c>
    </row>
    <row r="69" spans="2:20" ht="14.1">
      <c r="B69" s="345">
        <v>47150</v>
      </c>
      <c r="C69" s="341">
        <v>0</v>
      </c>
      <c r="D69" s="342">
        <f t="shared" si="0"/>
        <v>0</v>
      </c>
      <c r="E69" s="343">
        <f>D69*'Cash-flow PLAN'!$D$54/12</f>
        <v>0</v>
      </c>
      <c r="G69" s="345">
        <v>47150</v>
      </c>
      <c r="H69" s="341">
        <v>0</v>
      </c>
      <c r="I69" s="342">
        <f t="shared" si="1"/>
        <v>0</v>
      </c>
      <c r="J69" s="343">
        <f>I69*'Cash-flow M 22.7.'!$D$58/12</f>
        <v>0</v>
      </c>
      <c r="L69" s="345">
        <v>47150</v>
      </c>
      <c r="M69" s="341">
        <v>0</v>
      </c>
      <c r="N69" s="342">
        <f t="shared" si="2"/>
        <v>0</v>
      </c>
      <c r="O69" s="343">
        <f>N69*'Cash-flow PLAN'!$D$56/12</f>
        <v>0</v>
      </c>
      <c r="Q69" s="345">
        <v>47150</v>
      </c>
      <c r="R69" s="341">
        <v>0</v>
      </c>
      <c r="S69" s="342">
        <f t="shared" si="3"/>
        <v>0</v>
      </c>
      <c r="T69" s="343">
        <f>S69*'Cash-flow PLAN'!$D$57/12</f>
        <v>0</v>
      </c>
    </row>
    <row r="70" spans="2:20" ht="14.1">
      <c r="B70" s="345">
        <v>47178</v>
      </c>
      <c r="C70" s="341">
        <v>0</v>
      </c>
      <c r="D70" s="342">
        <f t="shared" si="0"/>
        <v>0</v>
      </c>
      <c r="E70" s="343">
        <f>D70*'Cash-flow PLAN'!$D$54/12</f>
        <v>0</v>
      </c>
      <c r="G70" s="345">
        <v>47178</v>
      </c>
      <c r="H70" s="341">
        <v>0</v>
      </c>
      <c r="I70" s="342">
        <f t="shared" si="1"/>
        <v>0</v>
      </c>
      <c r="J70" s="343">
        <f>I70*'Cash-flow M 22.7.'!$D$58/12</f>
        <v>0</v>
      </c>
      <c r="L70" s="345">
        <v>47178</v>
      </c>
      <c r="M70" s="341">
        <v>0</v>
      </c>
      <c r="N70" s="342">
        <f t="shared" si="2"/>
        <v>0</v>
      </c>
      <c r="O70" s="343">
        <f>N70*'Cash-flow PLAN'!$D$56/12</f>
        <v>0</v>
      </c>
      <c r="Q70" s="345">
        <v>47178</v>
      </c>
      <c r="R70" s="341">
        <v>0</v>
      </c>
      <c r="S70" s="342">
        <f t="shared" si="3"/>
        <v>0</v>
      </c>
      <c r="T70" s="343">
        <f>S70*'Cash-flow PLAN'!$D$57/12</f>
        <v>0</v>
      </c>
    </row>
    <row r="71" spans="2:20" ht="14.1">
      <c r="B71" s="345">
        <v>47209</v>
      </c>
      <c r="C71" s="341">
        <v>0</v>
      </c>
      <c r="D71" s="342">
        <f t="shared" si="0"/>
        <v>0</v>
      </c>
      <c r="E71" s="343">
        <f>D71*'Cash-flow PLAN'!$D$54/12</f>
        <v>0</v>
      </c>
      <c r="G71" s="345">
        <v>47209</v>
      </c>
      <c r="H71" s="341">
        <v>0</v>
      </c>
      <c r="I71" s="342">
        <f t="shared" si="1"/>
        <v>0</v>
      </c>
      <c r="J71" s="343">
        <f>I71*'Cash-flow M 22.7.'!$D$58/12</f>
        <v>0</v>
      </c>
      <c r="L71" s="345">
        <v>47209</v>
      </c>
      <c r="M71" s="341">
        <v>0</v>
      </c>
      <c r="N71" s="342">
        <f t="shared" si="2"/>
        <v>0</v>
      </c>
      <c r="O71" s="343">
        <f>N71*'Cash-flow PLAN'!$D$56/12</f>
        <v>0</v>
      </c>
      <c r="Q71" s="345">
        <v>47209</v>
      </c>
      <c r="R71" s="341">
        <v>0</v>
      </c>
      <c r="S71" s="342">
        <f t="shared" si="3"/>
        <v>0</v>
      </c>
      <c r="T71" s="343">
        <f>S71*'Cash-flow PLAN'!$D$57/12</f>
        <v>0</v>
      </c>
    </row>
    <row r="72" spans="2:20" ht="14.1">
      <c r="B72" s="345">
        <v>47239</v>
      </c>
      <c r="C72" s="341">
        <v>0</v>
      </c>
      <c r="D72" s="342">
        <f t="shared" si="0"/>
        <v>0</v>
      </c>
      <c r="E72" s="343">
        <f>D72*'Cash-flow PLAN'!$D$54/12</f>
        <v>0</v>
      </c>
      <c r="G72" s="345">
        <v>47239</v>
      </c>
      <c r="H72" s="341">
        <v>0</v>
      </c>
      <c r="I72" s="342">
        <f t="shared" si="1"/>
        <v>0</v>
      </c>
      <c r="J72" s="343">
        <f>I72*'Cash-flow M 22.7.'!$D$58/12</f>
        <v>0</v>
      </c>
      <c r="L72" s="345">
        <v>47239</v>
      </c>
      <c r="M72" s="341">
        <v>0</v>
      </c>
      <c r="N72" s="342">
        <f t="shared" si="2"/>
        <v>0</v>
      </c>
      <c r="O72" s="343">
        <f>N72*'Cash-flow PLAN'!$D$56/12</f>
        <v>0</v>
      </c>
      <c r="Q72" s="345">
        <v>47239</v>
      </c>
      <c r="R72" s="341">
        <v>0</v>
      </c>
      <c r="S72" s="342">
        <f t="shared" si="3"/>
        <v>0</v>
      </c>
      <c r="T72" s="343">
        <f>S72*'Cash-flow PLAN'!$D$57/12</f>
        <v>0</v>
      </c>
    </row>
    <row r="73" spans="2:20" ht="14.1">
      <c r="B73" s="346">
        <v>47270</v>
      </c>
      <c r="C73" s="341">
        <v>0</v>
      </c>
      <c r="D73" s="342">
        <f t="shared" si="0"/>
        <v>0</v>
      </c>
      <c r="E73" s="343">
        <f>D73*'Cash-flow PLAN'!$D$54/12</f>
        <v>0</v>
      </c>
      <c r="G73" s="346">
        <v>47270</v>
      </c>
      <c r="H73" s="341">
        <v>0</v>
      </c>
      <c r="I73" s="342">
        <f t="shared" si="1"/>
        <v>0</v>
      </c>
      <c r="J73" s="343">
        <f>I73*'Cash-flow M 22.7.'!$D$58/12</f>
        <v>0</v>
      </c>
      <c r="L73" s="346">
        <v>47270</v>
      </c>
      <c r="M73" s="341">
        <v>0</v>
      </c>
      <c r="N73" s="342">
        <f t="shared" si="2"/>
        <v>0</v>
      </c>
      <c r="O73" s="343">
        <f>N73*'Cash-flow PLAN'!$D$56/12</f>
        <v>0</v>
      </c>
      <c r="Q73" s="346">
        <v>47270</v>
      </c>
      <c r="R73" s="341">
        <v>0</v>
      </c>
      <c r="S73" s="342">
        <f t="shared" si="3"/>
        <v>0</v>
      </c>
      <c r="T73" s="343">
        <f>S73*'Cash-flow PLAN'!$D$57/12</f>
        <v>0</v>
      </c>
    </row>
    <row r="74" spans="2:20" ht="14.1">
      <c r="B74" s="345">
        <v>47300</v>
      </c>
      <c r="C74" s="341">
        <v>0</v>
      </c>
      <c r="D74" s="342">
        <f t="shared" si="0"/>
        <v>0</v>
      </c>
      <c r="E74" s="343">
        <f>D74*'Cash-flow PLAN'!$D$54/12</f>
        <v>0</v>
      </c>
      <c r="G74" s="345">
        <v>47300</v>
      </c>
      <c r="H74" s="341">
        <v>0</v>
      </c>
      <c r="I74" s="342">
        <f t="shared" si="1"/>
        <v>0</v>
      </c>
      <c r="J74" s="343">
        <f>I74*'Cash-flow M 22.7.'!$D$58/12</f>
        <v>0</v>
      </c>
      <c r="L74" s="345">
        <v>47300</v>
      </c>
      <c r="M74" s="341">
        <v>0</v>
      </c>
      <c r="N74" s="342">
        <f t="shared" si="2"/>
        <v>0</v>
      </c>
      <c r="O74" s="343">
        <f>N74*'Cash-flow PLAN'!$D$56/12</f>
        <v>0</v>
      </c>
      <c r="Q74" s="345">
        <v>47300</v>
      </c>
      <c r="R74" s="341">
        <v>0</v>
      </c>
      <c r="S74" s="342">
        <f t="shared" si="3"/>
        <v>0</v>
      </c>
      <c r="T74" s="343">
        <f>S74*'Cash-flow PLAN'!$D$57/12</f>
        <v>0</v>
      </c>
    </row>
    <row r="75" spans="2:20" ht="14.1">
      <c r="B75" s="345">
        <v>47331</v>
      </c>
      <c r="C75" s="341">
        <v>0</v>
      </c>
      <c r="D75" s="342">
        <f t="shared" si="0"/>
        <v>0</v>
      </c>
      <c r="E75" s="343">
        <f>D75*'Cash-flow PLAN'!$D$54/12</f>
        <v>0</v>
      </c>
      <c r="G75" s="345">
        <v>47331</v>
      </c>
      <c r="H75" s="341">
        <v>0</v>
      </c>
      <c r="I75" s="342">
        <f t="shared" si="1"/>
        <v>0</v>
      </c>
      <c r="J75" s="343">
        <f>I75*'Cash-flow M 22.7.'!$D$58/12</f>
        <v>0</v>
      </c>
      <c r="L75" s="345">
        <v>47331</v>
      </c>
      <c r="M75" s="341">
        <v>0</v>
      </c>
      <c r="N75" s="342">
        <f t="shared" si="2"/>
        <v>0</v>
      </c>
      <c r="O75" s="343">
        <f>N75*'Cash-flow PLAN'!$D$56/12</f>
        <v>0</v>
      </c>
      <c r="Q75" s="345">
        <v>47331</v>
      </c>
      <c r="R75" s="341">
        <v>0</v>
      </c>
      <c r="S75" s="342">
        <f t="shared" si="3"/>
        <v>0</v>
      </c>
      <c r="T75" s="343">
        <f>S75*'Cash-flow PLAN'!$D$57/12</f>
        <v>0</v>
      </c>
    </row>
    <row r="76" spans="2:20" ht="14.1">
      <c r="B76" s="345">
        <v>47362</v>
      </c>
      <c r="C76" s="341">
        <v>0</v>
      </c>
      <c r="D76" s="342">
        <f t="shared" si="0"/>
        <v>0</v>
      </c>
      <c r="E76" s="343">
        <f>D76*'Cash-flow PLAN'!$D$54/12</f>
        <v>0</v>
      </c>
      <c r="G76" s="345">
        <v>47362</v>
      </c>
      <c r="H76" s="341">
        <v>0</v>
      </c>
      <c r="I76" s="342">
        <f t="shared" si="1"/>
        <v>0</v>
      </c>
      <c r="J76" s="343">
        <f>I76*'Cash-flow M 22.7.'!$D$58/12</f>
        <v>0</v>
      </c>
      <c r="L76" s="345">
        <v>47362</v>
      </c>
      <c r="M76" s="341">
        <v>0</v>
      </c>
      <c r="N76" s="342">
        <f t="shared" si="2"/>
        <v>0</v>
      </c>
      <c r="O76" s="343">
        <f>N76*'Cash-flow PLAN'!$D$56/12</f>
        <v>0</v>
      </c>
      <c r="Q76" s="345">
        <v>47362</v>
      </c>
      <c r="R76" s="341">
        <v>0</v>
      </c>
      <c r="S76" s="342">
        <f t="shared" si="3"/>
        <v>0</v>
      </c>
      <c r="T76" s="343">
        <f>S76*'Cash-flow PLAN'!$D$57/12</f>
        <v>0</v>
      </c>
    </row>
    <row r="77" spans="2:20" ht="14.1">
      <c r="B77" s="345">
        <v>47392</v>
      </c>
      <c r="C77" s="341">
        <v>0</v>
      </c>
      <c r="D77" s="342">
        <f t="shared" si="0"/>
        <v>0</v>
      </c>
      <c r="E77" s="343">
        <f>D77*'Cash-flow PLAN'!$D$54/12</f>
        <v>0</v>
      </c>
      <c r="G77" s="345">
        <v>47392</v>
      </c>
      <c r="H77" s="341">
        <v>0</v>
      </c>
      <c r="I77" s="342">
        <f t="shared" si="1"/>
        <v>0</v>
      </c>
      <c r="J77" s="343">
        <f>I77*'Cash-flow M 22.7.'!$D$58/12</f>
        <v>0</v>
      </c>
      <c r="L77" s="345">
        <v>47392</v>
      </c>
      <c r="M77" s="341">
        <v>0</v>
      </c>
      <c r="N77" s="342">
        <f t="shared" si="2"/>
        <v>0</v>
      </c>
      <c r="O77" s="343">
        <f>N77*'Cash-flow PLAN'!$D$56/12</f>
        <v>0</v>
      </c>
      <c r="Q77" s="345">
        <v>47392</v>
      </c>
      <c r="R77" s="341">
        <v>0</v>
      </c>
      <c r="S77" s="342">
        <f t="shared" si="3"/>
        <v>0</v>
      </c>
      <c r="T77" s="343">
        <f>S77*'Cash-flow PLAN'!$D$57/12</f>
        <v>0</v>
      </c>
    </row>
    <row r="78" spans="2:20" ht="14.1">
      <c r="B78" s="345">
        <v>47423</v>
      </c>
      <c r="C78" s="341">
        <v>0</v>
      </c>
      <c r="D78" s="342">
        <f t="shared" si="0"/>
        <v>0</v>
      </c>
      <c r="E78" s="343">
        <f>D78*'Cash-flow PLAN'!$D$54/12</f>
        <v>0</v>
      </c>
      <c r="G78" s="345">
        <v>47423</v>
      </c>
      <c r="H78" s="341">
        <v>0</v>
      </c>
      <c r="I78" s="342">
        <f t="shared" si="1"/>
        <v>0</v>
      </c>
      <c r="J78" s="343">
        <f>I78*'Cash-flow M 22.7.'!$D$58/12</f>
        <v>0</v>
      </c>
      <c r="L78" s="345">
        <v>47423</v>
      </c>
      <c r="M78" s="341">
        <v>0</v>
      </c>
      <c r="N78" s="342">
        <f t="shared" si="2"/>
        <v>0</v>
      </c>
      <c r="O78" s="343">
        <f>N78*'Cash-flow PLAN'!$D$56/12</f>
        <v>0</v>
      </c>
      <c r="Q78" s="345">
        <v>47423</v>
      </c>
      <c r="R78" s="341">
        <v>0</v>
      </c>
      <c r="S78" s="342">
        <f t="shared" si="3"/>
        <v>0</v>
      </c>
      <c r="T78" s="343">
        <f>S78*'Cash-flow PLAN'!$D$57/12</f>
        <v>0</v>
      </c>
    </row>
    <row r="79" spans="2:20" ht="14.1">
      <c r="B79" s="345">
        <v>47453</v>
      </c>
      <c r="C79" s="341">
        <v>0</v>
      </c>
      <c r="D79" s="342">
        <f>D78</f>
        <v>0</v>
      </c>
      <c r="E79" s="343">
        <f>D79*'Cash-flow PLAN'!$D$54/12</f>
        <v>0</v>
      </c>
      <c r="G79" s="345">
        <v>47453</v>
      </c>
      <c r="H79" s="341">
        <v>0</v>
      </c>
      <c r="I79" s="342">
        <f>I78</f>
        <v>0</v>
      </c>
      <c r="J79" s="343">
        <f>I79*'Cash-flow M 22.7.'!$D$58/12</f>
        <v>0</v>
      </c>
      <c r="L79" s="345">
        <v>47453</v>
      </c>
      <c r="M79" s="341">
        <v>-13002832.540510181</v>
      </c>
      <c r="N79" s="342">
        <f>N78</f>
        <v>0</v>
      </c>
      <c r="O79" s="343">
        <f>N79*'Cash-flow PLAN'!$D$56/12</f>
        <v>0</v>
      </c>
      <c r="Q79" s="345">
        <v>47453</v>
      </c>
      <c r="R79" s="341">
        <v>0</v>
      </c>
      <c r="S79" s="342">
        <f>S78</f>
        <v>0</v>
      </c>
      <c r="T79" s="343">
        <f>S79*'Cash-flow PLAN'!$D$57/12</f>
        <v>0</v>
      </c>
    </row>
  </sheetData>
  <mergeCells count="4">
    <mergeCell ref="B2:E3"/>
    <mergeCell ref="G2:J3"/>
    <mergeCell ref="L2:O3"/>
    <mergeCell ref="Q2:T3"/>
  </mergeCells>
  <pageMargins left="0" right="0" top="0" bottom="0" header="0" footer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U979"/>
  <sheetViews>
    <sheetView workbookViewId="0">
      <pane xSplit="1" ySplit="1" topLeftCell="B2" activePane="bottomRight" state="frozen"/>
      <selection pane="bottomRight" activeCell="B2" sqref="B2"/>
      <selection pane="bottomLeft" activeCell="A2" sqref="A2"/>
      <selection pane="topRight" activeCell="B1" sqref="B1"/>
    </sheetView>
  </sheetViews>
  <sheetFormatPr defaultColWidth="12.625" defaultRowHeight="15" customHeight="1"/>
  <cols>
    <col min="1" max="1" width="25.375" customWidth="1"/>
    <col min="2" max="2" width="36.125" hidden="1" customWidth="1"/>
    <col min="3" max="3" width="10.5" customWidth="1"/>
    <col min="4" max="4" width="21.125" customWidth="1"/>
    <col min="5" max="5" width="44.125" customWidth="1"/>
    <col min="6" max="7" width="10" customWidth="1"/>
    <col min="8" max="8" width="36.125" customWidth="1"/>
    <col min="9" max="9" width="8.625" customWidth="1"/>
    <col min="10" max="10" width="9.625" customWidth="1"/>
    <col min="11" max="11" width="14.5" customWidth="1"/>
    <col min="12" max="12" width="6.625" customWidth="1"/>
    <col min="13" max="13" width="18.5" customWidth="1"/>
    <col min="14" max="15" width="37.125" customWidth="1"/>
    <col min="16" max="16" width="15.625" customWidth="1"/>
    <col min="17" max="17" width="14.625" customWidth="1"/>
    <col min="18" max="18" width="15.875" customWidth="1"/>
    <col min="19" max="19" width="13.625" customWidth="1"/>
    <col min="20" max="20" width="15.625" customWidth="1"/>
    <col min="21" max="21" width="17.5" customWidth="1"/>
    <col min="22" max="39" width="9.375" customWidth="1"/>
  </cols>
  <sheetData>
    <row r="1" spans="1:21" ht="15.75" customHeight="1">
      <c r="A1" s="29" t="s">
        <v>45</v>
      </c>
      <c r="B1" s="29" t="s">
        <v>46</v>
      </c>
      <c r="C1" s="29" t="s">
        <v>47</v>
      </c>
      <c r="D1" s="29" t="s">
        <v>48</v>
      </c>
      <c r="E1" s="29" t="s">
        <v>49</v>
      </c>
      <c r="F1" s="29" t="s">
        <v>50</v>
      </c>
      <c r="G1" s="29" t="s">
        <v>51</v>
      </c>
      <c r="H1" s="29" t="s">
        <v>52</v>
      </c>
      <c r="I1" s="29" t="s">
        <v>53</v>
      </c>
      <c r="J1" s="29" t="s">
        <v>54</v>
      </c>
      <c r="K1" s="29" t="s">
        <v>55</v>
      </c>
      <c r="L1" s="29" t="s">
        <v>56</v>
      </c>
      <c r="M1" s="29" t="s">
        <v>57</v>
      </c>
      <c r="N1" s="29" t="s">
        <v>58</v>
      </c>
      <c r="O1" s="29" t="s">
        <v>58</v>
      </c>
      <c r="P1" s="30"/>
      <c r="Q1" s="30"/>
      <c r="R1" s="30"/>
      <c r="S1" s="30"/>
      <c r="T1" s="30"/>
      <c r="U1" s="30"/>
    </row>
    <row r="2" spans="1:21" ht="17.100000000000001">
      <c r="A2" s="31" t="s">
        <v>59</v>
      </c>
      <c r="B2" s="32" t="str">
        <f>TEXT(G2,"mm.yyyy")</f>
        <v>01.yyyy</v>
      </c>
      <c r="C2" s="33" t="s">
        <v>60</v>
      </c>
      <c r="D2" s="34">
        <v>0.05</v>
      </c>
      <c r="E2" s="35" t="s">
        <v>61</v>
      </c>
      <c r="F2" s="36"/>
      <c r="G2" s="36"/>
      <c r="H2" s="37"/>
      <c r="I2" s="37" t="b">
        <v>0</v>
      </c>
      <c r="J2" s="472"/>
      <c r="K2" s="472"/>
      <c r="L2" s="37"/>
      <c r="M2" s="37"/>
      <c r="N2" s="37"/>
      <c r="O2" s="37"/>
      <c r="P2" s="25"/>
      <c r="Q2" s="25"/>
    </row>
    <row r="3" spans="1:21" ht="15.95">
      <c r="A3" s="31"/>
      <c r="B3" s="32"/>
      <c r="C3" s="33"/>
      <c r="D3" s="34"/>
      <c r="E3" s="35"/>
      <c r="F3" s="36"/>
      <c r="G3" s="36"/>
      <c r="H3" s="37"/>
      <c r="I3" s="37" t="b">
        <v>0</v>
      </c>
      <c r="J3" s="472"/>
      <c r="K3" s="472"/>
      <c r="L3" s="37"/>
      <c r="M3" s="37"/>
      <c r="N3" s="37"/>
      <c r="O3" s="37"/>
      <c r="R3" s="25"/>
      <c r="S3" s="25"/>
    </row>
    <row r="4" spans="1:21" ht="17.100000000000001">
      <c r="A4" s="31" t="s">
        <v>62</v>
      </c>
      <c r="B4" s="32" t="str">
        <f t="shared" ref="B4:B10" si="0">TEXT(G4,"mm.yyyy")</f>
        <v>01.yyyy</v>
      </c>
      <c r="C4" s="33" t="s">
        <v>63</v>
      </c>
      <c r="D4" s="34">
        <v>0.3</v>
      </c>
      <c r="E4" s="35"/>
      <c r="F4" s="36">
        <f>G2</f>
        <v>0</v>
      </c>
      <c r="G4" s="36"/>
      <c r="H4" s="37"/>
      <c r="I4" s="37" t="b">
        <v>0</v>
      </c>
      <c r="J4" s="472"/>
      <c r="K4" s="472"/>
      <c r="L4" s="37"/>
      <c r="M4" s="37"/>
      <c r="N4" s="37"/>
      <c r="O4" s="37"/>
      <c r="R4" s="25"/>
      <c r="S4" s="25"/>
    </row>
    <row r="5" spans="1:21" ht="15.95">
      <c r="A5" s="38" t="s">
        <v>64</v>
      </c>
      <c r="B5" s="32" t="str">
        <f t="shared" si="0"/>
        <v>01.yyyy</v>
      </c>
      <c r="C5" s="33" t="s">
        <v>60</v>
      </c>
      <c r="D5" s="34">
        <v>0.3</v>
      </c>
      <c r="E5" s="35"/>
      <c r="F5" s="39">
        <f t="shared" ref="F5:F6" si="1">G4</f>
        <v>0</v>
      </c>
      <c r="G5" s="36"/>
      <c r="H5" s="37"/>
      <c r="I5" s="37" t="b">
        <v>0</v>
      </c>
      <c r="J5" s="472"/>
      <c r="K5" s="472"/>
      <c r="L5" s="37"/>
      <c r="M5" s="37"/>
      <c r="N5" s="37"/>
      <c r="O5" s="37"/>
    </row>
    <row r="6" spans="1:21" ht="15.75" customHeight="1">
      <c r="A6" s="38" t="s">
        <v>65</v>
      </c>
      <c r="B6" s="32" t="str">
        <f t="shared" si="0"/>
        <v>01.yyyy</v>
      </c>
      <c r="C6" s="33" t="s">
        <v>66</v>
      </c>
      <c r="D6" s="34">
        <v>0.35</v>
      </c>
      <c r="E6" s="35"/>
      <c r="F6" s="36">
        <f t="shared" si="1"/>
        <v>0</v>
      </c>
      <c r="G6" s="39"/>
      <c r="H6" s="37"/>
      <c r="I6" s="37" t="b">
        <v>0</v>
      </c>
      <c r="J6" s="472"/>
      <c r="K6" s="472"/>
      <c r="L6" s="37"/>
      <c r="M6" s="37"/>
      <c r="N6" s="37"/>
      <c r="O6" s="37"/>
    </row>
    <row r="7" spans="1:21" ht="15.75" customHeight="1">
      <c r="A7" s="38" t="s">
        <v>67</v>
      </c>
      <c r="B7" s="32" t="str">
        <f t="shared" si="0"/>
        <v>01.yyyy</v>
      </c>
      <c r="C7" s="33"/>
      <c r="D7" s="33"/>
      <c r="E7" s="35"/>
      <c r="F7" s="37"/>
      <c r="G7" s="37"/>
      <c r="H7" s="37"/>
      <c r="I7" s="37" t="b">
        <v>0</v>
      </c>
      <c r="J7" s="472"/>
      <c r="K7" s="472"/>
      <c r="L7" s="37"/>
      <c r="M7" s="37"/>
      <c r="N7" s="37"/>
      <c r="O7" s="37"/>
    </row>
    <row r="8" spans="1:21" ht="15.75" customHeight="1">
      <c r="A8" s="38" t="s">
        <v>68</v>
      </c>
      <c r="B8" s="32" t="str">
        <f t="shared" si="0"/>
        <v>01.yyyy</v>
      </c>
      <c r="C8" s="33"/>
      <c r="D8" s="33"/>
      <c r="E8" s="35"/>
      <c r="F8" s="39"/>
      <c r="G8" s="39"/>
      <c r="H8" s="37"/>
      <c r="I8" s="37" t="b">
        <v>0</v>
      </c>
      <c r="J8" s="472"/>
      <c r="K8" s="472"/>
      <c r="L8" s="37"/>
      <c r="M8" s="40"/>
      <c r="N8" s="37"/>
      <c r="O8" s="37"/>
    </row>
    <row r="9" spans="1:21" ht="15.75" customHeight="1">
      <c r="A9" s="38" t="s">
        <v>69</v>
      </c>
      <c r="B9" s="32" t="str">
        <f t="shared" si="0"/>
        <v>01.yyyy</v>
      </c>
      <c r="C9" s="33"/>
      <c r="D9" s="33"/>
      <c r="E9" s="35"/>
      <c r="F9" s="39"/>
      <c r="G9" s="39"/>
      <c r="H9" s="37"/>
      <c r="I9" s="37" t="b">
        <v>0</v>
      </c>
      <c r="J9" s="472"/>
      <c r="K9" s="472"/>
      <c r="L9" s="37"/>
      <c r="M9" s="40"/>
      <c r="N9" s="37"/>
      <c r="O9" s="37"/>
    </row>
    <row r="10" spans="1:21" ht="15.75" customHeight="1">
      <c r="A10" s="38" t="s">
        <v>70</v>
      </c>
      <c r="B10" s="32" t="str">
        <f t="shared" si="0"/>
        <v>01.yyyy</v>
      </c>
      <c r="C10" s="33"/>
      <c r="D10" s="33"/>
      <c r="E10" s="35"/>
      <c r="F10" s="39"/>
      <c r="G10" s="39"/>
      <c r="H10" s="37"/>
      <c r="I10" s="37" t="b">
        <v>0</v>
      </c>
      <c r="J10" s="472"/>
      <c r="K10" s="472"/>
      <c r="L10" s="37"/>
      <c r="M10" s="40"/>
      <c r="N10" s="37"/>
      <c r="O10" s="37"/>
    </row>
    <row r="11" spans="1:21" ht="15.75" customHeight="1">
      <c r="A11" s="41"/>
    </row>
    <row r="12" spans="1:21" ht="15.75" customHeight="1">
      <c r="A12" s="41"/>
    </row>
    <row r="13" spans="1:21" ht="15.75" customHeight="1">
      <c r="A13" s="41"/>
    </row>
    <row r="14" spans="1:21" ht="15.75" customHeight="1">
      <c r="A14" s="41"/>
    </row>
    <row r="15" spans="1:21" ht="15.75" customHeight="1">
      <c r="A15" s="41"/>
    </row>
    <row r="16" spans="1:21" ht="15.75" customHeight="1">
      <c r="A16" s="41"/>
    </row>
    <row r="17" spans="1:1" ht="15.75" customHeight="1">
      <c r="A17" s="41"/>
    </row>
    <row r="18" spans="1:1" ht="15.75" customHeight="1">
      <c r="A18" s="41"/>
    </row>
    <row r="19" spans="1:1" ht="15.75" customHeight="1">
      <c r="A19" s="41"/>
    </row>
    <row r="20" spans="1:1" ht="15.75" customHeight="1">
      <c r="A20" s="41"/>
    </row>
    <row r="21" spans="1:1" ht="15.75" customHeight="1">
      <c r="A21" s="41"/>
    </row>
    <row r="22" spans="1:1" ht="15.75" customHeight="1">
      <c r="A22" s="41"/>
    </row>
    <row r="23" spans="1:1" ht="15.75" customHeight="1">
      <c r="A23" s="41"/>
    </row>
    <row r="24" spans="1:1" ht="15.75" customHeight="1">
      <c r="A24" s="41"/>
    </row>
    <row r="25" spans="1:1" ht="15.75" customHeight="1">
      <c r="A25" s="41"/>
    </row>
    <row r="26" spans="1:1" ht="15.75" customHeight="1">
      <c r="A26" s="41"/>
    </row>
    <row r="27" spans="1:1" ht="15.75" customHeight="1">
      <c r="A27" s="41"/>
    </row>
    <row r="28" spans="1:1" ht="15.75" customHeight="1">
      <c r="A28" s="41"/>
    </row>
    <row r="29" spans="1:1" ht="15.75" customHeight="1">
      <c r="A29" s="41"/>
    </row>
    <row r="30" spans="1:1" ht="15.75" customHeight="1">
      <c r="A30" s="41"/>
    </row>
    <row r="31" spans="1:1" ht="15.75" customHeight="1">
      <c r="A31" s="41"/>
    </row>
    <row r="32" spans="1:1" ht="15.75" customHeight="1">
      <c r="A32" s="41"/>
    </row>
    <row r="33" spans="1:1" ht="15.75" customHeight="1">
      <c r="A33" s="41"/>
    </row>
    <row r="34" spans="1:1" ht="15.75" customHeight="1">
      <c r="A34" s="41"/>
    </row>
    <row r="35" spans="1:1" ht="15.75" customHeight="1">
      <c r="A35" s="41"/>
    </row>
    <row r="36" spans="1:1" ht="15.75" customHeight="1">
      <c r="A36" s="41"/>
    </row>
    <row r="37" spans="1:1" ht="15.75" customHeight="1">
      <c r="A37" s="41"/>
    </row>
    <row r="38" spans="1:1" ht="15.75" customHeight="1">
      <c r="A38" s="41"/>
    </row>
    <row r="39" spans="1:1" ht="15.75" customHeight="1">
      <c r="A39" s="41"/>
    </row>
    <row r="40" spans="1:1" ht="15.75" customHeight="1">
      <c r="A40" s="41"/>
    </row>
    <row r="41" spans="1:1" ht="15.75" customHeight="1">
      <c r="A41" s="41"/>
    </row>
    <row r="42" spans="1:1" ht="15.75" customHeight="1">
      <c r="A42" s="41"/>
    </row>
    <row r="43" spans="1:1" ht="15.75" customHeight="1">
      <c r="A43" s="41"/>
    </row>
    <row r="44" spans="1:1" ht="15.75" customHeight="1">
      <c r="A44" s="41"/>
    </row>
    <row r="45" spans="1:1" ht="15.75" customHeight="1">
      <c r="A45" s="41"/>
    </row>
    <row r="46" spans="1:1" ht="15.75" customHeight="1">
      <c r="A46" s="41"/>
    </row>
    <row r="47" spans="1:1" ht="15.75" customHeight="1">
      <c r="A47" s="41"/>
    </row>
    <row r="48" spans="1:1" ht="15.75" customHeight="1">
      <c r="A48" s="41"/>
    </row>
    <row r="49" spans="1:1" ht="15.75" customHeight="1">
      <c r="A49" s="41"/>
    </row>
    <row r="50" spans="1:1" ht="15.75" customHeight="1">
      <c r="A50" s="41"/>
    </row>
    <row r="51" spans="1:1" ht="15.75" customHeight="1">
      <c r="A51" s="41"/>
    </row>
    <row r="52" spans="1:1" ht="15.75" customHeight="1">
      <c r="A52" s="41"/>
    </row>
    <row r="53" spans="1:1" ht="15.75" customHeight="1">
      <c r="A53" s="41"/>
    </row>
    <row r="54" spans="1:1" ht="15.75" customHeight="1">
      <c r="A54" s="41"/>
    </row>
    <row r="55" spans="1:1" ht="15.75" customHeight="1">
      <c r="A55" s="41"/>
    </row>
    <row r="56" spans="1:1" ht="15.75" customHeight="1">
      <c r="A56" s="41"/>
    </row>
    <row r="57" spans="1:1" ht="15.75" customHeight="1">
      <c r="A57" s="41"/>
    </row>
    <row r="58" spans="1:1" ht="15.75" customHeight="1">
      <c r="A58" s="41"/>
    </row>
    <row r="59" spans="1:1" ht="15.75" customHeight="1">
      <c r="A59" s="41"/>
    </row>
    <row r="60" spans="1:1" ht="15.75" customHeight="1">
      <c r="A60" s="41"/>
    </row>
    <row r="61" spans="1:1" ht="15.75" customHeight="1">
      <c r="A61" s="41"/>
    </row>
    <row r="62" spans="1:1" ht="15.75" customHeight="1">
      <c r="A62" s="41"/>
    </row>
    <row r="63" spans="1:1" ht="15.75" customHeight="1">
      <c r="A63" s="41"/>
    </row>
    <row r="64" spans="1:1" ht="15.75" customHeight="1">
      <c r="A64" s="41"/>
    </row>
    <row r="65" spans="1:1" ht="15.75" customHeight="1">
      <c r="A65" s="41"/>
    </row>
    <row r="66" spans="1:1" ht="15.75" customHeight="1">
      <c r="A66" s="41"/>
    </row>
    <row r="67" spans="1:1" ht="15.75" customHeight="1">
      <c r="A67" s="41"/>
    </row>
    <row r="68" spans="1:1" ht="15.75" customHeight="1">
      <c r="A68" s="41"/>
    </row>
    <row r="69" spans="1:1" ht="15.75" customHeight="1">
      <c r="A69" s="41"/>
    </row>
    <row r="70" spans="1:1" ht="15.75" customHeight="1">
      <c r="A70" s="41"/>
    </row>
    <row r="71" spans="1:1" ht="15.75" customHeight="1">
      <c r="A71" s="41"/>
    </row>
    <row r="72" spans="1:1" ht="15.75" customHeight="1">
      <c r="A72" s="41"/>
    </row>
    <row r="73" spans="1:1" ht="15.75" customHeight="1">
      <c r="A73" s="41"/>
    </row>
    <row r="74" spans="1:1" ht="15.75" customHeight="1">
      <c r="A74" s="41"/>
    </row>
    <row r="75" spans="1:1" ht="15.75" customHeight="1">
      <c r="A75" s="41"/>
    </row>
    <row r="76" spans="1:1" ht="15.75" customHeight="1">
      <c r="A76" s="41"/>
    </row>
    <row r="77" spans="1:1" ht="15.75" customHeight="1">
      <c r="A77" s="41"/>
    </row>
    <row r="78" spans="1:1" ht="15.75" customHeight="1">
      <c r="A78" s="41"/>
    </row>
    <row r="79" spans="1:1" ht="15.75" customHeight="1">
      <c r="A79" s="41"/>
    </row>
    <row r="80" spans="1:1" ht="15.75" customHeight="1">
      <c r="A80" s="41"/>
    </row>
    <row r="81" spans="1:1" ht="15.75" customHeight="1">
      <c r="A81" s="41"/>
    </row>
    <row r="82" spans="1:1" ht="15.75" customHeight="1">
      <c r="A82" s="41"/>
    </row>
    <row r="83" spans="1:1" ht="15.75" customHeight="1">
      <c r="A83" s="41"/>
    </row>
    <row r="84" spans="1:1" ht="15.75" customHeight="1">
      <c r="A84" s="41"/>
    </row>
    <row r="85" spans="1:1" ht="15.75" customHeight="1">
      <c r="A85" s="41"/>
    </row>
    <row r="86" spans="1:1" ht="15.75" customHeight="1">
      <c r="A86" s="41"/>
    </row>
    <row r="87" spans="1:1" ht="15.75" customHeight="1">
      <c r="A87" s="41"/>
    </row>
    <row r="88" spans="1:1" ht="15.75" customHeight="1">
      <c r="A88" s="41"/>
    </row>
    <row r="89" spans="1:1" ht="15.75" customHeight="1">
      <c r="A89" s="41"/>
    </row>
    <row r="90" spans="1:1" ht="15.75" customHeight="1">
      <c r="A90" s="41"/>
    </row>
    <row r="91" spans="1:1" ht="15.75" customHeight="1">
      <c r="A91" s="41"/>
    </row>
    <row r="92" spans="1:1" ht="15.75" customHeight="1">
      <c r="A92" s="41"/>
    </row>
    <row r="93" spans="1:1" ht="15.75" customHeight="1">
      <c r="A93" s="41"/>
    </row>
    <row r="94" spans="1:1" ht="15.75" customHeight="1">
      <c r="A94" s="41"/>
    </row>
    <row r="95" spans="1:1" ht="15.75" customHeight="1">
      <c r="A95" s="41"/>
    </row>
    <row r="96" spans="1:1" ht="15.75" customHeight="1">
      <c r="A96" s="41"/>
    </row>
    <row r="97" spans="1:1" ht="15.75" customHeight="1">
      <c r="A97" s="41"/>
    </row>
    <row r="98" spans="1:1" ht="15.75" customHeight="1">
      <c r="A98" s="41"/>
    </row>
    <row r="99" spans="1:1" ht="15.75" customHeight="1">
      <c r="A99" s="41"/>
    </row>
    <row r="100" spans="1:1" ht="15.75" customHeight="1">
      <c r="A100" s="41"/>
    </row>
    <row r="101" spans="1:1" ht="15.75" customHeight="1">
      <c r="A101" s="41"/>
    </row>
    <row r="102" spans="1:1" ht="15.75" customHeight="1">
      <c r="A102" s="41"/>
    </row>
    <row r="103" spans="1:1" ht="15.75" customHeight="1">
      <c r="A103" s="41"/>
    </row>
    <row r="104" spans="1:1" ht="15.75" customHeight="1">
      <c r="A104" s="41"/>
    </row>
    <row r="105" spans="1:1" ht="15.75" customHeight="1">
      <c r="A105" s="41"/>
    </row>
    <row r="106" spans="1:1" ht="15.75" customHeight="1">
      <c r="A106" s="41"/>
    </row>
    <row r="107" spans="1:1" ht="15.75" customHeight="1">
      <c r="A107" s="41"/>
    </row>
    <row r="108" spans="1:1" ht="15.75" customHeight="1">
      <c r="A108" s="41"/>
    </row>
    <row r="109" spans="1:1" ht="15.75" customHeight="1">
      <c r="A109" s="41"/>
    </row>
    <row r="110" spans="1:1" ht="15.75" customHeight="1">
      <c r="A110" s="41"/>
    </row>
    <row r="111" spans="1:1" ht="15.75" customHeight="1">
      <c r="A111" s="41"/>
    </row>
    <row r="112" spans="1:1" ht="15.75" customHeight="1">
      <c r="A112" s="41"/>
    </row>
    <row r="113" spans="1:1" ht="15.75" customHeight="1">
      <c r="A113" s="41"/>
    </row>
    <row r="114" spans="1:1" ht="15.75" customHeight="1">
      <c r="A114" s="41"/>
    </row>
    <row r="115" spans="1:1" ht="15.75" customHeight="1">
      <c r="A115" s="41"/>
    </row>
    <row r="116" spans="1:1" ht="15.75" customHeight="1">
      <c r="A116" s="41"/>
    </row>
    <row r="117" spans="1:1" ht="15.75" customHeight="1">
      <c r="A117" s="41"/>
    </row>
    <row r="118" spans="1:1" ht="15.75" customHeight="1">
      <c r="A118" s="41"/>
    </row>
    <row r="119" spans="1:1" ht="15.75" customHeight="1">
      <c r="A119" s="41"/>
    </row>
    <row r="120" spans="1:1" ht="15.75" customHeight="1">
      <c r="A120" s="41"/>
    </row>
    <row r="121" spans="1:1" ht="15.75" customHeight="1">
      <c r="A121" s="41"/>
    </row>
    <row r="122" spans="1:1" ht="15.75" customHeight="1">
      <c r="A122" s="41"/>
    </row>
    <row r="123" spans="1:1" ht="15.75" customHeight="1">
      <c r="A123" s="41"/>
    </row>
    <row r="124" spans="1:1" ht="15.75" customHeight="1">
      <c r="A124" s="41"/>
    </row>
    <row r="125" spans="1:1" ht="15.75" customHeight="1">
      <c r="A125" s="41"/>
    </row>
    <row r="126" spans="1:1" ht="15.75" customHeight="1">
      <c r="A126" s="41"/>
    </row>
    <row r="127" spans="1:1" ht="15.75" customHeight="1">
      <c r="A127" s="41"/>
    </row>
    <row r="128" spans="1:1" ht="15.75" customHeight="1">
      <c r="A128" s="41"/>
    </row>
    <row r="129" spans="1:1" ht="15.75" customHeight="1">
      <c r="A129" s="41"/>
    </row>
    <row r="130" spans="1:1" ht="15.75" customHeight="1">
      <c r="A130" s="41"/>
    </row>
    <row r="131" spans="1:1" ht="15.75" customHeight="1">
      <c r="A131" s="41"/>
    </row>
    <row r="132" spans="1:1" ht="15.75" customHeight="1">
      <c r="A132" s="41"/>
    </row>
    <row r="133" spans="1:1" ht="15.75" customHeight="1">
      <c r="A133" s="41"/>
    </row>
    <row r="134" spans="1:1" ht="15.75" customHeight="1">
      <c r="A134" s="41"/>
    </row>
    <row r="135" spans="1:1" ht="15.75" customHeight="1">
      <c r="A135" s="41"/>
    </row>
    <row r="136" spans="1:1" ht="15.75" customHeight="1">
      <c r="A136" s="41"/>
    </row>
    <row r="137" spans="1:1" ht="15.75" customHeight="1">
      <c r="A137" s="41"/>
    </row>
    <row r="138" spans="1:1" ht="15.75" customHeight="1">
      <c r="A138" s="41"/>
    </row>
    <row r="139" spans="1:1" ht="15.75" customHeight="1">
      <c r="A139" s="41"/>
    </row>
    <row r="140" spans="1:1" ht="15.75" customHeight="1">
      <c r="A140" s="41"/>
    </row>
    <row r="141" spans="1:1" ht="15.75" customHeight="1">
      <c r="A141" s="41"/>
    </row>
    <row r="142" spans="1:1" ht="15.75" customHeight="1">
      <c r="A142" s="41"/>
    </row>
    <row r="143" spans="1:1" ht="15.75" customHeight="1">
      <c r="A143" s="41"/>
    </row>
    <row r="144" spans="1:1" ht="15.75" customHeight="1">
      <c r="A144" s="41"/>
    </row>
    <row r="145" spans="1:1" ht="15.75" customHeight="1">
      <c r="A145" s="41"/>
    </row>
    <row r="146" spans="1:1" ht="15.75" customHeight="1">
      <c r="A146" s="41"/>
    </row>
    <row r="147" spans="1:1" ht="15.75" customHeight="1">
      <c r="A147" s="41"/>
    </row>
    <row r="148" spans="1:1" ht="15.75" customHeight="1">
      <c r="A148" s="41"/>
    </row>
    <row r="149" spans="1:1" ht="15.75" customHeight="1">
      <c r="A149" s="41"/>
    </row>
    <row r="150" spans="1:1" ht="15.75" customHeight="1">
      <c r="A150" s="41"/>
    </row>
    <row r="151" spans="1:1" ht="15.75" customHeight="1">
      <c r="A151" s="41"/>
    </row>
    <row r="152" spans="1:1" ht="15.75" customHeight="1">
      <c r="A152" s="41"/>
    </row>
    <row r="153" spans="1:1" ht="15.75" customHeight="1">
      <c r="A153" s="41"/>
    </row>
    <row r="154" spans="1:1" ht="15.75" customHeight="1">
      <c r="A154" s="41"/>
    </row>
    <row r="155" spans="1:1" ht="15.75" customHeight="1">
      <c r="A155" s="41"/>
    </row>
    <row r="156" spans="1:1" ht="15.75" customHeight="1">
      <c r="A156" s="41"/>
    </row>
    <row r="157" spans="1:1" ht="15.75" customHeight="1">
      <c r="A157" s="41"/>
    </row>
    <row r="158" spans="1:1" ht="15.75" customHeight="1">
      <c r="A158" s="41"/>
    </row>
    <row r="159" spans="1:1" ht="15.75" customHeight="1">
      <c r="A159" s="41"/>
    </row>
    <row r="160" spans="1:1" ht="15.75" customHeight="1">
      <c r="A160" s="41"/>
    </row>
    <row r="161" spans="1:1" ht="15.75" customHeight="1">
      <c r="A161" s="41"/>
    </row>
    <row r="162" spans="1:1" ht="15.75" customHeight="1">
      <c r="A162" s="41"/>
    </row>
    <row r="163" spans="1:1" ht="15.75" customHeight="1">
      <c r="A163" s="41"/>
    </row>
    <row r="164" spans="1:1" ht="15.75" customHeight="1">
      <c r="A164" s="41"/>
    </row>
    <row r="165" spans="1:1" ht="15.75" customHeight="1">
      <c r="A165" s="41"/>
    </row>
    <row r="166" spans="1:1" ht="15.75" customHeight="1">
      <c r="A166" s="41"/>
    </row>
    <row r="167" spans="1:1" ht="15.75" customHeight="1">
      <c r="A167" s="41"/>
    </row>
    <row r="168" spans="1:1" ht="15.75" customHeight="1">
      <c r="A168" s="41"/>
    </row>
    <row r="169" spans="1:1" ht="15.75" customHeight="1">
      <c r="A169" s="41"/>
    </row>
    <row r="170" spans="1:1" ht="15.75" customHeight="1">
      <c r="A170" s="41"/>
    </row>
    <row r="171" spans="1:1" ht="15.75" customHeight="1">
      <c r="A171" s="41"/>
    </row>
    <row r="172" spans="1:1" ht="15.75" customHeight="1">
      <c r="A172" s="41"/>
    </row>
    <row r="173" spans="1:1" ht="15.75" customHeight="1">
      <c r="A173" s="41"/>
    </row>
    <row r="174" spans="1:1" ht="15.75" customHeight="1">
      <c r="A174" s="41"/>
    </row>
    <row r="175" spans="1:1" ht="15.75" customHeight="1">
      <c r="A175" s="41"/>
    </row>
    <row r="176" spans="1:1" ht="15.75" customHeight="1">
      <c r="A176" s="41"/>
    </row>
    <row r="177" spans="1:1" ht="15.75" customHeight="1">
      <c r="A177" s="41"/>
    </row>
    <row r="178" spans="1:1" ht="15.75" customHeight="1">
      <c r="A178" s="41"/>
    </row>
    <row r="179" spans="1:1" ht="15.75" customHeight="1">
      <c r="A179" s="41"/>
    </row>
    <row r="180" spans="1:1" ht="15.75" customHeight="1">
      <c r="A180" s="41"/>
    </row>
    <row r="181" spans="1:1" ht="15.75" customHeight="1">
      <c r="A181" s="41"/>
    </row>
    <row r="182" spans="1:1" ht="15.75" customHeight="1">
      <c r="A182" s="41"/>
    </row>
    <row r="183" spans="1:1" ht="15.75" customHeight="1">
      <c r="A183" s="41"/>
    </row>
    <row r="184" spans="1:1" ht="15.75" customHeight="1">
      <c r="A184" s="41"/>
    </row>
    <row r="185" spans="1:1" ht="15.75" customHeight="1">
      <c r="A185" s="41"/>
    </row>
    <row r="186" spans="1:1" ht="15.75" customHeight="1">
      <c r="A186" s="41"/>
    </row>
    <row r="187" spans="1:1" ht="15.75" customHeight="1">
      <c r="A187" s="41"/>
    </row>
    <row r="188" spans="1:1" ht="15.75" customHeight="1">
      <c r="A188" s="41"/>
    </row>
    <row r="189" spans="1:1" ht="15.75" customHeight="1">
      <c r="A189" s="41"/>
    </row>
    <row r="190" spans="1:1" ht="15.75" customHeight="1">
      <c r="A190" s="41"/>
    </row>
    <row r="191" spans="1:1" ht="15.75" customHeight="1">
      <c r="A191" s="41"/>
    </row>
    <row r="192" spans="1:1" ht="15.75" customHeight="1">
      <c r="A192" s="41"/>
    </row>
    <row r="193" spans="1:1" ht="15.75" customHeight="1">
      <c r="A193" s="41"/>
    </row>
    <row r="194" spans="1:1" ht="15.75" customHeight="1">
      <c r="A194" s="41"/>
    </row>
    <row r="195" spans="1:1" ht="15.75" customHeight="1">
      <c r="A195" s="41"/>
    </row>
    <row r="196" spans="1:1" ht="15.75" customHeight="1">
      <c r="A196" s="41"/>
    </row>
    <row r="197" spans="1:1" ht="15.75" customHeight="1">
      <c r="A197" s="41"/>
    </row>
    <row r="198" spans="1:1" ht="15.75" customHeight="1">
      <c r="A198" s="41"/>
    </row>
    <row r="199" spans="1:1" ht="15.75" customHeight="1">
      <c r="A199" s="41"/>
    </row>
    <row r="200" spans="1:1" ht="15.75" customHeight="1">
      <c r="A200" s="41"/>
    </row>
    <row r="201" spans="1:1" ht="15.75" customHeight="1">
      <c r="A201" s="41"/>
    </row>
    <row r="202" spans="1:1" ht="15.75" customHeight="1">
      <c r="A202" s="41"/>
    </row>
    <row r="203" spans="1:1" ht="15.75" customHeight="1">
      <c r="A203" s="41"/>
    </row>
    <row r="204" spans="1:1" ht="15.75" customHeight="1">
      <c r="A204" s="41"/>
    </row>
    <row r="205" spans="1:1" ht="15.75" customHeight="1">
      <c r="A205" s="41"/>
    </row>
    <row r="206" spans="1:1" ht="15.75" customHeight="1">
      <c r="A206" s="41"/>
    </row>
    <row r="207" spans="1:1" ht="15.75" customHeight="1">
      <c r="A207" s="41"/>
    </row>
    <row r="208" spans="1:1" ht="15.75" customHeight="1">
      <c r="A208" s="41"/>
    </row>
    <row r="209" spans="1:1" ht="15.75" customHeight="1">
      <c r="A209" s="41"/>
    </row>
    <row r="210" spans="1:1" ht="15.75" customHeight="1">
      <c r="A210" s="41"/>
    </row>
    <row r="211" spans="1:1" ht="15.75" customHeight="1">
      <c r="A211" s="41"/>
    </row>
    <row r="212" spans="1:1" ht="15.75" customHeight="1">
      <c r="A212" s="41"/>
    </row>
    <row r="213" spans="1:1" ht="15.75" customHeight="1">
      <c r="A213" s="41"/>
    </row>
    <row r="214" spans="1:1" ht="15.75" customHeight="1">
      <c r="A214" s="41"/>
    </row>
    <row r="215" spans="1:1" ht="15.75" customHeight="1">
      <c r="A215" s="41"/>
    </row>
    <row r="216" spans="1:1" ht="15.75" customHeight="1">
      <c r="A216" s="41"/>
    </row>
    <row r="217" spans="1:1" ht="15.75" customHeight="1">
      <c r="A217" s="41"/>
    </row>
    <row r="218" spans="1:1" ht="15.75" customHeight="1">
      <c r="A218" s="41"/>
    </row>
    <row r="219" spans="1:1" ht="15.75" customHeight="1">
      <c r="A219" s="41"/>
    </row>
    <row r="220" spans="1:1" ht="15.75" customHeight="1">
      <c r="A220" s="41"/>
    </row>
    <row r="221" spans="1:1" ht="15.75" customHeight="1">
      <c r="A221" s="41"/>
    </row>
    <row r="222" spans="1:1" ht="15.75" customHeight="1">
      <c r="A222" s="41"/>
    </row>
    <row r="223" spans="1:1" ht="15.75" customHeight="1">
      <c r="A223" s="41"/>
    </row>
    <row r="224" spans="1:1" ht="15.75" customHeight="1">
      <c r="A224" s="41"/>
    </row>
    <row r="225" spans="1:1" ht="15.75" customHeight="1">
      <c r="A225" s="41"/>
    </row>
    <row r="226" spans="1:1" ht="15.75" customHeight="1">
      <c r="A226" s="41"/>
    </row>
    <row r="227" spans="1:1" ht="15.75" customHeight="1">
      <c r="A227" s="41"/>
    </row>
    <row r="228" spans="1:1" ht="15.75" customHeight="1">
      <c r="A228" s="41"/>
    </row>
    <row r="229" spans="1:1" ht="15.75" customHeight="1">
      <c r="A229" s="41"/>
    </row>
    <row r="230" spans="1:1" ht="15.75" customHeight="1">
      <c r="A230" s="41"/>
    </row>
    <row r="231" spans="1:1" ht="15.75" customHeight="1">
      <c r="A231" s="41"/>
    </row>
    <row r="232" spans="1:1" ht="15.75" customHeight="1">
      <c r="A232" s="41"/>
    </row>
    <row r="233" spans="1:1" ht="15.75" customHeight="1">
      <c r="A233" s="41"/>
    </row>
    <row r="234" spans="1:1" ht="15.75" customHeight="1">
      <c r="A234" s="41"/>
    </row>
    <row r="235" spans="1:1" ht="15.75" customHeight="1">
      <c r="A235" s="41"/>
    </row>
    <row r="236" spans="1:1" ht="15.75" customHeight="1">
      <c r="A236" s="41"/>
    </row>
    <row r="237" spans="1:1" ht="15.75" customHeight="1">
      <c r="A237" s="41"/>
    </row>
    <row r="238" spans="1:1" ht="15.75" customHeight="1">
      <c r="A238" s="41"/>
    </row>
    <row r="239" spans="1:1" ht="15.75" customHeight="1">
      <c r="A239" s="41"/>
    </row>
    <row r="240" spans="1:1" ht="15.75" customHeight="1">
      <c r="A240" s="41"/>
    </row>
    <row r="241" spans="1:1" ht="15.75" customHeight="1">
      <c r="A241" s="41"/>
    </row>
    <row r="242" spans="1:1" ht="15.75" customHeight="1">
      <c r="A242" s="41"/>
    </row>
    <row r="243" spans="1:1" ht="15.75" customHeight="1">
      <c r="A243" s="41"/>
    </row>
    <row r="244" spans="1:1" ht="15.75" customHeight="1">
      <c r="A244" s="41"/>
    </row>
    <row r="245" spans="1:1" ht="15.75" customHeight="1">
      <c r="A245" s="41"/>
    </row>
    <row r="246" spans="1:1" ht="15.75" customHeight="1">
      <c r="A246" s="41"/>
    </row>
    <row r="247" spans="1:1" ht="15.75" customHeight="1">
      <c r="A247" s="41"/>
    </row>
    <row r="248" spans="1:1" ht="15.75" customHeight="1">
      <c r="A248" s="41"/>
    </row>
    <row r="249" spans="1:1" ht="15.75" customHeight="1">
      <c r="A249" s="41"/>
    </row>
    <row r="250" spans="1:1" ht="15.75" customHeight="1">
      <c r="A250" s="41"/>
    </row>
    <row r="251" spans="1:1" ht="15.75" customHeight="1">
      <c r="A251" s="41"/>
    </row>
    <row r="252" spans="1:1" ht="15.75" customHeight="1">
      <c r="A252" s="41"/>
    </row>
    <row r="253" spans="1:1" ht="15.75" customHeight="1">
      <c r="A253" s="41"/>
    </row>
    <row r="254" spans="1:1" ht="15.75" customHeight="1">
      <c r="A254" s="41"/>
    </row>
    <row r="255" spans="1:1" ht="15.75" customHeight="1">
      <c r="A255" s="41"/>
    </row>
    <row r="256" spans="1:1" ht="15.75" customHeight="1">
      <c r="A256" s="41"/>
    </row>
    <row r="257" spans="1:1" ht="15.75" customHeight="1">
      <c r="A257" s="41"/>
    </row>
    <row r="258" spans="1:1" ht="15.75" customHeight="1">
      <c r="A258" s="41"/>
    </row>
    <row r="259" spans="1:1" ht="15.75" customHeight="1">
      <c r="A259" s="41"/>
    </row>
    <row r="260" spans="1:1" ht="15.75" customHeight="1">
      <c r="A260" s="41"/>
    </row>
    <row r="261" spans="1:1" ht="15.75" customHeight="1">
      <c r="A261" s="41"/>
    </row>
    <row r="262" spans="1:1" ht="15.75" customHeight="1">
      <c r="A262" s="41"/>
    </row>
    <row r="263" spans="1:1" ht="15.75" customHeight="1">
      <c r="A263" s="41"/>
    </row>
    <row r="264" spans="1:1" ht="15.75" customHeight="1">
      <c r="A264" s="41"/>
    </row>
    <row r="265" spans="1:1" ht="15.75" customHeight="1">
      <c r="A265" s="41"/>
    </row>
    <row r="266" spans="1:1" ht="15.75" customHeight="1">
      <c r="A266" s="41"/>
    </row>
    <row r="267" spans="1:1" ht="15.75" customHeight="1">
      <c r="A267" s="41"/>
    </row>
    <row r="268" spans="1:1" ht="15.75" customHeight="1">
      <c r="A268" s="41"/>
    </row>
    <row r="269" spans="1:1" ht="15.75" customHeight="1">
      <c r="A269" s="41"/>
    </row>
    <row r="270" spans="1:1" ht="15.75" customHeight="1">
      <c r="A270" s="41"/>
    </row>
    <row r="271" spans="1:1" ht="15.75" customHeight="1">
      <c r="A271" s="41"/>
    </row>
    <row r="272" spans="1:1" ht="15.75" customHeight="1">
      <c r="A272" s="41"/>
    </row>
    <row r="273" spans="1:1" ht="15.75" customHeight="1">
      <c r="A273" s="41"/>
    </row>
    <row r="274" spans="1:1" ht="15.75" customHeight="1">
      <c r="A274" s="41"/>
    </row>
    <row r="275" spans="1:1" ht="15.75" customHeight="1">
      <c r="A275" s="41"/>
    </row>
    <row r="276" spans="1:1" ht="15.75" customHeight="1">
      <c r="A276" s="41"/>
    </row>
    <row r="277" spans="1:1" ht="15.75" customHeight="1">
      <c r="A277" s="41"/>
    </row>
    <row r="278" spans="1:1" ht="15.75" customHeight="1">
      <c r="A278" s="41"/>
    </row>
    <row r="279" spans="1:1" ht="15.75" customHeight="1">
      <c r="A279" s="41"/>
    </row>
    <row r="280" spans="1:1" ht="15.75" customHeight="1">
      <c r="A280" s="41"/>
    </row>
    <row r="281" spans="1:1" ht="15.75" customHeight="1">
      <c r="A281" s="41"/>
    </row>
    <row r="282" spans="1:1" ht="15.75" customHeight="1">
      <c r="A282" s="41"/>
    </row>
    <row r="283" spans="1:1" ht="15.75" customHeight="1">
      <c r="A283" s="41"/>
    </row>
    <row r="284" spans="1:1" ht="15.75" customHeight="1">
      <c r="A284" s="41"/>
    </row>
    <row r="285" spans="1:1" ht="15.75" customHeight="1">
      <c r="A285" s="41"/>
    </row>
    <row r="286" spans="1:1" ht="15.75" customHeight="1">
      <c r="A286" s="41"/>
    </row>
    <row r="287" spans="1:1" ht="15.75" customHeight="1">
      <c r="A287" s="41"/>
    </row>
    <row r="288" spans="1:1" ht="15.75" customHeight="1">
      <c r="A288" s="41"/>
    </row>
    <row r="289" spans="1:1" ht="15.75" customHeight="1">
      <c r="A289" s="41"/>
    </row>
    <row r="290" spans="1:1" ht="15.75" customHeight="1">
      <c r="A290" s="41"/>
    </row>
    <row r="291" spans="1:1" ht="15.75" customHeight="1">
      <c r="A291" s="41"/>
    </row>
    <row r="292" spans="1:1" ht="15.75" customHeight="1">
      <c r="A292" s="41"/>
    </row>
    <row r="293" spans="1:1" ht="15.75" customHeight="1">
      <c r="A293" s="41"/>
    </row>
    <row r="294" spans="1:1" ht="15.75" customHeight="1">
      <c r="A294" s="41"/>
    </row>
    <row r="295" spans="1:1" ht="15.75" customHeight="1">
      <c r="A295" s="41"/>
    </row>
    <row r="296" spans="1:1" ht="15.75" customHeight="1">
      <c r="A296" s="41"/>
    </row>
    <row r="297" spans="1:1" ht="15.75" customHeight="1">
      <c r="A297" s="41"/>
    </row>
    <row r="298" spans="1:1" ht="15.75" customHeight="1">
      <c r="A298" s="41"/>
    </row>
    <row r="299" spans="1:1" ht="15.75" customHeight="1">
      <c r="A299" s="41"/>
    </row>
    <row r="300" spans="1:1" ht="15.75" customHeight="1">
      <c r="A300" s="41"/>
    </row>
    <row r="301" spans="1:1" ht="15.75" customHeight="1">
      <c r="A301" s="41"/>
    </row>
    <row r="302" spans="1:1" ht="15.75" customHeight="1">
      <c r="A302" s="41"/>
    </row>
    <row r="303" spans="1:1" ht="15.75" customHeight="1">
      <c r="A303" s="41"/>
    </row>
    <row r="304" spans="1:1" ht="15.75" customHeight="1">
      <c r="A304" s="41"/>
    </row>
    <row r="305" spans="1:1" ht="15.75" customHeight="1">
      <c r="A305" s="41"/>
    </row>
    <row r="306" spans="1:1" ht="15.75" customHeight="1">
      <c r="A306" s="41"/>
    </row>
    <row r="307" spans="1:1" ht="15.75" customHeight="1">
      <c r="A307" s="41"/>
    </row>
    <row r="308" spans="1:1" ht="15.75" customHeight="1">
      <c r="A308" s="41"/>
    </row>
    <row r="309" spans="1:1" ht="15.75" customHeight="1">
      <c r="A309" s="41"/>
    </row>
    <row r="310" spans="1:1" ht="15.75" customHeight="1">
      <c r="A310" s="41"/>
    </row>
    <row r="311" spans="1:1" ht="15.75" customHeight="1">
      <c r="A311" s="41"/>
    </row>
    <row r="312" spans="1:1" ht="15.75" customHeight="1">
      <c r="A312" s="41"/>
    </row>
    <row r="313" spans="1:1" ht="15.75" customHeight="1">
      <c r="A313" s="41"/>
    </row>
    <row r="314" spans="1:1" ht="15.75" customHeight="1">
      <c r="A314" s="41"/>
    </row>
    <row r="315" spans="1:1" ht="15.75" customHeight="1">
      <c r="A315" s="41"/>
    </row>
    <row r="316" spans="1:1" ht="15.75" customHeight="1">
      <c r="A316" s="41"/>
    </row>
    <row r="317" spans="1:1" ht="15.75" customHeight="1">
      <c r="A317" s="41"/>
    </row>
    <row r="318" spans="1:1" ht="15.75" customHeight="1">
      <c r="A318" s="41"/>
    </row>
    <row r="319" spans="1:1" ht="15.75" customHeight="1">
      <c r="A319" s="41"/>
    </row>
    <row r="320" spans="1:1" ht="15.75" customHeight="1">
      <c r="A320" s="41"/>
    </row>
    <row r="321" spans="1:1" ht="15.75" customHeight="1">
      <c r="A321" s="41"/>
    </row>
    <row r="322" spans="1:1" ht="15.75" customHeight="1">
      <c r="A322" s="41"/>
    </row>
    <row r="323" spans="1:1" ht="15.75" customHeight="1">
      <c r="A323" s="41"/>
    </row>
    <row r="324" spans="1:1" ht="15.75" customHeight="1">
      <c r="A324" s="41"/>
    </row>
    <row r="325" spans="1:1" ht="15.75" customHeight="1">
      <c r="A325" s="41"/>
    </row>
    <row r="326" spans="1:1" ht="15.75" customHeight="1">
      <c r="A326" s="41"/>
    </row>
    <row r="327" spans="1:1" ht="15.75" customHeight="1">
      <c r="A327" s="41"/>
    </row>
    <row r="328" spans="1:1" ht="15.75" customHeight="1">
      <c r="A328" s="41"/>
    </row>
    <row r="329" spans="1:1" ht="15.75" customHeight="1">
      <c r="A329" s="41"/>
    </row>
    <row r="330" spans="1:1" ht="15.75" customHeight="1">
      <c r="A330" s="41"/>
    </row>
    <row r="331" spans="1:1" ht="15.75" customHeight="1">
      <c r="A331" s="41"/>
    </row>
    <row r="332" spans="1:1" ht="15.75" customHeight="1">
      <c r="A332" s="41"/>
    </row>
    <row r="333" spans="1:1" ht="15.75" customHeight="1">
      <c r="A333" s="41"/>
    </row>
    <row r="334" spans="1:1" ht="15.75" customHeight="1">
      <c r="A334" s="41"/>
    </row>
    <row r="335" spans="1:1" ht="15.75" customHeight="1">
      <c r="A335" s="41"/>
    </row>
    <row r="336" spans="1:1" ht="15.75" customHeight="1">
      <c r="A336" s="41"/>
    </row>
    <row r="337" spans="1:1" ht="15.75" customHeight="1">
      <c r="A337" s="41"/>
    </row>
    <row r="338" spans="1:1" ht="15.75" customHeight="1">
      <c r="A338" s="41"/>
    </row>
    <row r="339" spans="1:1" ht="15.75" customHeight="1">
      <c r="A339" s="41"/>
    </row>
    <row r="340" spans="1:1" ht="15.75" customHeight="1">
      <c r="A340" s="41"/>
    </row>
    <row r="341" spans="1:1" ht="15.75" customHeight="1">
      <c r="A341" s="41"/>
    </row>
    <row r="342" spans="1:1" ht="15.75" customHeight="1">
      <c r="A342" s="41"/>
    </row>
    <row r="343" spans="1:1" ht="15.75" customHeight="1">
      <c r="A343" s="41"/>
    </row>
    <row r="344" spans="1:1" ht="15.75" customHeight="1">
      <c r="A344" s="41"/>
    </row>
    <row r="345" spans="1:1" ht="15.75" customHeight="1">
      <c r="A345" s="41"/>
    </row>
    <row r="346" spans="1:1" ht="15.75" customHeight="1">
      <c r="A346" s="41"/>
    </row>
    <row r="347" spans="1:1" ht="15.75" customHeight="1">
      <c r="A347" s="41"/>
    </row>
    <row r="348" spans="1:1" ht="15.75" customHeight="1">
      <c r="A348" s="41"/>
    </row>
    <row r="349" spans="1:1" ht="15.75" customHeight="1">
      <c r="A349" s="41"/>
    </row>
    <row r="350" spans="1:1" ht="15.75" customHeight="1">
      <c r="A350" s="41"/>
    </row>
    <row r="351" spans="1:1" ht="15.75" customHeight="1">
      <c r="A351" s="41"/>
    </row>
    <row r="352" spans="1:1" ht="15.75" customHeight="1">
      <c r="A352" s="41"/>
    </row>
    <row r="353" spans="1:1" ht="15.75" customHeight="1">
      <c r="A353" s="41"/>
    </row>
    <row r="354" spans="1:1" ht="15.75" customHeight="1">
      <c r="A354" s="41"/>
    </row>
    <row r="355" spans="1:1" ht="15.75" customHeight="1">
      <c r="A355" s="41"/>
    </row>
    <row r="356" spans="1:1" ht="15.75" customHeight="1">
      <c r="A356" s="41"/>
    </row>
    <row r="357" spans="1:1" ht="15.75" customHeight="1">
      <c r="A357" s="41"/>
    </row>
    <row r="358" spans="1:1" ht="15.75" customHeight="1">
      <c r="A358" s="41"/>
    </row>
    <row r="359" spans="1:1" ht="15.75" customHeight="1">
      <c r="A359" s="41"/>
    </row>
    <row r="360" spans="1:1" ht="15.75" customHeight="1">
      <c r="A360" s="41"/>
    </row>
    <row r="361" spans="1:1" ht="15.75" customHeight="1">
      <c r="A361" s="41"/>
    </row>
    <row r="362" spans="1:1" ht="15.75" customHeight="1">
      <c r="A362" s="41"/>
    </row>
    <row r="363" spans="1:1" ht="15.75" customHeight="1">
      <c r="A363" s="41"/>
    </row>
    <row r="364" spans="1:1" ht="15.75" customHeight="1">
      <c r="A364" s="41"/>
    </row>
    <row r="365" spans="1:1" ht="15.75" customHeight="1">
      <c r="A365" s="41"/>
    </row>
    <row r="366" spans="1:1" ht="15.75" customHeight="1">
      <c r="A366" s="41"/>
    </row>
    <row r="367" spans="1:1" ht="15.75" customHeight="1">
      <c r="A367" s="41"/>
    </row>
    <row r="368" spans="1:1" ht="15.75" customHeight="1">
      <c r="A368" s="41"/>
    </row>
    <row r="369" spans="1:1" ht="15.75" customHeight="1">
      <c r="A369" s="41"/>
    </row>
    <row r="370" spans="1:1" ht="15.75" customHeight="1">
      <c r="A370" s="41"/>
    </row>
    <row r="371" spans="1:1" ht="15.75" customHeight="1">
      <c r="A371" s="41"/>
    </row>
    <row r="372" spans="1:1" ht="15.75" customHeight="1">
      <c r="A372" s="41"/>
    </row>
    <row r="373" spans="1:1" ht="15.75" customHeight="1">
      <c r="A373" s="41"/>
    </row>
    <row r="374" spans="1:1" ht="15.75" customHeight="1">
      <c r="A374" s="41"/>
    </row>
    <row r="375" spans="1:1" ht="15.75" customHeight="1">
      <c r="A375" s="41"/>
    </row>
    <row r="376" spans="1:1" ht="15.75" customHeight="1">
      <c r="A376" s="41"/>
    </row>
    <row r="377" spans="1:1" ht="15.75" customHeight="1">
      <c r="A377" s="41"/>
    </row>
    <row r="378" spans="1:1" ht="15.75" customHeight="1">
      <c r="A378" s="41"/>
    </row>
    <row r="379" spans="1:1" ht="15.75" customHeight="1">
      <c r="A379" s="41"/>
    </row>
    <row r="380" spans="1:1" ht="15.75" customHeight="1">
      <c r="A380" s="41"/>
    </row>
    <row r="381" spans="1:1" ht="15.75" customHeight="1">
      <c r="A381" s="41"/>
    </row>
    <row r="382" spans="1:1" ht="15.75" customHeight="1">
      <c r="A382" s="41"/>
    </row>
    <row r="383" spans="1:1" ht="15.75" customHeight="1">
      <c r="A383" s="41"/>
    </row>
    <row r="384" spans="1:1" ht="15.75" customHeight="1">
      <c r="A384" s="41"/>
    </row>
    <row r="385" spans="1:1" ht="15.75" customHeight="1">
      <c r="A385" s="41"/>
    </row>
    <row r="386" spans="1:1" ht="15.75" customHeight="1">
      <c r="A386" s="41"/>
    </row>
    <row r="387" spans="1:1" ht="15.75" customHeight="1">
      <c r="A387" s="41"/>
    </row>
    <row r="388" spans="1:1" ht="15.75" customHeight="1">
      <c r="A388" s="41"/>
    </row>
    <row r="389" spans="1:1" ht="15.75" customHeight="1">
      <c r="A389" s="41"/>
    </row>
    <row r="390" spans="1:1" ht="15.75" customHeight="1">
      <c r="A390" s="41"/>
    </row>
    <row r="391" spans="1:1" ht="15.75" customHeight="1">
      <c r="A391" s="41"/>
    </row>
    <row r="392" spans="1:1" ht="15.75" customHeight="1">
      <c r="A392" s="41"/>
    </row>
    <row r="393" spans="1:1" ht="15.75" customHeight="1">
      <c r="A393" s="41"/>
    </row>
    <row r="394" spans="1:1" ht="15.75" customHeight="1">
      <c r="A394" s="41"/>
    </row>
    <row r="395" spans="1:1" ht="15.75" customHeight="1">
      <c r="A395" s="41"/>
    </row>
    <row r="396" spans="1:1" ht="15.75" customHeight="1">
      <c r="A396" s="41"/>
    </row>
    <row r="397" spans="1:1" ht="15.75" customHeight="1">
      <c r="A397" s="41"/>
    </row>
    <row r="398" spans="1:1" ht="15.75" customHeight="1">
      <c r="A398" s="41"/>
    </row>
    <row r="399" spans="1:1" ht="15.75" customHeight="1">
      <c r="A399" s="41"/>
    </row>
    <row r="400" spans="1:1" ht="15.75" customHeight="1">
      <c r="A400" s="41"/>
    </row>
    <row r="401" spans="1:1" ht="15.75" customHeight="1">
      <c r="A401" s="41"/>
    </row>
    <row r="402" spans="1:1" ht="15.75" customHeight="1">
      <c r="A402" s="41"/>
    </row>
    <row r="403" spans="1:1" ht="15.75" customHeight="1">
      <c r="A403" s="41"/>
    </row>
    <row r="404" spans="1:1" ht="15.75" customHeight="1">
      <c r="A404" s="41"/>
    </row>
    <row r="405" spans="1:1" ht="15.75" customHeight="1">
      <c r="A405" s="41"/>
    </row>
    <row r="406" spans="1:1" ht="15.75" customHeight="1">
      <c r="A406" s="41"/>
    </row>
    <row r="407" spans="1:1" ht="15.75" customHeight="1">
      <c r="A407" s="41"/>
    </row>
    <row r="408" spans="1:1" ht="15.75" customHeight="1">
      <c r="A408" s="41"/>
    </row>
    <row r="409" spans="1:1" ht="15.75" customHeight="1">
      <c r="A409" s="41"/>
    </row>
    <row r="410" spans="1:1" ht="15.75" customHeight="1">
      <c r="A410" s="41"/>
    </row>
    <row r="411" spans="1:1" ht="15.75" customHeight="1">
      <c r="A411" s="41"/>
    </row>
    <row r="412" spans="1:1" ht="15.75" customHeight="1">
      <c r="A412" s="41"/>
    </row>
    <row r="413" spans="1:1" ht="15.75" customHeight="1">
      <c r="A413" s="41"/>
    </row>
    <row r="414" spans="1:1" ht="15.75" customHeight="1">
      <c r="A414" s="41"/>
    </row>
    <row r="415" spans="1:1" ht="15.75" customHeight="1">
      <c r="A415" s="41"/>
    </row>
    <row r="416" spans="1:1" ht="15.75" customHeight="1">
      <c r="A416" s="41"/>
    </row>
    <row r="417" spans="1:1" ht="15.75" customHeight="1">
      <c r="A417" s="41"/>
    </row>
    <row r="418" spans="1:1" ht="15.75" customHeight="1">
      <c r="A418" s="41"/>
    </row>
    <row r="419" spans="1:1" ht="15.75" customHeight="1">
      <c r="A419" s="41"/>
    </row>
    <row r="420" spans="1:1" ht="15.75" customHeight="1">
      <c r="A420" s="41"/>
    </row>
    <row r="421" spans="1:1" ht="15.75" customHeight="1">
      <c r="A421" s="41"/>
    </row>
    <row r="422" spans="1:1" ht="15.75" customHeight="1">
      <c r="A422" s="41"/>
    </row>
    <row r="423" spans="1:1" ht="15.75" customHeight="1">
      <c r="A423" s="41"/>
    </row>
    <row r="424" spans="1:1" ht="15.75" customHeight="1">
      <c r="A424" s="41"/>
    </row>
    <row r="425" spans="1:1" ht="15.75" customHeight="1">
      <c r="A425" s="41"/>
    </row>
    <row r="426" spans="1:1" ht="15.75" customHeight="1">
      <c r="A426" s="41"/>
    </row>
    <row r="427" spans="1:1" ht="15.75" customHeight="1">
      <c r="A427" s="41"/>
    </row>
    <row r="428" spans="1:1" ht="15.75" customHeight="1">
      <c r="A428" s="41"/>
    </row>
    <row r="429" spans="1:1" ht="15.75" customHeight="1">
      <c r="A429" s="41"/>
    </row>
    <row r="430" spans="1:1" ht="15.75" customHeight="1">
      <c r="A430" s="41"/>
    </row>
    <row r="431" spans="1:1" ht="15.75" customHeight="1">
      <c r="A431" s="41"/>
    </row>
    <row r="432" spans="1:1" ht="15.75" customHeight="1">
      <c r="A432" s="41"/>
    </row>
    <row r="433" spans="1:1" ht="15.75" customHeight="1">
      <c r="A433" s="41"/>
    </row>
    <row r="434" spans="1:1" ht="15.75" customHeight="1">
      <c r="A434" s="41"/>
    </row>
    <row r="435" spans="1:1" ht="15.75" customHeight="1">
      <c r="A435" s="41"/>
    </row>
    <row r="436" spans="1:1" ht="15.75" customHeight="1">
      <c r="A436" s="41"/>
    </row>
    <row r="437" spans="1:1" ht="15.75" customHeight="1">
      <c r="A437" s="41"/>
    </row>
    <row r="438" spans="1:1" ht="15.75" customHeight="1">
      <c r="A438" s="41"/>
    </row>
    <row r="439" spans="1:1" ht="15.75" customHeight="1">
      <c r="A439" s="41"/>
    </row>
    <row r="440" spans="1:1" ht="15.75" customHeight="1">
      <c r="A440" s="41"/>
    </row>
    <row r="441" spans="1:1" ht="15.75" customHeight="1">
      <c r="A441" s="41"/>
    </row>
    <row r="442" spans="1:1" ht="15.75" customHeight="1">
      <c r="A442" s="41"/>
    </row>
    <row r="443" spans="1:1" ht="15.75" customHeight="1">
      <c r="A443" s="41"/>
    </row>
    <row r="444" spans="1:1" ht="15.75" customHeight="1">
      <c r="A444" s="41"/>
    </row>
    <row r="445" spans="1:1" ht="15.75" customHeight="1">
      <c r="A445" s="41"/>
    </row>
    <row r="446" spans="1:1" ht="15.75" customHeight="1">
      <c r="A446" s="41"/>
    </row>
    <row r="447" spans="1:1" ht="15.75" customHeight="1">
      <c r="A447" s="41"/>
    </row>
    <row r="448" spans="1:1" ht="15.75" customHeight="1">
      <c r="A448" s="41"/>
    </row>
    <row r="449" spans="1:1" ht="15.75" customHeight="1">
      <c r="A449" s="41"/>
    </row>
    <row r="450" spans="1:1" ht="15.75" customHeight="1">
      <c r="A450" s="41"/>
    </row>
    <row r="451" spans="1:1" ht="15.75" customHeight="1">
      <c r="A451" s="41"/>
    </row>
    <row r="452" spans="1:1" ht="15.75" customHeight="1">
      <c r="A452" s="41"/>
    </row>
    <row r="453" spans="1:1" ht="15.75" customHeight="1">
      <c r="A453" s="41"/>
    </row>
    <row r="454" spans="1:1" ht="15.75" customHeight="1">
      <c r="A454" s="41"/>
    </row>
    <row r="455" spans="1:1" ht="15.75" customHeight="1">
      <c r="A455" s="41"/>
    </row>
    <row r="456" spans="1:1" ht="15.75" customHeight="1">
      <c r="A456" s="41"/>
    </row>
    <row r="457" spans="1:1" ht="15.75" customHeight="1">
      <c r="A457" s="41"/>
    </row>
    <row r="458" spans="1:1" ht="15.75" customHeight="1">
      <c r="A458" s="41"/>
    </row>
    <row r="459" spans="1:1" ht="15.75" customHeight="1">
      <c r="A459" s="41"/>
    </row>
    <row r="460" spans="1:1" ht="15.75" customHeight="1">
      <c r="A460" s="41"/>
    </row>
    <row r="461" spans="1:1" ht="15.75" customHeight="1">
      <c r="A461" s="41"/>
    </row>
    <row r="462" spans="1:1" ht="15.75" customHeight="1">
      <c r="A462" s="41"/>
    </row>
    <row r="463" spans="1:1" ht="15.75" customHeight="1">
      <c r="A463" s="41"/>
    </row>
    <row r="464" spans="1:1" ht="15.75" customHeight="1">
      <c r="A464" s="41"/>
    </row>
    <row r="465" spans="1:1" ht="15.75" customHeight="1">
      <c r="A465" s="41"/>
    </row>
    <row r="466" spans="1:1" ht="15.75" customHeight="1">
      <c r="A466" s="41"/>
    </row>
    <row r="467" spans="1:1" ht="15.75" customHeight="1">
      <c r="A467" s="41"/>
    </row>
    <row r="468" spans="1:1" ht="15.75" customHeight="1">
      <c r="A468" s="41"/>
    </row>
    <row r="469" spans="1:1" ht="15.75" customHeight="1">
      <c r="A469" s="41"/>
    </row>
    <row r="470" spans="1:1" ht="15.75" customHeight="1">
      <c r="A470" s="41"/>
    </row>
    <row r="471" spans="1:1" ht="15.75" customHeight="1">
      <c r="A471" s="41"/>
    </row>
    <row r="472" spans="1:1" ht="15.75" customHeight="1">
      <c r="A472" s="41"/>
    </row>
    <row r="473" spans="1:1" ht="15.75" customHeight="1">
      <c r="A473" s="41"/>
    </row>
    <row r="474" spans="1:1" ht="15.75" customHeight="1">
      <c r="A474" s="41"/>
    </row>
    <row r="475" spans="1:1" ht="15.75" customHeight="1">
      <c r="A475" s="41"/>
    </row>
    <row r="476" spans="1:1" ht="15.75" customHeight="1">
      <c r="A476" s="41"/>
    </row>
    <row r="477" spans="1:1" ht="15.75" customHeight="1">
      <c r="A477" s="41"/>
    </row>
    <row r="478" spans="1:1" ht="15.75" customHeight="1">
      <c r="A478" s="41"/>
    </row>
    <row r="479" spans="1:1" ht="15.75" customHeight="1">
      <c r="A479" s="41"/>
    </row>
    <row r="480" spans="1:1" ht="15.75" customHeight="1">
      <c r="A480" s="41"/>
    </row>
    <row r="481" spans="1:1" ht="15.75" customHeight="1">
      <c r="A481" s="41"/>
    </row>
    <row r="482" spans="1:1" ht="15.75" customHeight="1">
      <c r="A482" s="41"/>
    </row>
    <row r="483" spans="1:1" ht="15.75" customHeight="1">
      <c r="A483" s="41"/>
    </row>
    <row r="484" spans="1:1" ht="15.75" customHeight="1">
      <c r="A484" s="41"/>
    </row>
    <row r="485" spans="1:1" ht="15.75" customHeight="1">
      <c r="A485" s="41"/>
    </row>
    <row r="486" spans="1:1" ht="15.75" customHeight="1">
      <c r="A486" s="41"/>
    </row>
    <row r="487" spans="1:1" ht="15.75" customHeight="1">
      <c r="A487" s="41"/>
    </row>
    <row r="488" spans="1:1" ht="15.75" customHeight="1">
      <c r="A488" s="41"/>
    </row>
    <row r="489" spans="1:1" ht="15.75" customHeight="1">
      <c r="A489" s="41"/>
    </row>
    <row r="490" spans="1:1" ht="15.75" customHeight="1">
      <c r="A490" s="41"/>
    </row>
    <row r="491" spans="1:1" ht="15.75" customHeight="1">
      <c r="A491" s="41"/>
    </row>
    <row r="492" spans="1:1" ht="15.75" customHeight="1">
      <c r="A492" s="41"/>
    </row>
    <row r="493" spans="1:1" ht="15.75" customHeight="1">
      <c r="A493" s="41"/>
    </row>
    <row r="494" spans="1:1" ht="15.75" customHeight="1">
      <c r="A494" s="41"/>
    </row>
    <row r="495" spans="1:1" ht="15.75" customHeight="1">
      <c r="A495" s="41"/>
    </row>
    <row r="496" spans="1:1" ht="15.75" customHeight="1">
      <c r="A496" s="41"/>
    </row>
    <row r="497" spans="1:1" ht="15.75" customHeight="1">
      <c r="A497" s="41"/>
    </row>
    <row r="498" spans="1:1" ht="15.75" customHeight="1">
      <c r="A498" s="41"/>
    </row>
    <row r="499" spans="1:1" ht="15.75" customHeight="1">
      <c r="A499" s="41"/>
    </row>
    <row r="500" spans="1:1" ht="15.75" customHeight="1">
      <c r="A500" s="41"/>
    </row>
    <row r="501" spans="1:1" ht="15.75" customHeight="1">
      <c r="A501" s="41"/>
    </row>
    <row r="502" spans="1:1" ht="15.75" customHeight="1">
      <c r="A502" s="41"/>
    </row>
    <row r="503" spans="1:1" ht="15.75" customHeight="1">
      <c r="A503" s="41"/>
    </row>
    <row r="504" spans="1:1" ht="15.75" customHeight="1">
      <c r="A504" s="41"/>
    </row>
    <row r="505" spans="1:1" ht="15.75" customHeight="1">
      <c r="A505" s="41"/>
    </row>
    <row r="506" spans="1:1" ht="15.75" customHeight="1">
      <c r="A506" s="41"/>
    </row>
    <row r="507" spans="1:1" ht="15.75" customHeight="1">
      <c r="A507" s="41"/>
    </row>
    <row r="508" spans="1:1" ht="15.75" customHeight="1">
      <c r="A508" s="41"/>
    </row>
    <row r="509" spans="1:1" ht="15.75" customHeight="1">
      <c r="A509" s="41"/>
    </row>
    <row r="510" spans="1:1" ht="15.75" customHeight="1">
      <c r="A510" s="41"/>
    </row>
    <row r="511" spans="1:1" ht="15.75" customHeight="1">
      <c r="A511" s="41"/>
    </row>
    <row r="512" spans="1:1" ht="15.75" customHeight="1">
      <c r="A512" s="41"/>
    </row>
    <row r="513" spans="1:1" ht="15.75" customHeight="1">
      <c r="A513" s="41"/>
    </row>
    <row r="514" spans="1:1" ht="15.75" customHeight="1">
      <c r="A514" s="41"/>
    </row>
    <row r="515" spans="1:1" ht="15.75" customHeight="1">
      <c r="A515" s="41"/>
    </row>
    <row r="516" spans="1:1" ht="15.75" customHeight="1">
      <c r="A516" s="41"/>
    </row>
    <row r="517" spans="1:1" ht="15.75" customHeight="1">
      <c r="A517" s="41"/>
    </row>
    <row r="518" spans="1:1" ht="15.75" customHeight="1">
      <c r="A518" s="41"/>
    </row>
    <row r="519" spans="1:1" ht="15.75" customHeight="1">
      <c r="A519" s="41"/>
    </row>
    <row r="520" spans="1:1" ht="15.75" customHeight="1">
      <c r="A520" s="41"/>
    </row>
    <row r="521" spans="1:1" ht="15.75" customHeight="1">
      <c r="A521" s="41"/>
    </row>
    <row r="522" spans="1:1" ht="15.75" customHeight="1">
      <c r="A522" s="41"/>
    </row>
    <row r="523" spans="1:1" ht="15.75" customHeight="1">
      <c r="A523" s="41"/>
    </row>
    <row r="524" spans="1:1" ht="15.75" customHeight="1">
      <c r="A524" s="41"/>
    </row>
    <row r="525" spans="1:1" ht="15.75" customHeight="1">
      <c r="A525" s="41"/>
    </row>
    <row r="526" spans="1:1" ht="15.75" customHeight="1">
      <c r="A526" s="41"/>
    </row>
    <row r="527" spans="1:1" ht="15.75" customHeight="1">
      <c r="A527" s="41"/>
    </row>
    <row r="528" spans="1:1" ht="15.75" customHeight="1">
      <c r="A528" s="41"/>
    </row>
    <row r="529" spans="1:1" ht="15.75" customHeight="1">
      <c r="A529" s="41"/>
    </row>
    <row r="530" spans="1:1" ht="15.75" customHeight="1">
      <c r="A530" s="41"/>
    </row>
    <row r="531" spans="1:1" ht="15.75" customHeight="1">
      <c r="A531" s="41"/>
    </row>
    <row r="532" spans="1:1" ht="15.75" customHeight="1">
      <c r="A532" s="41"/>
    </row>
    <row r="533" spans="1:1" ht="15.75" customHeight="1">
      <c r="A533" s="41"/>
    </row>
    <row r="534" spans="1:1" ht="15.75" customHeight="1">
      <c r="A534" s="41"/>
    </row>
    <row r="535" spans="1:1" ht="15.75" customHeight="1">
      <c r="A535" s="41"/>
    </row>
    <row r="536" spans="1:1" ht="15.75" customHeight="1">
      <c r="A536" s="41"/>
    </row>
    <row r="537" spans="1:1" ht="15.75" customHeight="1">
      <c r="A537" s="41"/>
    </row>
    <row r="538" spans="1:1" ht="15.75" customHeight="1">
      <c r="A538" s="41"/>
    </row>
    <row r="539" spans="1:1" ht="15.75" customHeight="1">
      <c r="A539" s="41"/>
    </row>
    <row r="540" spans="1:1" ht="15.75" customHeight="1">
      <c r="A540" s="41"/>
    </row>
    <row r="541" spans="1:1" ht="15.75" customHeight="1">
      <c r="A541" s="41"/>
    </row>
    <row r="542" spans="1:1" ht="15.75" customHeight="1">
      <c r="A542" s="41"/>
    </row>
    <row r="543" spans="1:1" ht="15.75" customHeight="1">
      <c r="A543" s="41"/>
    </row>
    <row r="544" spans="1:1" ht="15.75" customHeight="1">
      <c r="A544" s="41"/>
    </row>
    <row r="545" spans="1:1" ht="15.75" customHeight="1">
      <c r="A545" s="41"/>
    </row>
    <row r="546" spans="1:1" ht="15.75" customHeight="1">
      <c r="A546" s="41"/>
    </row>
    <row r="547" spans="1:1" ht="15.75" customHeight="1">
      <c r="A547" s="41"/>
    </row>
    <row r="548" spans="1:1" ht="15.75" customHeight="1">
      <c r="A548" s="41"/>
    </row>
    <row r="549" spans="1:1" ht="15.75" customHeight="1">
      <c r="A549" s="41"/>
    </row>
    <row r="550" spans="1:1" ht="15.75" customHeight="1">
      <c r="A550" s="41"/>
    </row>
    <row r="551" spans="1:1" ht="15.75" customHeight="1">
      <c r="A551" s="41"/>
    </row>
    <row r="552" spans="1:1" ht="15.75" customHeight="1">
      <c r="A552" s="41"/>
    </row>
    <row r="553" spans="1:1" ht="15.75" customHeight="1">
      <c r="A553" s="41"/>
    </row>
    <row r="554" spans="1:1" ht="15.75" customHeight="1">
      <c r="A554" s="41"/>
    </row>
    <row r="555" spans="1:1" ht="15.75" customHeight="1">
      <c r="A555" s="41"/>
    </row>
    <row r="556" spans="1:1" ht="15.75" customHeight="1">
      <c r="A556" s="41"/>
    </row>
    <row r="557" spans="1:1" ht="15.75" customHeight="1">
      <c r="A557" s="41"/>
    </row>
    <row r="558" spans="1:1" ht="15.75" customHeight="1">
      <c r="A558" s="41"/>
    </row>
    <row r="559" spans="1:1" ht="15.75" customHeight="1">
      <c r="A559" s="41"/>
    </row>
    <row r="560" spans="1:1" ht="15.75" customHeight="1">
      <c r="A560" s="41"/>
    </row>
    <row r="561" spans="1:1" ht="15.75" customHeight="1">
      <c r="A561" s="41"/>
    </row>
    <row r="562" spans="1:1" ht="15.75" customHeight="1">
      <c r="A562" s="41"/>
    </row>
    <row r="563" spans="1:1" ht="15.75" customHeight="1">
      <c r="A563" s="41"/>
    </row>
    <row r="564" spans="1:1" ht="15.75" customHeight="1">
      <c r="A564" s="41"/>
    </row>
    <row r="565" spans="1:1" ht="15.75" customHeight="1">
      <c r="A565" s="41"/>
    </row>
    <row r="566" spans="1:1" ht="15.75" customHeight="1">
      <c r="A566" s="41"/>
    </row>
    <row r="567" spans="1:1" ht="15.75" customHeight="1">
      <c r="A567" s="41"/>
    </row>
    <row r="568" spans="1:1" ht="15.75" customHeight="1">
      <c r="A568" s="41"/>
    </row>
    <row r="569" spans="1:1" ht="15.75" customHeight="1">
      <c r="A569" s="41"/>
    </row>
    <row r="570" spans="1:1" ht="15.75" customHeight="1">
      <c r="A570" s="41"/>
    </row>
    <row r="571" spans="1:1" ht="15.75" customHeight="1">
      <c r="A571" s="41"/>
    </row>
    <row r="572" spans="1:1" ht="15.75" customHeight="1">
      <c r="A572" s="41"/>
    </row>
    <row r="573" spans="1:1" ht="15.75" customHeight="1">
      <c r="A573" s="41"/>
    </row>
    <row r="574" spans="1:1" ht="15.75" customHeight="1">
      <c r="A574" s="41"/>
    </row>
    <row r="575" spans="1:1" ht="15.75" customHeight="1">
      <c r="A575" s="41"/>
    </row>
    <row r="576" spans="1:1" ht="15.75" customHeight="1">
      <c r="A576" s="41"/>
    </row>
    <row r="577" spans="1:1" ht="15.75" customHeight="1">
      <c r="A577" s="41"/>
    </row>
    <row r="578" spans="1:1" ht="15.75" customHeight="1">
      <c r="A578" s="41"/>
    </row>
    <row r="579" spans="1:1" ht="15.75" customHeight="1">
      <c r="A579" s="41"/>
    </row>
    <row r="580" spans="1:1" ht="15.75" customHeight="1">
      <c r="A580" s="41"/>
    </row>
    <row r="581" spans="1:1" ht="15.75" customHeight="1">
      <c r="A581" s="41"/>
    </row>
    <row r="582" spans="1:1" ht="15.75" customHeight="1">
      <c r="A582" s="41"/>
    </row>
    <row r="583" spans="1:1" ht="15.75" customHeight="1">
      <c r="A583" s="41"/>
    </row>
    <row r="584" spans="1:1" ht="15.75" customHeight="1">
      <c r="A584" s="41"/>
    </row>
    <row r="585" spans="1:1" ht="15.75" customHeight="1">
      <c r="A585" s="41"/>
    </row>
    <row r="586" spans="1:1" ht="15.75" customHeight="1">
      <c r="A586" s="41"/>
    </row>
    <row r="587" spans="1:1" ht="15.75" customHeight="1">
      <c r="A587" s="41"/>
    </row>
    <row r="588" spans="1:1" ht="15.75" customHeight="1">
      <c r="A588" s="41"/>
    </row>
    <row r="589" spans="1:1" ht="15.75" customHeight="1">
      <c r="A589" s="41"/>
    </row>
    <row r="590" spans="1:1" ht="15.75" customHeight="1">
      <c r="A590" s="41"/>
    </row>
    <row r="591" spans="1:1" ht="15.75" customHeight="1">
      <c r="A591" s="41"/>
    </row>
    <row r="592" spans="1:1" ht="15.75" customHeight="1">
      <c r="A592" s="41"/>
    </row>
    <row r="593" spans="1:1" ht="15.75" customHeight="1">
      <c r="A593" s="41"/>
    </row>
    <row r="594" spans="1:1" ht="15.75" customHeight="1">
      <c r="A594" s="41"/>
    </row>
    <row r="595" spans="1:1" ht="15.75" customHeight="1">
      <c r="A595" s="41"/>
    </row>
    <row r="596" spans="1:1" ht="15.75" customHeight="1">
      <c r="A596" s="41"/>
    </row>
    <row r="597" spans="1:1" ht="15.75" customHeight="1">
      <c r="A597" s="41"/>
    </row>
    <row r="598" spans="1:1" ht="15.75" customHeight="1">
      <c r="A598" s="41"/>
    </row>
    <row r="599" spans="1:1" ht="15.75" customHeight="1">
      <c r="A599" s="41"/>
    </row>
    <row r="600" spans="1:1" ht="15.75" customHeight="1">
      <c r="A600" s="41"/>
    </row>
    <row r="601" spans="1:1" ht="15.75" customHeight="1">
      <c r="A601" s="41"/>
    </row>
    <row r="602" spans="1:1" ht="15.75" customHeight="1">
      <c r="A602" s="41"/>
    </row>
    <row r="603" spans="1:1" ht="15.75" customHeight="1">
      <c r="A603" s="41"/>
    </row>
    <row r="604" spans="1:1" ht="15.75" customHeight="1">
      <c r="A604" s="41"/>
    </row>
    <row r="605" spans="1:1" ht="15.75" customHeight="1">
      <c r="A605" s="41"/>
    </row>
    <row r="606" spans="1:1" ht="15.75" customHeight="1">
      <c r="A606" s="41"/>
    </row>
    <row r="607" spans="1:1" ht="15.75" customHeight="1">
      <c r="A607" s="41"/>
    </row>
    <row r="608" spans="1:1" ht="15.75" customHeight="1">
      <c r="A608" s="41"/>
    </row>
    <row r="609" spans="1:1" ht="15.75" customHeight="1">
      <c r="A609" s="41"/>
    </row>
    <row r="610" spans="1:1" ht="15.75" customHeight="1">
      <c r="A610" s="41"/>
    </row>
    <row r="611" spans="1:1" ht="15.75" customHeight="1">
      <c r="A611" s="41"/>
    </row>
    <row r="612" spans="1:1" ht="15.75" customHeight="1">
      <c r="A612" s="41"/>
    </row>
    <row r="613" spans="1:1" ht="15.75" customHeight="1">
      <c r="A613" s="41"/>
    </row>
    <row r="614" spans="1:1" ht="15.75" customHeight="1">
      <c r="A614" s="41"/>
    </row>
    <row r="615" spans="1:1" ht="15.75" customHeight="1">
      <c r="A615" s="41"/>
    </row>
    <row r="616" spans="1:1" ht="15.75" customHeight="1">
      <c r="A616" s="41"/>
    </row>
    <row r="617" spans="1:1" ht="15.75" customHeight="1">
      <c r="A617" s="41"/>
    </row>
    <row r="618" spans="1:1" ht="15.75" customHeight="1">
      <c r="A618" s="41"/>
    </row>
    <row r="619" spans="1:1" ht="15.75" customHeight="1">
      <c r="A619" s="41"/>
    </row>
    <row r="620" spans="1:1" ht="15.75" customHeight="1">
      <c r="A620" s="41"/>
    </row>
    <row r="621" spans="1:1" ht="15.75" customHeight="1">
      <c r="A621" s="41"/>
    </row>
    <row r="622" spans="1:1" ht="15.75" customHeight="1">
      <c r="A622" s="41"/>
    </row>
    <row r="623" spans="1:1" ht="15.75" customHeight="1">
      <c r="A623" s="41"/>
    </row>
    <row r="624" spans="1:1" ht="15.75" customHeight="1">
      <c r="A624" s="41"/>
    </row>
    <row r="625" spans="1:1" ht="15.75" customHeight="1">
      <c r="A625" s="41"/>
    </row>
    <row r="626" spans="1:1" ht="15.75" customHeight="1">
      <c r="A626" s="41"/>
    </row>
    <row r="627" spans="1:1" ht="15.75" customHeight="1">
      <c r="A627" s="41"/>
    </row>
    <row r="628" spans="1:1" ht="15.75" customHeight="1">
      <c r="A628" s="41"/>
    </row>
    <row r="629" spans="1:1" ht="15.75" customHeight="1">
      <c r="A629" s="41"/>
    </row>
    <row r="630" spans="1:1" ht="15.75" customHeight="1">
      <c r="A630" s="41"/>
    </row>
    <row r="631" spans="1:1" ht="15.75" customHeight="1">
      <c r="A631" s="41"/>
    </row>
    <row r="632" spans="1:1" ht="15.75" customHeight="1">
      <c r="A632" s="41"/>
    </row>
    <row r="633" spans="1:1" ht="15.75" customHeight="1">
      <c r="A633" s="41"/>
    </row>
    <row r="634" spans="1:1" ht="15.75" customHeight="1">
      <c r="A634" s="41"/>
    </row>
    <row r="635" spans="1:1" ht="15.75" customHeight="1">
      <c r="A635" s="41"/>
    </row>
    <row r="636" spans="1:1" ht="15.75" customHeight="1">
      <c r="A636" s="41"/>
    </row>
    <row r="637" spans="1:1" ht="15.75" customHeight="1">
      <c r="A637" s="41"/>
    </row>
    <row r="638" spans="1:1" ht="15.75" customHeight="1">
      <c r="A638" s="41"/>
    </row>
    <row r="639" spans="1:1" ht="15.75" customHeight="1">
      <c r="A639" s="41"/>
    </row>
    <row r="640" spans="1:1" ht="15.75" customHeight="1">
      <c r="A640" s="41"/>
    </row>
    <row r="641" spans="1:1" ht="15.75" customHeight="1">
      <c r="A641" s="41"/>
    </row>
    <row r="642" spans="1:1" ht="15.75" customHeight="1">
      <c r="A642" s="41"/>
    </row>
    <row r="643" spans="1:1" ht="15.75" customHeight="1">
      <c r="A643" s="41"/>
    </row>
    <row r="644" spans="1:1" ht="15.75" customHeight="1">
      <c r="A644" s="41"/>
    </row>
    <row r="645" spans="1:1" ht="15.75" customHeight="1">
      <c r="A645" s="41"/>
    </row>
    <row r="646" spans="1:1" ht="15.75" customHeight="1">
      <c r="A646" s="41"/>
    </row>
    <row r="647" spans="1:1" ht="15.75" customHeight="1">
      <c r="A647" s="41"/>
    </row>
    <row r="648" spans="1:1" ht="15.75" customHeight="1">
      <c r="A648" s="41"/>
    </row>
    <row r="649" spans="1:1" ht="15.75" customHeight="1">
      <c r="A649" s="41"/>
    </row>
    <row r="650" spans="1:1" ht="15.75" customHeight="1">
      <c r="A650" s="41"/>
    </row>
    <row r="651" spans="1:1" ht="15.75" customHeight="1">
      <c r="A651" s="41"/>
    </row>
    <row r="652" spans="1:1" ht="15.75" customHeight="1">
      <c r="A652" s="41"/>
    </row>
    <row r="653" spans="1:1" ht="15.75" customHeight="1">
      <c r="A653" s="41"/>
    </row>
    <row r="654" spans="1:1" ht="15.75" customHeight="1">
      <c r="A654" s="41"/>
    </row>
    <row r="655" spans="1:1" ht="15.75" customHeight="1">
      <c r="A655" s="41"/>
    </row>
    <row r="656" spans="1:1" ht="15.75" customHeight="1">
      <c r="A656" s="41"/>
    </row>
    <row r="657" spans="1:1" ht="15.75" customHeight="1">
      <c r="A657" s="41"/>
    </row>
    <row r="658" spans="1:1" ht="15.75" customHeight="1">
      <c r="A658" s="41"/>
    </row>
    <row r="659" spans="1:1" ht="15.75" customHeight="1">
      <c r="A659" s="41"/>
    </row>
    <row r="660" spans="1:1" ht="15.75" customHeight="1">
      <c r="A660" s="41"/>
    </row>
    <row r="661" spans="1:1" ht="15.75" customHeight="1">
      <c r="A661" s="41"/>
    </row>
    <row r="662" spans="1:1" ht="15.75" customHeight="1">
      <c r="A662" s="41"/>
    </row>
    <row r="663" spans="1:1" ht="15.75" customHeight="1">
      <c r="A663" s="41"/>
    </row>
    <row r="664" spans="1:1" ht="15.75" customHeight="1">
      <c r="A664" s="41"/>
    </row>
    <row r="665" spans="1:1" ht="15.75" customHeight="1">
      <c r="A665" s="41"/>
    </row>
    <row r="666" spans="1:1" ht="15.75" customHeight="1">
      <c r="A666" s="41"/>
    </row>
    <row r="667" spans="1:1" ht="15.75" customHeight="1">
      <c r="A667" s="41"/>
    </row>
    <row r="668" spans="1:1" ht="15.75" customHeight="1">
      <c r="A668" s="41"/>
    </row>
    <row r="669" spans="1:1" ht="15.75" customHeight="1">
      <c r="A669" s="41"/>
    </row>
    <row r="670" spans="1:1" ht="15.75" customHeight="1">
      <c r="A670" s="41"/>
    </row>
    <row r="671" spans="1:1" ht="15.75" customHeight="1">
      <c r="A671" s="41"/>
    </row>
    <row r="672" spans="1:1" ht="15.75" customHeight="1">
      <c r="A672" s="41"/>
    </row>
    <row r="673" spans="1:1" ht="15.75" customHeight="1">
      <c r="A673" s="41"/>
    </row>
    <row r="674" spans="1:1" ht="15.75" customHeight="1">
      <c r="A674" s="41"/>
    </row>
    <row r="675" spans="1:1" ht="15.75" customHeight="1">
      <c r="A675" s="41"/>
    </row>
    <row r="676" spans="1:1" ht="15.75" customHeight="1">
      <c r="A676" s="41"/>
    </row>
    <row r="677" spans="1:1" ht="15.75" customHeight="1">
      <c r="A677" s="41"/>
    </row>
    <row r="678" spans="1:1" ht="15.75" customHeight="1">
      <c r="A678" s="41"/>
    </row>
    <row r="679" spans="1:1" ht="15.75" customHeight="1">
      <c r="A679" s="41"/>
    </row>
    <row r="680" spans="1:1" ht="15.75" customHeight="1">
      <c r="A680" s="41"/>
    </row>
    <row r="681" spans="1:1" ht="15.75" customHeight="1">
      <c r="A681" s="41"/>
    </row>
    <row r="682" spans="1:1" ht="15.75" customHeight="1">
      <c r="A682" s="41"/>
    </row>
    <row r="683" spans="1:1" ht="15.75" customHeight="1">
      <c r="A683" s="41"/>
    </row>
    <row r="684" spans="1:1" ht="15.75" customHeight="1">
      <c r="A684" s="41"/>
    </row>
    <row r="685" spans="1:1" ht="15.75" customHeight="1">
      <c r="A685" s="41"/>
    </row>
    <row r="686" spans="1:1" ht="15.75" customHeight="1">
      <c r="A686" s="41"/>
    </row>
    <row r="687" spans="1:1" ht="15.75" customHeight="1">
      <c r="A687" s="41"/>
    </row>
    <row r="688" spans="1:1" ht="15.75" customHeight="1">
      <c r="A688" s="41"/>
    </row>
    <row r="689" spans="1:1" ht="15.75" customHeight="1">
      <c r="A689" s="41"/>
    </row>
    <row r="690" spans="1:1" ht="15.75" customHeight="1">
      <c r="A690" s="41"/>
    </row>
    <row r="691" spans="1:1" ht="15.75" customHeight="1">
      <c r="A691" s="41"/>
    </row>
    <row r="692" spans="1:1" ht="15.75" customHeight="1">
      <c r="A692" s="41"/>
    </row>
    <row r="693" spans="1:1" ht="15.75" customHeight="1">
      <c r="A693" s="41"/>
    </row>
    <row r="694" spans="1:1" ht="15.75" customHeight="1">
      <c r="A694" s="41"/>
    </row>
    <row r="695" spans="1:1" ht="15.75" customHeight="1">
      <c r="A695" s="41"/>
    </row>
    <row r="696" spans="1:1" ht="15.75" customHeight="1">
      <c r="A696" s="41"/>
    </row>
    <row r="697" spans="1:1" ht="15.75" customHeight="1">
      <c r="A697" s="41"/>
    </row>
    <row r="698" spans="1:1" ht="15.75" customHeight="1">
      <c r="A698" s="41"/>
    </row>
    <row r="699" spans="1:1" ht="15.75" customHeight="1">
      <c r="A699" s="41"/>
    </row>
    <row r="700" spans="1:1" ht="15.75" customHeight="1">
      <c r="A700" s="41"/>
    </row>
    <row r="701" spans="1:1" ht="15.75" customHeight="1">
      <c r="A701" s="41"/>
    </row>
    <row r="702" spans="1:1" ht="15.75" customHeight="1">
      <c r="A702" s="41"/>
    </row>
    <row r="703" spans="1:1" ht="15.75" customHeight="1">
      <c r="A703" s="41"/>
    </row>
    <row r="704" spans="1:1" ht="15.75" customHeight="1">
      <c r="A704" s="41"/>
    </row>
    <row r="705" spans="1:1" ht="15.75" customHeight="1">
      <c r="A705" s="41"/>
    </row>
    <row r="706" spans="1:1" ht="15.75" customHeight="1">
      <c r="A706" s="41"/>
    </row>
    <row r="707" spans="1:1" ht="15.75" customHeight="1">
      <c r="A707" s="41"/>
    </row>
    <row r="708" spans="1:1" ht="15.75" customHeight="1">
      <c r="A708" s="41"/>
    </row>
    <row r="709" spans="1:1" ht="15.75" customHeight="1">
      <c r="A709" s="41"/>
    </row>
    <row r="710" spans="1:1" ht="15.75" customHeight="1">
      <c r="A710" s="41"/>
    </row>
    <row r="711" spans="1:1" ht="15.75" customHeight="1">
      <c r="A711" s="41"/>
    </row>
    <row r="712" spans="1:1" ht="15.75" customHeight="1">
      <c r="A712" s="41"/>
    </row>
    <row r="713" spans="1:1" ht="15.75" customHeight="1">
      <c r="A713" s="41"/>
    </row>
    <row r="714" spans="1:1" ht="15.75" customHeight="1">
      <c r="A714" s="41"/>
    </row>
    <row r="715" spans="1:1" ht="15.75" customHeight="1">
      <c r="A715" s="41"/>
    </row>
    <row r="716" spans="1:1" ht="15.75" customHeight="1">
      <c r="A716" s="41"/>
    </row>
    <row r="717" spans="1:1" ht="15.75" customHeight="1">
      <c r="A717" s="41"/>
    </row>
    <row r="718" spans="1:1" ht="15.75" customHeight="1">
      <c r="A718" s="41"/>
    </row>
    <row r="719" spans="1:1" ht="15.75" customHeight="1">
      <c r="A719" s="41"/>
    </row>
    <row r="720" spans="1:1" ht="15.75" customHeight="1">
      <c r="A720" s="41"/>
    </row>
    <row r="721" spans="1:1" ht="15.75" customHeight="1">
      <c r="A721" s="41"/>
    </row>
    <row r="722" spans="1:1" ht="15.75" customHeight="1">
      <c r="A722" s="41"/>
    </row>
    <row r="723" spans="1:1" ht="15.75" customHeight="1">
      <c r="A723" s="41"/>
    </row>
    <row r="724" spans="1:1" ht="15.75" customHeight="1">
      <c r="A724" s="41"/>
    </row>
    <row r="725" spans="1:1" ht="15.75" customHeight="1">
      <c r="A725" s="41"/>
    </row>
    <row r="726" spans="1:1" ht="15.75" customHeight="1">
      <c r="A726" s="41"/>
    </row>
    <row r="727" spans="1:1" ht="15.75" customHeight="1">
      <c r="A727" s="41"/>
    </row>
    <row r="728" spans="1:1" ht="15.75" customHeight="1">
      <c r="A728" s="41"/>
    </row>
    <row r="729" spans="1:1" ht="15.75" customHeight="1">
      <c r="A729" s="41"/>
    </row>
    <row r="730" spans="1:1" ht="15.75" customHeight="1">
      <c r="A730" s="41"/>
    </row>
    <row r="731" spans="1:1" ht="15.75" customHeight="1">
      <c r="A731" s="41"/>
    </row>
    <row r="732" spans="1:1" ht="15.75" customHeight="1">
      <c r="A732" s="41"/>
    </row>
    <row r="733" spans="1:1" ht="15.75" customHeight="1">
      <c r="A733" s="41"/>
    </row>
    <row r="734" spans="1:1" ht="15.75" customHeight="1">
      <c r="A734" s="41"/>
    </row>
    <row r="735" spans="1:1" ht="15.75" customHeight="1">
      <c r="A735" s="41"/>
    </row>
    <row r="736" spans="1:1" ht="15.75" customHeight="1">
      <c r="A736" s="41"/>
    </row>
    <row r="737" spans="1:1" ht="15.75" customHeight="1">
      <c r="A737" s="41"/>
    </row>
    <row r="738" spans="1:1" ht="15.75" customHeight="1">
      <c r="A738" s="41"/>
    </row>
    <row r="739" spans="1:1" ht="15.75" customHeight="1">
      <c r="A739" s="41"/>
    </row>
    <row r="740" spans="1:1" ht="15.75" customHeight="1">
      <c r="A740" s="41"/>
    </row>
    <row r="741" spans="1:1" ht="15.75" customHeight="1">
      <c r="A741" s="41"/>
    </row>
    <row r="742" spans="1:1" ht="15.75" customHeight="1">
      <c r="A742" s="41"/>
    </row>
    <row r="743" spans="1:1" ht="15.75" customHeight="1">
      <c r="A743" s="41"/>
    </row>
    <row r="744" spans="1:1" ht="15.75" customHeight="1">
      <c r="A744" s="41"/>
    </row>
    <row r="745" spans="1:1" ht="15.75" customHeight="1">
      <c r="A745" s="41"/>
    </row>
    <row r="746" spans="1:1" ht="15.75" customHeight="1">
      <c r="A746" s="41"/>
    </row>
    <row r="747" spans="1:1" ht="15.75" customHeight="1">
      <c r="A747" s="41"/>
    </row>
    <row r="748" spans="1:1" ht="15.75" customHeight="1">
      <c r="A748" s="41"/>
    </row>
    <row r="749" spans="1:1" ht="15.75" customHeight="1">
      <c r="A749" s="41"/>
    </row>
    <row r="750" spans="1:1" ht="15.75" customHeight="1">
      <c r="A750" s="41"/>
    </row>
    <row r="751" spans="1:1" ht="15.75" customHeight="1">
      <c r="A751" s="41"/>
    </row>
    <row r="752" spans="1:1" ht="15.75" customHeight="1">
      <c r="A752" s="41"/>
    </row>
    <row r="753" spans="1:1" ht="15.75" customHeight="1">
      <c r="A753" s="41"/>
    </row>
    <row r="754" spans="1:1" ht="15.75" customHeight="1">
      <c r="A754" s="41"/>
    </row>
    <row r="755" spans="1:1" ht="15.75" customHeight="1">
      <c r="A755" s="41"/>
    </row>
    <row r="756" spans="1:1" ht="15.75" customHeight="1">
      <c r="A756" s="41"/>
    </row>
    <row r="757" spans="1:1" ht="15.75" customHeight="1">
      <c r="A757" s="41"/>
    </row>
    <row r="758" spans="1:1" ht="15.75" customHeight="1">
      <c r="A758" s="41"/>
    </row>
    <row r="759" spans="1:1" ht="15.75" customHeight="1">
      <c r="A759" s="41"/>
    </row>
    <row r="760" spans="1:1" ht="15.75" customHeight="1">
      <c r="A760" s="41"/>
    </row>
    <row r="761" spans="1:1" ht="15.75" customHeight="1">
      <c r="A761" s="41"/>
    </row>
    <row r="762" spans="1:1" ht="15.75" customHeight="1">
      <c r="A762" s="41"/>
    </row>
    <row r="763" spans="1:1" ht="15.75" customHeight="1">
      <c r="A763" s="41"/>
    </row>
    <row r="764" spans="1:1" ht="15.75" customHeight="1">
      <c r="A764" s="41"/>
    </row>
    <row r="765" spans="1:1" ht="15.75" customHeight="1">
      <c r="A765" s="41"/>
    </row>
    <row r="766" spans="1:1" ht="15.75" customHeight="1">
      <c r="A766" s="41"/>
    </row>
    <row r="767" spans="1:1" ht="15.75" customHeight="1">
      <c r="A767" s="41"/>
    </row>
    <row r="768" spans="1:1" ht="15.75" customHeight="1">
      <c r="A768" s="41"/>
    </row>
    <row r="769" spans="1:1" ht="15.75" customHeight="1">
      <c r="A769" s="41"/>
    </row>
    <row r="770" spans="1:1" ht="15.75" customHeight="1">
      <c r="A770" s="41"/>
    </row>
    <row r="771" spans="1:1" ht="15.75" customHeight="1">
      <c r="A771" s="41"/>
    </row>
    <row r="772" spans="1:1" ht="15.75" customHeight="1">
      <c r="A772" s="41"/>
    </row>
    <row r="773" spans="1:1" ht="15.75" customHeight="1">
      <c r="A773" s="41"/>
    </row>
    <row r="774" spans="1:1" ht="15.75" customHeight="1">
      <c r="A774" s="41"/>
    </row>
    <row r="775" spans="1:1" ht="15.75" customHeight="1">
      <c r="A775" s="41"/>
    </row>
    <row r="776" spans="1:1" ht="15.75" customHeight="1">
      <c r="A776" s="41"/>
    </row>
    <row r="777" spans="1:1" ht="15.75" customHeight="1">
      <c r="A777" s="41"/>
    </row>
    <row r="778" spans="1:1" ht="15.75" customHeight="1">
      <c r="A778" s="41"/>
    </row>
    <row r="779" spans="1:1" ht="15.75" customHeight="1">
      <c r="A779" s="41"/>
    </row>
    <row r="780" spans="1:1" ht="15.75" customHeight="1">
      <c r="A780" s="41"/>
    </row>
    <row r="781" spans="1:1" ht="15.75" customHeight="1">
      <c r="A781" s="41"/>
    </row>
    <row r="782" spans="1:1" ht="15.75" customHeight="1">
      <c r="A782" s="41"/>
    </row>
    <row r="783" spans="1:1" ht="15.75" customHeight="1">
      <c r="A783" s="41"/>
    </row>
    <row r="784" spans="1:1" ht="15.75" customHeight="1">
      <c r="A784" s="41"/>
    </row>
    <row r="785" spans="1:1" ht="15.75" customHeight="1">
      <c r="A785" s="41"/>
    </row>
    <row r="786" spans="1:1" ht="15.75" customHeight="1">
      <c r="A786" s="41"/>
    </row>
    <row r="787" spans="1:1" ht="15.75" customHeight="1">
      <c r="A787" s="41"/>
    </row>
    <row r="788" spans="1:1" ht="15.75" customHeight="1">
      <c r="A788" s="41"/>
    </row>
    <row r="789" spans="1:1" ht="15.75" customHeight="1">
      <c r="A789" s="41"/>
    </row>
    <row r="790" spans="1:1" ht="15.75" customHeight="1">
      <c r="A790" s="41"/>
    </row>
    <row r="791" spans="1:1" ht="15.75" customHeight="1">
      <c r="A791" s="41"/>
    </row>
    <row r="792" spans="1:1" ht="15.75" customHeight="1">
      <c r="A792" s="41"/>
    </row>
    <row r="793" spans="1:1" ht="15.75" customHeight="1">
      <c r="A793" s="41"/>
    </row>
    <row r="794" spans="1:1" ht="15.75" customHeight="1">
      <c r="A794" s="41"/>
    </row>
    <row r="795" spans="1:1" ht="15.75" customHeight="1">
      <c r="A795" s="41"/>
    </row>
    <row r="796" spans="1:1" ht="15.75" customHeight="1">
      <c r="A796" s="41"/>
    </row>
    <row r="797" spans="1:1" ht="15.75" customHeight="1">
      <c r="A797" s="41"/>
    </row>
    <row r="798" spans="1:1" ht="15.75" customHeight="1">
      <c r="A798" s="41"/>
    </row>
    <row r="799" spans="1:1" ht="15.75" customHeight="1">
      <c r="A799" s="41"/>
    </row>
    <row r="800" spans="1:1" ht="15.75" customHeight="1">
      <c r="A800" s="41"/>
    </row>
    <row r="801" spans="1:1" ht="15.75" customHeight="1">
      <c r="A801" s="41"/>
    </row>
    <row r="802" spans="1:1" ht="15.75" customHeight="1">
      <c r="A802" s="41"/>
    </row>
    <row r="803" spans="1:1" ht="15.75" customHeight="1">
      <c r="A803" s="41"/>
    </row>
    <row r="804" spans="1:1" ht="15.75" customHeight="1">
      <c r="A804" s="41"/>
    </row>
    <row r="805" spans="1:1" ht="15.75" customHeight="1">
      <c r="A805" s="41"/>
    </row>
    <row r="806" spans="1:1" ht="15.75" customHeight="1">
      <c r="A806" s="41"/>
    </row>
    <row r="807" spans="1:1" ht="15.75" customHeight="1">
      <c r="A807" s="41"/>
    </row>
    <row r="808" spans="1:1" ht="15.75" customHeight="1">
      <c r="A808" s="41"/>
    </row>
    <row r="809" spans="1:1" ht="15.75" customHeight="1">
      <c r="A809" s="41"/>
    </row>
    <row r="810" spans="1:1" ht="15.75" customHeight="1">
      <c r="A810" s="41"/>
    </row>
    <row r="811" spans="1:1" ht="15.75" customHeight="1">
      <c r="A811" s="41"/>
    </row>
    <row r="812" spans="1:1" ht="15.75" customHeight="1">
      <c r="A812" s="41"/>
    </row>
    <row r="813" spans="1:1" ht="15.75" customHeight="1">
      <c r="A813" s="41"/>
    </row>
    <row r="814" spans="1:1" ht="15.75" customHeight="1">
      <c r="A814" s="41"/>
    </row>
    <row r="815" spans="1:1" ht="15.75" customHeight="1">
      <c r="A815" s="41"/>
    </row>
    <row r="816" spans="1:1" ht="15.75" customHeight="1">
      <c r="A816" s="41"/>
    </row>
    <row r="817" spans="1:1" ht="15.75" customHeight="1">
      <c r="A817" s="41"/>
    </row>
    <row r="818" spans="1:1" ht="15.75" customHeight="1">
      <c r="A818" s="41"/>
    </row>
    <row r="819" spans="1:1" ht="15.75" customHeight="1">
      <c r="A819" s="41"/>
    </row>
    <row r="820" spans="1:1" ht="15.75" customHeight="1">
      <c r="A820" s="41"/>
    </row>
    <row r="821" spans="1:1" ht="15.75" customHeight="1">
      <c r="A821" s="41"/>
    </row>
    <row r="822" spans="1:1" ht="15.75" customHeight="1">
      <c r="A822" s="41"/>
    </row>
    <row r="823" spans="1:1" ht="15.75" customHeight="1">
      <c r="A823" s="41"/>
    </row>
    <row r="824" spans="1:1" ht="15.75" customHeight="1">
      <c r="A824" s="41"/>
    </row>
    <row r="825" spans="1:1" ht="15.75" customHeight="1">
      <c r="A825" s="41"/>
    </row>
    <row r="826" spans="1:1" ht="15.75" customHeight="1">
      <c r="A826" s="41"/>
    </row>
    <row r="827" spans="1:1" ht="15.75" customHeight="1">
      <c r="A827" s="41"/>
    </row>
    <row r="828" spans="1:1" ht="15.75" customHeight="1">
      <c r="A828" s="41"/>
    </row>
    <row r="829" spans="1:1" ht="15.75" customHeight="1">
      <c r="A829" s="41"/>
    </row>
    <row r="830" spans="1:1" ht="15.75" customHeight="1">
      <c r="A830" s="41"/>
    </row>
    <row r="831" spans="1:1" ht="15.75" customHeight="1">
      <c r="A831" s="41"/>
    </row>
    <row r="832" spans="1:1" ht="15.75" customHeight="1">
      <c r="A832" s="41"/>
    </row>
    <row r="833" spans="1:1" ht="15.75" customHeight="1">
      <c r="A833" s="41"/>
    </row>
    <row r="834" spans="1:1" ht="15.75" customHeight="1">
      <c r="A834" s="41"/>
    </row>
    <row r="835" spans="1:1" ht="15.75" customHeight="1">
      <c r="A835" s="41"/>
    </row>
    <row r="836" spans="1:1" ht="15.75" customHeight="1">
      <c r="A836" s="41"/>
    </row>
    <row r="837" spans="1:1" ht="15.75" customHeight="1">
      <c r="A837" s="41"/>
    </row>
    <row r="838" spans="1:1" ht="15.75" customHeight="1">
      <c r="A838" s="41"/>
    </row>
    <row r="839" spans="1:1" ht="15.75" customHeight="1">
      <c r="A839" s="41"/>
    </row>
    <row r="840" spans="1:1" ht="15.75" customHeight="1">
      <c r="A840" s="41"/>
    </row>
    <row r="841" spans="1:1" ht="15.75" customHeight="1">
      <c r="A841" s="41"/>
    </row>
    <row r="842" spans="1:1" ht="15.75" customHeight="1">
      <c r="A842" s="41"/>
    </row>
    <row r="843" spans="1:1" ht="15.75" customHeight="1">
      <c r="A843" s="41"/>
    </row>
    <row r="844" spans="1:1" ht="15.75" customHeight="1">
      <c r="A844" s="41"/>
    </row>
    <row r="845" spans="1:1" ht="15.75" customHeight="1">
      <c r="A845" s="41"/>
    </row>
    <row r="846" spans="1:1" ht="15.75" customHeight="1">
      <c r="A846" s="41"/>
    </row>
    <row r="847" spans="1:1" ht="15.75" customHeight="1">
      <c r="A847" s="41"/>
    </row>
    <row r="848" spans="1:1" ht="15.75" customHeight="1">
      <c r="A848" s="41"/>
    </row>
    <row r="849" spans="1:1" ht="15.75" customHeight="1">
      <c r="A849" s="41"/>
    </row>
    <row r="850" spans="1:1" ht="15.75" customHeight="1">
      <c r="A850" s="41"/>
    </row>
    <row r="851" spans="1:1" ht="15.75" customHeight="1">
      <c r="A851" s="41"/>
    </row>
    <row r="852" spans="1:1" ht="15.75" customHeight="1">
      <c r="A852" s="41"/>
    </row>
    <row r="853" spans="1:1" ht="15.75" customHeight="1">
      <c r="A853" s="41"/>
    </row>
    <row r="854" spans="1:1" ht="15.75" customHeight="1">
      <c r="A854" s="41"/>
    </row>
    <row r="855" spans="1:1" ht="15.75" customHeight="1">
      <c r="A855" s="41"/>
    </row>
    <row r="856" spans="1:1" ht="15.75" customHeight="1">
      <c r="A856" s="41"/>
    </row>
    <row r="857" spans="1:1" ht="15.75" customHeight="1">
      <c r="A857" s="41"/>
    </row>
    <row r="858" spans="1:1" ht="15.75" customHeight="1">
      <c r="A858" s="41"/>
    </row>
    <row r="859" spans="1:1" ht="15.75" customHeight="1">
      <c r="A859" s="41"/>
    </row>
    <row r="860" spans="1:1" ht="15.75" customHeight="1">
      <c r="A860" s="41"/>
    </row>
    <row r="861" spans="1:1" ht="15.75" customHeight="1">
      <c r="A861" s="41"/>
    </row>
    <row r="862" spans="1:1" ht="15.75" customHeight="1">
      <c r="A862" s="41"/>
    </row>
    <row r="863" spans="1:1" ht="15.75" customHeight="1">
      <c r="A863" s="41"/>
    </row>
    <row r="864" spans="1:1" ht="15.75" customHeight="1">
      <c r="A864" s="41"/>
    </row>
    <row r="865" spans="1:1" ht="15.75" customHeight="1">
      <c r="A865" s="41"/>
    </row>
    <row r="866" spans="1:1" ht="15.75" customHeight="1">
      <c r="A866" s="41"/>
    </row>
    <row r="867" spans="1:1" ht="15.75" customHeight="1">
      <c r="A867" s="41"/>
    </row>
    <row r="868" spans="1:1" ht="15.75" customHeight="1">
      <c r="A868" s="41"/>
    </row>
    <row r="869" spans="1:1" ht="15.75" customHeight="1">
      <c r="A869" s="41"/>
    </row>
    <row r="870" spans="1:1" ht="15.75" customHeight="1">
      <c r="A870" s="41"/>
    </row>
    <row r="871" spans="1:1" ht="15.75" customHeight="1">
      <c r="A871" s="41"/>
    </row>
    <row r="872" spans="1:1" ht="15.75" customHeight="1">
      <c r="A872" s="41"/>
    </row>
    <row r="873" spans="1:1" ht="15.75" customHeight="1">
      <c r="A873" s="41"/>
    </row>
    <row r="874" spans="1:1" ht="15.75" customHeight="1">
      <c r="A874" s="41"/>
    </row>
    <row r="875" spans="1:1" ht="15.75" customHeight="1">
      <c r="A875" s="41"/>
    </row>
    <row r="876" spans="1:1" ht="15.75" customHeight="1">
      <c r="A876" s="41"/>
    </row>
    <row r="877" spans="1:1" ht="15.75" customHeight="1">
      <c r="A877" s="41"/>
    </row>
    <row r="878" spans="1:1" ht="15.75" customHeight="1">
      <c r="A878" s="41"/>
    </row>
    <row r="879" spans="1:1" ht="15.75" customHeight="1">
      <c r="A879" s="41"/>
    </row>
    <row r="880" spans="1:1" ht="15.75" customHeight="1">
      <c r="A880" s="41"/>
    </row>
    <row r="881" spans="1:1" ht="15.75" customHeight="1">
      <c r="A881" s="41"/>
    </row>
    <row r="882" spans="1:1" ht="15.75" customHeight="1">
      <c r="A882" s="41"/>
    </row>
    <row r="883" spans="1:1" ht="15.75" customHeight="1">
      <c r="A883" s="41"/>
    </row>
    <row r="884" spans="1:1" ht="15.75" customHeight="1">
      <c r="A884" s="41"/>
    </row>
    <row r="885" spans="1:1" ht="15.75" customHeight="1">
      <c r="A885" s="41"/>
    </row>
    <row r="886" spans="1:1" ht="15.75" customHeight="1">
      <c r="A886" s="41"/>
    </row>
    <row r="887" spans="1:1" ht="15.75" customHeight="1">
      <c r="A887" s="41"/>
    </row>
    <row r="888" spans="1:1" ht="15.75" customHeight="1">
      <c r="A888" s="41"/>
    </row>
    <row r="889" spans="1:1" ht="15.75" customHeight="1">
      <c r="A889" s="41"/>
    </row>
    <row r="890" spans="1:1" ht="15.75" customHeight="1">
      <c r="A890" s="41"/>
    </row>
    <row r="891" spans="1:1" ht="15.75" customHeight="1">
      <c r="A891" s="41"/>
    </row>
    <row r="892" spans="1:1" ht="15.75" customHeight="1">
      <c r="A892" s="41"/>
    </row>
    <row r="893" spans="1:1" ht="15.75" customHeight="1">
      <c r="A893" s="41"/>
    </row>
    <row r="894" spans="1:1" ht="15.75" customHeight="1">
      <c r="A894" s="41"/>
    </row>
    <row r="895" spans="1:1" ht="15.75" customHeight="1">
      <c r="A895" s="41"/>
    </row>
    <row r="896" spans="1:1" ht="15.75" customHeight="1">
      <c r="A896" s="41"/>
    </row>
    <row r="897" spans="1:1" ht="15.75" customHeight="1">
      <c r="A897" s="41"/>
    </row>
    <row r="898" spans="1:1" ht="15.75" customHeight="1">
      <c r="A898" s="41"/>
    </row>
    <row r="899" spans="1:1" ht="15.75" customHeight="1">
      <c r="A899" s="41"/>
    </row>
    <row r="900" spans="1:1" ht="15.75" customHeight="1">
      <c r="A900" s="41"/>
    </row>
    <row r="901" spans="1:1" ht="15.75" customHeight="1">
      <c r="A901" s="41"/>
    </row>
    <row r="902" spans="1:1" ht="15.75" customHeight="1">
      <c r="A902" s="41"/>
    </row>
    <row r="903" spans="1:1" ht="15.75" customHeight="1">
      <c r="A903" s="41"/>
    </row>
    <row r="904" spans="1:1" ht="15.75" customHeight="1">
      <c r="A904" s="41"/>
    </row>
    <row r="905" spans="1:1" ht="15.75" customHeight="1">
      <c r="A905" s="41"/>
    </row>
    <row r="906" spans="1:1" ht="15.75" customHeight="1">
      <c r="A906" s="41"/>
    </row>
    <row r="907" spans="1:1" ht="15.75" customHeight="1">
      <c r="A907" s="41"/>
    </row>
    <row r="908" spans="1:1" ht="15.75" customHeight="1">
      <c r="A908" s="41"/>
    </row>
    <row r="909" spans="1:1" ht="15.75" customHeight="1">
      <c r="A909" s="41"/>
    </row>
    <row r="910" spans="1:1" ht="15.75" customHeight="1">
      <c r="A910" s="41"/>
    </row>
    <row r="911" spans="1:1" ht="15.75" customHeight="1">
      <c r="A911" s="41"/>
    </row>
    <row r="912" spans="1:1" ht="15.75" customHeight="1">
      <c r="A912" s="41"/>
    </row>
    <row r="913" spans="1:1" ht="15.75" customHeight="1">
      <c r="A913" s="41"/>
    </row>
    <row r="914" spans="1:1" ht="15.75" customHeight="1">
      <c r="A914" s="41"/>
    </row>
    <row r="915" spans="1:1" ht="15.75" customHeight="1">
      <c r="A915" s="41"/>
    </row>
    <row r="916" spans="1:1" ht="15.75" customHeight="1">
      <c r="A916" s="41"/>
    </row>
    <row r="917" spans="1:1" ht="15.75" customHeight="1">
      <c r="A917" s="41"/>
    </row>
    <row r="918" spans="1:1" ht="15.75" customHeight="1">
      <c r="A918" s="41"/>
    </row>
    <row r="919" spans="1:1" ht="15.75" customHeight="1">
      <c r="A919" s="41"/>
    </row>
    <row r="920" spans="1:1" ht="15.75" customHeight="1">
      <c r="A920" s="41"/>
    </row>
    <row r="921" spans="1:1" ht="15.75" customHeight="1">
      <c r="A921" s="41"/>
    </row>
    <row r="922" spans="1:1" ht="15.75" customHeight="1">
      <c r="A922" s="41"/>
    </row>
    <row r="923" spans="1:1" ht="15.75" customHeight="1">
      <c r="A923" s="41"/>
    </row>
    <row r="924" spans="1:1" ht="15.75" customHeight="1">
      <c r="A924" s="41"/>
    </row>
    <row r="925" spans="1:1" ht="15.75" customHeight="1">
      <c r="A925" s="41"/>
    </row>
    <row r="926" spans="1:1" ht="15.75" customHeight="1">
      <c r="A926" s="41"/>
    </row>
    <row r="927" spans="1:1" ht="15.75" customHeight="1">
      <c r="A927" s="41"/>
    </row>
    <row r="928" spans="1:1" ht="15.75" customHeight="1">
      <c r="A928" s="41"/>
    </row>
    <row r="929" spans="1:1" ht="15.75" customHeight="1">
      <c r="A929" s="41"/>
    </row>
    <row r="930" spans="1:1" ht="15.75" customHeight="1">
      <c r="A930" s="41"/>
    </row>
    <row r="931" spans="1:1" ht="15.75" customHeight="1">
      <c r="A931" s="41"/>
    </row>
    <row r="932" spans="1:1" ht="15.75" customHeight="1">
      <c r="A932" s="41"/>
    </row>
    <row r="933" spans="1:1" ht="15.75" customHeight="1">
      <c r="A933" s="41"/>
    </row>
    <row r="934" spans="1:1" ht="15.75" customHeight="1">
      <c r="A934" s="41"/>
    </row>
    <row r="935" spans="1:1" ht="15.75" customHeight="1">
      <c r="A935" s="41"/>
    </row>
    <row r="936" spans="1:1" ht="15.75" customHeight="1">
      <c r="A936" s="41"/>
    </row>
    <row r="937" spans="1:1" ht="15.75" customHeight="1">
      <c r="A937" s="41"/>
    </row>
    <row r="938" spans="1:1" ht="15.75" customHeight="1">
      <c r="A938" s="41"/>
    </row>
    <row r="939" spans="1:1" ht="15.75" customHeight="1">
      <c r="A939" s="41"/>
    </row>
    <row r="940" spans="1:1" ht="15.75" customHeight="1">
      <c r="A940" s="41"/>
    </row>
    <row r="941" spans="1:1" ht="15.75" customHeight="1">
      <c r="A941" s="41"/>
    </row>
    <row r="942" spans="1:1" ht="15.75" customHeight="1">
      <c r="A942" s="41"/>
    </row>
    <row r="943" spans="1:1" ht="15.75" customHeight="1">
      <c r="A943" s="41"/>
    </row>
    <row r="944" spans="1:1" ht="15.75" customHeight="1">
      <c r="A944" s="41"/>
    </row>
    <row r="945" spans="1:1" ht="15.75" customHeight="1">
      <c r="A945" s="41"/>
    </row>
    <row r="946" spans="1:1" ht="15.75" customHeight="1">
      <c r="A946" s="41"/>
    </row>
    <row r="947" spans="1:1" ht="15.75" customHeight="1">
      <c r="A947" s="41"/>
    </row>
    <row r="948" spans="1:1" ht="15.75" customHeight="1">
      <c r="A948" s="41"/>
    </row>
    <row r="949" spans="1:1" ht="15.75" customHeight="1">
      <c r="A949" s="41"/>
    </row>
    <row r="950" spans="1:1" ht="15.75" customHeight="1">
      <c r="A950" s="41"/>
    </row>
    <row r="951" spans="1:1" ht="15.75" customHeight="1">
      <c r="A951" s="41"/>
    </row>
    <row r="952" spans="1:1" ht="15.75" customHeight="1">
      <c r="A952" s="41"/>
    </row>
    <row r="953" spans="1:1" ht="15.75" customHeight="1">
      <c r="A953" s="41"/>
    </row>
    <row r="954" spans="1:1" ht="15.75" customHeight="1">
      <c r="A954" s="41"/>
    </row>
    <row r="955" spans="1:1" ht="15.75" customHeight="1">
      <c r="A955" s="41"/>
    </row>
    <row r="956" spans="1:1" ht="15.75" customHeight="1">
      <c r="A956" s="41"/>
    </row>
    <row r="957" spans="1:1" ht="15.75" customHeight="1">
      <c r="A957" s="41"/>
    </row>
    <row r="958" spans="1:1" ht="15.75" customHeight="1">
      <c r="A958" s="41"/>
    </row>
    <row r="959" spans="1:1" ht="15.75" customHeight="1">
      <c r="A959" s="41"/>
    </row>
    <row r="960" spans="1:1" ht="15.75" customHeight="1">
      <c r="A960" s="41"/>
    </row>
    <row r="961" spans="1:1" ht="15.75" customHeight="1">
      <c r="A961" s="41"/>
    </row>
    <row r="962" spans="1:1" ht="15.75" customHeight="1">
      <c r="A962" s="41"/>
    </row>
    <row r="963" spans="1:1" ht="15.75" customHeight="1">
      <c r="A963" s="41"/>
    </row>
    <row r="964" spans="1:1" ht="15.75" customHeight="1">
      <c r="A964" s="41"/>
    </row>
    <row r="965" spans="1:1" ht="15.75" customHeight="1">
      <c r="A965" s="41"/>
    </row>
    <row r="966" spans="1:1" ht="15.75" customHeight="1">
      <c r="A966" s="41"/>
    </row>
    <row r="967" spans="1:1" ht="15.75" customHeight="1">
      <c r="A967" s="41"/>
    </row>
    <row r="968" spans="1:1" ht="15.75" customHeight="1">
      <c r="A968" s="41"/>
    </row>
    <row r="969" spans="1:1" ht="15.75" customHeight="1">
      <c r="A969" s="41"/>
    </row>
    <row r="970" spans="1:1" ht="15.75" customHeight="1">
      <c r="A970" s="41"/>
    </row>
    <row r="971" spans="1:1" ht="15.75" customHeight="1">
      <c r="A971" s="41"/>
    </row>
    <row r="972" spans="1:1" ht="15.75" customHeight="1">
      <c r="A972" s="41"/>
    </row>
    <row r="973" spans="1:1" ht="15.75" customHeight="1">
      <c r="A973" s="41"/>
    </row>
    <row r="974" spans="1:1" ht="15.75" customHeight="1">
      <c r="A974" s="41"/>
    </row>
    <row r="975" spans="1:1" ht="15.75" customHeight="1">
      <c r="A975" s="41"/>
    </row>
    <row r="976" spans="1:1" ht="15.75" customHeight="1">
      <c r="A976" s="41"/>
    </row>
    <row r="977" spans="1:1" ht="15.75" customHeight="1">
      <c r="A977" s="41"/>
    </row>
    <row r="978" spans="1:1" ht="15.75" customHeight="1">
      <c r="A978" s="41"/>
    </row>
    <row r="979" spans="1:1" ht="15.75" customHeight="1">
      <c r="A979" s="41"/>
    </row>
  </sheetData>
  <conditionalFormatting sqref="B2:B10 H2:I10">
    <cfRule type="cellIs" dxfId="39" priority="1" operator="equal">
      <formula>"TRUE"</formula>
    </cfRule>
  </conditionalFormatting>
  <dataValidations count="1">
    <dataValidation type="custom" allowBlank="1" showDropDown="1" showErrorMessage="1" sqref="F2:G10" xr:uid="{00000000-0002-0000-0100-000000000000}">
      <formula1>OR(NOT(ISERROR(DATEVALUE(F2))), AND(ISNUMBER(F2), LEFT(CELL("format", F2))="D"))</formula1>
    </dataValidation>
  </dataValidations>
  <pageMargins left="0.7" right="0.7" top="0.78740157499999996" bottom="0.78740157499999996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B2:T79"/>
  <sheetViews>
    <sheetView workbookViewId="0"/>
  </sheetViews>
  <sheetFormatPr defaultColWidth="12.625" defaultRowHeight="15" customHeight="1"/>
  <sheetData>
    <row r="2" spans="2:20" ht="14.1">
      <c r="B2" s="575" t="s">
        <v>310</v>
      </c>
      <c r="C2" s="588"/>
      <c r="D2" s="588"/>
      <c r="E2" s="588"/>
      <c r="G2" s="575" t="s">
        <v>311</v>
      </c>
      <c r="H2" s="588"/>
      <c r="I2" s="588"/>
      <c r="J2" s="588"/>
      <c r="L2" s="575" t="s">
        <v>312</v>
      </c>
      <c r="M2" s="588"/>
      <c r="N2" s="588"/>
      <c r="O2" s="588"/>
      <c r="Q2" s="575" t="s">
        <v>313</v>
      </c>
      <c r="R2" s="588"/>
      <c r="S2" s="588"/>
      <c r="T2" s="588"/>
    </row>
    <row r="3" spans="2:20" ht="15" customHeight="1">
      <c r="B3" s="588"/>
      <c r="C3" s="588"/>
      <c r="D3" s="588"/>
      <c r="E3" s="588"/>
      <c r="G3" s="588"/>
      <c r="H3" s="588"/>
      <c r="I3" s="588"/>
      <c r="J3" s="588"/>
      <c r="L3" s="588"/>
      <c r="M3" s="588"/>
      <c r="N3" s="588"/>
      <c r="O3" s="588"/>
      <c r="Q3" s="588"/>
      <c r="R3" s="588"/>
      <c r="S3" s="588"/>
      <c r="T3" s="588"/>
    </row>
    <row r="7" spans="2:20" ht="14.1">
      <c r="B7" s="336" t="s">
        <v>314</v>
      </c>
      <c r="C7" s="337" t="s">
        <v>315</v>
      </c>
      <c r="D7" s="338" t="s">
        <v>279</v>
      </c>
      <c r="E7" s="339" t="s">
        <v>316</v>
      </c>
      <c r="G7" s="336" t="s">
        <v>314</v>
      </c>
      <c r="H7" s="337" t="s">
        <v>315</v>
      </c>
      <c r="I7" s="338" t="s">
        <v>279</v>
      </c>
      <c r="J7" s="339" t="s">
        <v>316</v>
      </c>
      <c r="L7" s="336" t="s">
        <v>314</v>
      </c>
      <c r="M7" s="337" t="s">
        <v>315</v>
      </c>
      <c r="N7" s="338" t="s">
        <v>279</v>
      </c>
      <c r="O7" s="339" t="s">
        <v>316</v>
      </c>
      <c r="Q7" s="336" t="s">
        <v>314</v>
      </c>
      <c r="R7" s="337" t="s">
        <v>315</v>
      </c>
      <c r="S7" s="338" t="s">
        <v>279</v>
      </c>
      <c r="T7" s="339" t="s">
        <v>316</v>
      </c>
    </row>
    <row r="8" spans="2:20" ht="14.1">
      <c r="B8" s="340">
        <v>45292</v>
      </c>
      <c r="C8" s="341">
        <f t="array" ref="C8:C24">TRANSPOSE('Cash-flow Plan vc 2 etapa'!K113:AA113)</f>
        <v>-885000</v>
      </c>
      <c r="D8" s="342">
        <f>0-C8</f>
        <v>885000</v>
      </c>
      <c r="E8" s="343">
        <f>D8*'Cash-flow Plan vc 2 etapa'!$D$57/12</f>
        <v>8112.5</v>
      </c>
      <c r="G8" s="340">
        <v>45292</v>
      </c>
      <c r="H8" s="344">
        <f t="array" ref="H8:H79">TRANSPOSE('Cash-flow Plan vc 2 etapa'!E145:BX145)</f>
        <v>0</v>
      </c>
      <c r="I8" s="342">
        <f>0-H8</f>
        <v>0</v>
      </c>
      <c r="J8" s="343">
        <f>I8*'Cash-flow Plan vc 2 etapa'!$D$57/12</f>
        <v>0</v>
      </c>
      <c r="L8" s="340">
        <v>45292</v>
      </c>
      <c r="M8" s="344">
        <f t="array" ref="M8:M79">TRANSPOSE('Cash-flow Plan vc 2 etapa'!E142:BX142)</f>
        <v>0</v>
      </c>
      <c r="N8" s="342">
        <f>0-M8</f>
        <v>0</v>
      </c>
      <c r="O8" s="343">
        <f>N8*'Cash-flow Plan vc 2 etapa'!$D$58/12</f>
        <v>0</v>
      </c>
      <c r="Q8" s="340">
        <v>45292</v>
      </c>
      <c r="R8" s="341">
        <f t="array" ref="R8:R79">TRANSPOSE('Cash-flow PLAN'!E159:BX159)</f>
        <v>0</v>
      </c>
      <c r="S8" s="342">
        <f>0-R8</f>
        <v>0</v>
      </c>
      <c r="T8" s="343">
        <f>S8*'Cash-flow PLAN'!$D$57/12</f>
        <v>0</v>
      </c>
    </row>
    <row r="9" spans="2:20" ht="14.1">
      <c r="B9" s="345">
        <v>45323</v>
      </c>
      <c r="C9" s="341">
        <v>-1940000</v>
      </c>
      <c r="D9" s="342">
        <f t="shared" ref="D9:D78" si="0">D8-C9</f>
        <v>2825000</v>
      </c>
      <c r="E9" s="343">
        <f>D9*'Cash-flow Plan vc 2 etapa'!$D$57/12</f>
        <v>25895.833333333332</v>
      </c>
      <c r="G9" s="345">
        <v>45323</v>
      </c>
      <c r="H9" s="341">
        <v>0</v>
      </c>
      <c r="I9" s="342">
        <f t="shared" ref="I9:I78" si="1">I8-H9</f>
        <v>0</v>
      </c>
      <c r="J9" s="343">
        <f>I9*'Cash-flow M 22.7.'!$D$58/12</f>
        <v>0</v>
      </c>
      <c r="L9" s="345">
        <v>45323</v>
      </c>
      <c r="M9" s="341">
        <v>0</v>
      </c>
      <c r="N9" s="342">
        <f t="shared" ref="N9:N78" si="2">N8-M9</f>
        <v>0</v>
      </c>
      <c r="O9" s="343">
        <f>N9*'Cash-flow PLAN'!$D$56/12</f>
        <v>0</v>
      </c>
      <c r="Q9" s="345">
        <v>45323</v>
      </c>
      <c r="R9" s="341">
        <v>0</v>
      </c>
      <c r="S9" s="342">
        <f t="shared" ref="S9:S78" si="3">S8-R9</f>
        <v>0</v>
      </c>
      <c r="T9" s="343">
        <f>S9*'Cash-flow PLAN'!$D$57/12</f>
        <v>0</v>
      </c>
    </row>
    <row r="10" spans="2:20" ht="14.1">
      <c r="B10" s="345">
        <v>45352</v>
      </c>
      <c r="C10" s="341">
        <v>-4260000</v>
      </c>
      <c r="D10" s="342">
        <f t="shared" si="0"/>
        <v>7085000</v>
      </c>
      <c r="E10" s="343">
        <f>D10*'Cash-flow Plan vc 2 etapa'!$D$57/12</f>
        <v>64945.833333333336</v>
      </c>
      <c r="G10" s="345">
        <v>45352</v>
      </c>
      <c r="H10" s="341">
        <v>0</v>
      </c>
      <c r="I10" s="342">
        <f t="shared" si="1"/>
        <v>0</v>
      </c>
      <c r="J10" s="343">
        <f>I10*'Cash-flow M 22.7.'!$D$58/12</f>
        <v>0</v>
      </c>
      <c r="L10" s="345">
        <v>45352</v>
      </c>
      <c r="M10" s="341">
        <v>0</v>
      </c>
      <c r="N10" s="342">
        <f t="shared" si="2"/>
        <v>0</v>
      </c>
      <c r="O10" s="343">
        <f>N10*'Cash-flow PLAN'!$D$56/12</f>
        <v>0</v>
      </c>
      <c r="Q10" s="345">
        <v>45352</v>
      </c>
      <c r="R10" s="341">
        <v>0</v>
      </c>
      <c r="S10" s="342">
        <f t="shared" si="3"/>
        <v>0</v>
      </c>
      <c r="T10" s="343">
        <f>S10*'Cash-flow PLAN'!$D$57/12</f>
        <v>0</v>
      </c>
    </row>
    <row r="11" spans="2:20" ht="14.1">
      <c r="B11" s="345">
        <v>45383</v>
      </c>
      <c r="C11" s="341">
        <v>0</v>
      </c>
      <c r="D11" s="342">
        <f t="shared" si="0"/>
        <v>7085000</v>
      </c>
      <c r="E11" s="343">
        <f>D11*'Cash-flow Plan vc 2 etapa'!$D$57/12</f>
        <v>64945.833333333336</v>
      </c>
      <c r="G11" s="345">
        <v>45383</v>
      </c>
      <c r="H11" s="341">
        <v>0</v>
      </c>
      <c r="I11" s="342">
        <f t="shared" si="1"/>
        <v>0</v>
      </c>
      <c r="J11" s="343">
        <f>I11*'Cash-flow M 22.7.'!$D$58/12</f>
        <v>0</v>
      </c>
      <c r="L11" s="345">
        <v>45383</v>
      </c>
      <c r="M11" s="341">
        <v>0</v>
      </c>
      <c r="N11" s="342">
        <f t="shared" si="2"/>
        <v>0</v>
      </c>
      <c r="O11" s="343">
        <f>N11*'Cash-flow PLAN'!$D$56/12</f>
        <v>0</v>
      </c>
      <c r="Q11" s="345">
        <v>45383</v>
      </c>
      <c r="R11" s="341">
        <v>0</v>
      </c>
      <c r="S11" s="342">
        <f t="shared" si="3"/>
        <v>0</v>
      </c>
      <c r="T11" s="343">
        <f>S11*'Cash-flow PLAN'!$D$57/12</f>
        <v>0</v>
      </c>
    </row>
    <row r="12" spans="2:20" ht="14.1">
      <c r="B12" s="345">
        <v>45413</v>
      </c>
      <c r="C12" s="341">
        <v>-320000</v>
      </c>
      <c r="D12" s="342">
        <f t="shared" si="0"/>
        <v>7405000</v>
      </c>
      <c r="E12" s="343">
        <f>D12*'Cash-flow Plan vc 2 etapa'!$D$57/12</f>
        <v>67879.166666666672</v>
      </c>
      <c r="G12" s="345">
        <v>45413</v>
      </c>
      <c r="H12" s="341">
        <v>0</v>
      </c>
      <c r="I12" s="342">
        <f t="shared" si="1"/>
        <v>0</v>
      </c>
      <c r="J12" s="343">
        <f>I12*'Cash-flow M 22.7.'!$D$58/12</f>
        <v>0</v>
      </c>
      <c r="L12" s="345">
        <v>45413</v>
      </c>
      <c r="M12" s="341">
        <v>0</v>
      </c>
      <c r="N12" s="342">
        <f t="shared" si="2"/>
        <v>0</v>
      </c>
      <c r="O12" s="343">
        <f>N12*'Cash-flow PLAN'!$D$56/12</f>
        <v>0</v>
      </c>
      <c r="Q12" s="345">
        <v>45413</v>
      </c>
      <c r="R12" s="341">
        <v>0</v>
      </c>
      <c r="S12" s="342">
        <f t="shared" si="3"/>
        <v>0</v>
      </c>
      <c r="T12" s="343">
        <f>S12*'Cash-flow PLAN'!$D$57/12</f>
        <v>0</v>
      </c>
    </row>
    <row r="13" spans="2:20" ht="14.1">
      <c r="B13" s="346">
        <v>45444</v>
      </c>
      <c r="C13" s="341">
        <v>-1050000</v>
      </c>
      <c r="D13" s="342">
        <f t="shared" si="0"/>
        <v>8455000</v>
      </c>
      <c r="E13" s="343">
        <f>D13*'Cash-flow Plan vc 2 etapa'!$D$57/12</f>
        <v>77504.166666666672</v>
      </c>
      <c r="G13" s="346">
        <v>45444</v>
      </c>
      <c r="H13" s="341">
        <v>0</v>
      </c>
      <c r="I13" s="342">
        <f t="shared" si="1"/>
        <v>0</v>
      </c>
      <c r="J13" s="343">
        <f>I13*'Cash-flow M 22.7.'!$D$58/12</f>
        <v>0</v>
      </c>
      <c r="L13" s="346">
        <v>45444</v>
      </c>
      <c r="M13" s="341">
        <v>0</v>
      </c>
      <c r="N13" s="342">
        <f t="shared" si="2"/>
        <v>0</v>
      </c>
      <c r="O13" s="343">
        <f>N13*'Cash-flow PLAN'!$D$56/12</f>
        <v>0</v>
      </c>
      <c r="Q13" s="346">
        <v>45444</v>
      </c>
      <c r="R13" s="341">
        <v>0</v>
      </c>
      <c r="S13" s="342">
        <f t="shared" si="3"/>
        <v>0</v>
      </c>
      <c r="T13" s="343">
        <f>S13*'Cash-flow PLAN'!$D$57/12</f>
        <v>0</v>
      </c>
    </row>
    <row r="14" spans="2:20" ht="14.1">
      <c r="B14" s="345">
        <v>45474</v>
      </c>
      <c r="C14" s="341">
        <v>-4550000</v>
      </c>
      <c r="D14" s="342">
        <f t="shared" si="0"/>
        <v>13005000</v>
      </c>
      <c r="E14" s="343">
        <f>D14*'Cash-flow Plan vc 2 etapa'!$D$57/12</f>
        <v>119212.5</v>
      </c>
      <c r="G14" s="345">
        <v>45474</v>
      </c>
      <c r="H14" s="341">
        <v>0</v>
      </c>
      <c r="I14" s="342">
        <f t="shared" si="1"/>
        <v>0</v>
      </c>
      <c r="J14" s="343">
        <f>I14*'Cash-flow M 22.7.'!$D$58/12</f>
        <v>0</v>
      </c>
      <c r="L14" s="345">
        <v>45474</v>
      </c>
      <c r="M14" s="341">
        <v>0</v>
      </c>
      <c r="N14" s="342">
        <f t="shared" si="2"/>
        <v>0</v>
      </c>
      <c r="O14" s="343">
        <f>N14*'Cash-flow PLAN'!$D$56/12</f>
        <v>0</v>
      </c>
      <c r="Q14" s="345">
        <v>45474</v>
      </c>
      <c r="R14" s="341">
        <v>0</v>
      </c>
      <c r="S14" s="342">
        <f t="shared" si="3"/>
        <v>0</v>
      </c>
      <c r="T14" s="343">
        <f>S14*'Cash-flow PLAN'!$D$57/12</f>
        <v>0</v>
      </c>
    </row>
    <row r="15" spans="2:20" ht="14.1">
      <c r="B15" s="345">
        <v>45505</v>
      </c>
      <c r="C15" s="341">
        <v>0</v>
      </c>
      <c r="D15" s="342">
        <f t="shared" si="0"/>
        <v>13005000</v>
      </c>
      <c r="E15" s="343">
        <f>D15*'Cash-flow Plan vc 2 etapa'!$D$57/12</f>
        <v>119212.5</v>
      </c>
      <c r="G15" s="345">
        <v>45505</v>
      </c>
      <c r="H15" s="341">
        <v>0</v>
      </c>
      <c r="I15" s="342">
        <f t="shared" si="1"/>
        <v>0</v>
      </c>
      <c r="J15" s="343">
        <f>I15*'Cash-flow M 22.7.'!$D$58/12</f>
        <v>0</v>
      </c>
      <c r="L15" s="345">
        <v>45505</v>
      </c>
      <c r="M15" s="341">
        <v>0</v>
      </c>
      <c r="N15" s="342">
        <f t="shared" si="2"/>
        <v>0</v>
      </c>
      <c r="O15" s="343">
        <f>N15*'Cash-flow PLAN'!$D$56/12</f>
        <v>0</v>
      </c>
      <c r="Q15" s="345">
        <v>45505</v>
      </c>
      <c r="R15" s="341">
        <v>0</v>
      </c>
      <c r="S15" s="342">
        <f t="shared" si="3"/>
        <v>0</v>
      </c>
      <c r="T15" s="343">
        <f>S15*'Cash-flow PLAN'!$D$57/12</f>
        <v>0</v>
      </c>
    </row>
    <row r="16" spans="2:20" ht="14.1">
      <c r="B16" s="345">
        <v>45536</v>
      </c>
      <c r="C16" s="341">
        <v>-3550000</v>
      </c>
      <c r="D16" s="342">
        <f t="shared" si="0"/>
        <v>16555000</v>
      </c>
      <c r="E16" s="343">
        <f>D16*'Cash-flow Plan vc 2 etapa'!$D$57/12</f>
        <v>151754.16666666666</v>
      </c>
      <c r="G16" s="345">
        <v>45536</v>
      </c>
      <c r="H16" s="341">
        <v>0</v>
      </c>
      <c r="I16" s="342">
        <f t="shared" si="1"/>
        <v>0</v>
      </c>
      <c r="J16" s="343">
        <f>I16*'Cash-flow M 22.7.'!$D$58/12</f>
        <v>0</v>
      </c>
      <c r="L16" s="345">
        <v>45536</v>
      </c>
      <c r="M16" s="341">
        <v>0</v>
      </c>
      <c r="N16" s="342">
        <f t="shared" si="2"/>
        <v>0</v>
      </c>
      <c r="O16" s="343">
        <f>N16*'Cash-flow PLAN'!$D$56/12</f>
        <v>0</v>
      </c>
      <c r="Q16" s="345">
        <v>45536</v>
      </c>
      <c r="R16" s="341">
        <v>0</v>
      </c>
      <c r="S16" s="342">
        <f t="shared" si="3"/>
        <v>0</v>
      </c>
      <c r="T16" s="343">
        <f>S16*'Cash-flow PLAN'!$D$57/12</f>
        <v>0</v>
      </c>
    </row>
    <row r="17" spans="2:20" ht="14.1">
      <c r="B17" s="345">
        <v>45566</v>
      </c>
      <c r="C17" s="341">
        <v>-4900000</v>
      </c>
      <c r="D17" s="342">
        <f t="shared" si="0"/>
        <v>21455000</v>
      </c>
      <c r="E17" s="343">
        <f>D17*'Cash-flow Plan vc 2 etapa'!$D$57/12</f>
        <v>196670.83333333334</v>
      </c>
      <c r="G17" s="345">
        <v>45566</v>
      </c>
      <c r="H17" s="341">
        <v>0</v>
      </c>
      <c r="I17" s="342">
        <f t="shared" si="1"/>
        <v>0</v>
      </c>
      <c r="J17" s="343">
        <f>I17*'Cash-flow M 22.7.'!$D$58/12</f>
        <v>0</v>
      </c>
      <c r="L17" s="345">
        <v>45566</v>
      </c>
      <c r="M17" s="341">
        <v>0</v>
      </c>
      <c r="N17" s="342">
        <f t="shared" si="2"/>
        <v>0</v>
      </c>
      <c r="O17" s="343">
        <f>N17*'Cash-flow PLAN'!$D$56/12</f>
        <v>0</v>
      </c>
      <c r="Q17" s="345">
        <v>45566</v>
      </c>
      <c r="R17" s="341">
        <v>0</v>
      </c>
      <c r="S17" s="342">
        <f t="shared" si="3"/>
        <v>0</v>
      </c>
      <c r="T17" s="343">
        <f>S17*'Cash-flow PLAN'!$D$57/12</f>
        <v>0</v>
      </c>
    </row>
    <row r="18" spans="2:20" ht="14.1">
      <c r="B18" s="345">
        <v>45597</v>
      </c>
      <c r="C18" s="341">
        <v>-4100000</v>
      </c>
      <c r="D18" s="342">
        <f t="shared" si="0"/>
        <v>25555000</v>
      </c>
      <c r="E18" s="343">
        <f>D18*'Cash-flow Plan vc 2 etapa'!$D$57/12</f>
        <v>234254.16666666666</v>
      </c>
      <c r="G18" s="345">
        <v>45597</v>
      </c>
      <c r="H18" s="341">
        <v>0</v>
      </c>
      <c r="I18" s="342">
        <f t="shared" si="1"/>
        <v>0</v>
      </c>
      <c r="J18" s="343">
        <f>I18*'Cash-flow M 22.7.'!$D$58/12</f>
        <v>0</v>
      </c>
      <c r="L18" s="345">
        <v>45597</v>
      </c>
      <c r="M18" s="341">
        <v>0</v>
      </c>
      <c r="N18" s="342">
        <f t="shared" si="2"/>
        <v>0</v>
      </c>
      <c r="O18" s="343">
        <f>N18*'Cash-flow PLAN'!$D$56/12</f>
        <v>0</v>
      </c>
      <c r="Q18" s="345">
        <v>45597</v>
      </c>
      <c r="R18" s="341">
        <v>0</v>
      </c>
      <c r="S18" s="342">
        <f t="shared" si="3"/>
        <v>0</v>
      </c>
      <c r="T18" s="343">
        <f>S18*'Cash-flow PLAN'!$D$57/12</f>
        <v>0</v>
      </c>
    </row>
    <row r="19" spans="2:20" ht="14.1">
      <c r="B19" s="345">
        <v>45627</v>
      </c>
      <c r="C19" s="341">
        <v>0</v>
      </c>
      <c r="D19" s="342">
        <f t="shared" si="0"/>
        <v>25555000</v>
      </c>
      <c r="E19" s="343">
        <f>D19*'Cash-flow Plan vc 2 etapa'!$D$57/12</f>
        <v>234254.16666666666</v>
      </c>
      <c r="G19" s="345">
        <v>45627</v>
      </c>
      <c r="H19" s="341">
        <v>0</v>
      </c>
      <c r="I19" s="342">
        <f t="shared" si="1"/>
        <v>0</v>
      </c>
      <c r="J19" s="343">
        <f>I19*'Cash-flow M 22.7.'!$D$58/12</f>
        <v>0</v>
      </c>
      <c r="L19" s="345">
        <v>45627</v>
      </c>
      <c r="M19" s="341">
        <v>0</v>
      </c>
      <c r="N19" s="342">
        <f t="shared" si="2"/>
        <v>0</v>
      </c>
      <c r="O19" s="343">
        <f>N19*'Cash-flow PLAN'!$D$56/12</f>
        <v>0</v>
      </c>
      <c r="Q19" s="345">
        <v>45627</v>
      </c>
      <c r="R19" s="341">
        <v>0</v>
      </c>
      <c r="S19" s="342">
        <f t="shared" si="3"/>
        <v>0</v>
      </c>
      <c r="T19" s="343">
        <f>S19*'Cash-flow PLAN'!$D$57/12</f>
        <v>0</v>
      </c>
    </row>
    <row r="20" spans="2:20" ht="14.1">
      <c r="B20" s="340">
        <v>45658</v>
      </c>
      <c r="C20" s="341">
        <v>0</v>
      </c>
      <c r="D20" s="342">
        <f t="shared" si="0"/>
        <v>25555000</v>
      </c>
      <c r="E20" s="343">
        <f>D20*'Cash-flow Plan vc 2 etapa'!$D$57/12</f>
        <v>234254.16666666666</v>
      </c>
      <c r="G20" s="340">
        <v>45658</v>
      </c>
      <c r="H20" s="341">
        <v>0</v>
      </c>
      <c r="I20" s="342">
        <f t="shared" si="1"/>
        <v>0</v>
      </c>
      <c r="J20" s="343">
        <f>I20*'Cash-flow M 22.7.'!$D$58/12</f>
        <v>0</v>
      </c>
      <c r="L20" s="340">
        <v>45658</v>
      </c>
      <c r="M20" s="341">
        <v>0</v>
      </c>
      <c r="N20" s="342">
        <f t="shared" si="2"/>
        <v>0</v>
      </c>
      <c r="O20" s="343">
        <f>N20*'Cash-flow PLAN'!$D$56/12</f>
        <v>0</v>
      </c>
      <c r="Q20" s="340">
        <v>45658</v>
      </c>
      <c r="R20" s="341">
        <v>0</v>
      </c>
      <c r="S20" s="342">
        <f t="shared" si="3"/>
        <v>0</v>
      </c>
      <c r="T20" s="343">
        <f>S20*'Cash-flow PLAN'!$D$57/12</f>
        <v>0</v>
      </c>
    </row>
    <row r="21" spans="2:20" ht="14.1">
      <c r="B21" s="345">
        <v>45689</v>
      </c>
      <c r="C21" s="341">
        <v>0</v>
      </c>
      <c r="D21" s="342">
        <f t="shared" si="0"/>
        <v>25555000</v>
      </c>
      <c r="E21" s="343">
        <f>D21*'Cash-flow Plan vc 2 etapa'!$D$57/12</f>
        <v>234254.16666666666</v>
      </c>
      <c r="G21" s="345">
        <v>45689</v>
      </c>
      <c r="H21" s="341">
        <v>0</v>
      </c>
      <c r="I21" s="342">
        <f t="shared" si="1"/>
        <v>0</v>
      </c>
      <c r="J21" s="343">
        <f>I21*'Cash-flow M 22.7.'!$D$58/12</f>
        <v>0</v>
      </c>
      <c r="L21" s="345">
        <v>45689</v>
      </c>
      <c r="M21" s="341">
        <v>0</v>
      </c>
      <c r="N21" s="342">
        <f t="shared" si="2"/>
        <v>0</v>
      </c>
      <c r="O21" s="343">
        <f>N21*'Cash-flow PLAN'!$D$56/12</f>
        <v>0</v>
      </c>
      <c r="Q21" s="345">
        <v>45689</v>
      </c>
      <c r="R21" s="341">
        <v>0</v>
      </c>
      <c r="S21" s="342">
        <f t="shared" si="3"/>
        <v>0</v>
      </c>
      <c r="T21" s="343">
        <f>S21*'Cash-flow PLAN'!$D$57/12</f>
        <v>0</v>
      </c>
    </row>
    <row r="22" spans="2:20" ht="14.1">
      <c r="B22" s="345">
        <v>45717</v>
      </c>
      <c r="C22" s="341">
        <v>0</v>
      </c>
      <c r="D22" s="342">
        <f t="shared" si="0"/>
        <v>25555000</v>
      </c>
      <c r="E22" s="343">
        <f>D22*'Cash-flow Plan vc 2 etapa'!$D$57/12</f>
        <v>234254.16666666666</v>
      </c>
      <c r="G22" s="345">
        <v>45717</v>
      </c>
      <c r="H22" s="341">
        <v>0</v>
      </c>
      <c r="I22" s="342">
        <f t="shared" si="1"/>
        <v>0</v>
      </c>
      <c r="J22" s="343">
        <f>I22*'Cash-flow M 22.7.'!$D$58/12</f>
        <v>0</v>
      </c>
      <c r="L22" s="345">
        <v>45717</v>
      </c>
      <c r="M22" s="341">
        <v>0</v>
      </c>
      <c r="N22" s="342">
        <f t="shared" si="2"/>
        <v>0</v>
      </c>
      <c r="O22" s="343">
        <f>N22*'Cash-flow PLAN'!$D$56/12</f>
        <v>0</v>
      </c>
      <c r="Q22" s="345">
        <v>45717</v>
      </c>
      <c r="R22" s="341">
        <v>0</v>
      </c>
      <c r="S22" s="342">
        <f t="shared" si="3"/>
        <v>0</v>
      </c>
      <c r="T22" s="343">
        <f>S22*'Cash-flow PLAN'!$D$57/12</f>
        <v>0</v>
      </c>
    </row>
    <row r="23" spans="2:20" ht="14.1">
      <c r="B23" s="345">
        <v>45748</v>
      </c>
      <c r="C23" s="341">
        <v>0</v>
      </c>
      <c r="D23" s="342">
        <f t="shared" si="0"/>
        <v>25555000</v>
      </c>
      <c r="E23" s="343">
        <f>D23*'Cash-flow Plan vc 2 etapa'!$D$57/12</f>
        <v>234254.16666666666</v>
      </c>
      <c r="G23" s="345">
        <v>45748</v>
      </c>
      <c r="H23" s="341">
        <v>0</v>
      </c>
      <c r="I23" s="342">
        <f t="shared" si="1"/>
        <v>0</v>
      </c>
      <c r="J23" s="343">
        <f>I23*'Cash-flow M 22.7.'!$D$58/12</f>
        <v>0</v>
      </c>
      <c r="L23" s="345">
        <v>45748</v>
      </c>
      <c r="M23" s="341">
        <v>0</v>
      </c>
      <c r="N23" s="342">
        <f t="shared" si="2"/>
        <v>0</v>
      </c>
      <c r="O23" s="343">
        <f>N23*'Cash-flow PLAN'!$D$56/12</f>
        <v>0</v>
      </c>
      <c r="Q23" s="345">
        <v>45748</v>
      </c>
      <c r="R23" s="341">
        <v>0</v>
      </c>
      <c r="S23" s="342">
        <f t="shared" si="3"/>
        <v>0</v>
      </c>
      <c r="T23" s="343">
        <f>S23*'Cash-flow PLAN'!$D$57/12</f>
        <v>0</v>
      </c>
    </row>
    <row r="24" spans="2:20" ht="14.1">
      <c r="B24" s="345">
        <v>45778</v>
      </c>
      <c r="C24" s="341">
        <v>41920002</v>
      </c>
      <c r="D24" s="342">
        <f t="shared" si="0"/>
        <v>-16365002</v>
      </c>
      <c r="E24" s="343">
        <f>D24*'Cash-flow PLAN'!$D$54/12</f>
        <v>-143193.76749999999</v>
      </c>
      <c r="G24" s="345">
        <v>45778</v>
      </c>
      <c r="H24" s="341">
        <v>0</v>
      </c>
      <c r="I24" s="342">
        <f t="shared" si="1"/>
        <v>0</v>
      </c>
      <c r="J24" s="343">
        <f>I24*'Cash-flow M 22.7.'!$D$58/12</f>
        <v>0</v>
      </c>
      <c r="L24" s="345">
        <v>45778</v>
      </c>
      <c r="M24" s="341">
        <v>0</v>
      </c>
      <c r="N24" s="342">
        <f t="shared" si="2"/>
        <v>0</v>
      </c>
      <c r="O24" s="343">
        <f>N24*'Cash-flow PLAN'!$D$56/12</f>
        <v>0</v>
      </c>
      <c r="Q24" s="345">
        <v>45778</v>
      </c>
      <c r="R24" s="341">
        <v>0</v>
      </c>
      <c r="S24" s="342">
        <f t="shared" si="3"/>
        <v>0</v>
      </c>
      <c r="T24" s="343">
        <f>S24*'Cash-flow PLAN'!$D$57/12</f>
        <v>0</v>
      </c>
    </row>
    <row r="25" spans="2:20" ht="14.1">
      <c r="B25" s="346">
        <v>45809</v>
      </c>
      <c r="C25" s="341"/>
      <c r="D25" s="342">
        <f t="shared" si="0"/>
        <v>-16365002</v>
      </c>
      <c r="E25" s="343">
        <f>D25*'Cash-flow PLAN'!$D$54/12</f>
        <v>-143193.76749999999</v>
      </c>
      <c r="G25" s="346">
        <v>45809</v>
      </c>
      <c r="H25" s="341">
        <v>0</v>
      </c>
      <c r="I25" s="342">
        <f t="shared" si="1"/>
        <v>0</v>
      </c>
      <c r="J25" s="343">
        <f>I25*'Cash-flow M 22.7.'!$D$58/12</f>
        <v>0</v>
      </c>
      <c r="L25" s="346">
        <v>45809</v>
      </c>
      <c r="M25" s="341">
        <v>0</v>
      </c>
      <c r="N25" s="342">
        <f t="shared" si="2"/>
        <v>0</v>
      </c>
      <c r="O25" s="343">
        <f>N25*'Cash-flow PLAN'!$D$56/12</f>
        <v>0</v>
      </c>
      <c r="Q25" s="346">
        <v>45809</v>
      </c>
      <c r="R25" s="341">
        <v>0</v>
      </c>
      <c r="S25" s="342">
        <f t="shared" si="3"/>
        <v>0</v>
      </c>
      <c r="T25" s="343">
        <f>S25*'Cash-flow PLAN'!$D$57/12</f>
        <v>0</v>
      </c>
    </row>
    <row r="26" spans="2:20" ht="14.1">
      <c r="B26" s="345">
        <v>45839</v>
      </c>
      <c r="C26" s="341"/>
      <c r="D26" s="342">
        <f t="shared" si="0"/>
        <v>-16365002</v>
      </c>
      <c r="E26" s="343">
        <f>D26*'Cash-flow PLAN'!$D$54/12</f>
        <v>-143193.76749999999</v>
      </c>
      <c r="G26" s="345">
        <v>45839</v>
      </c>
      <c r="H26" s="341">
        <v>0</v>
      </c>
      <c r="I26" s="342">
        <f t="shared" si="1"/>
        <v>0</v>
      </c>
      <c r="J26" s="343">
        <f>I26*'Cash-flow M 22.7.'!$D$58/12</f>
        <v>0</v>
      </c>
      <c r="L26" s="345">
        <v>45839</v>
      </c>
      <c r="M26" s="341">
        <v>0</v>
      </c>
      <c r="N26" s="342">
        <f t="shared" si="2"/>
        <v>0</v>
      </c>
      <c r="O26" s="343">
        <f>N26*'Cash-flow PLAN'!$D$56/12</f>
        <v>0</v>
      </c>
      <c r="Q26" s="345">
        <v>45839</v>
      </c>
      <c r="R26" s="341">
        <v>0</v>
      </c>
      <c r="S26" s="342">
        <f t="shared" si="3"/>
        <v>0</v>
      </c>
      <c r="T26" s="343">
        <f>S26*'Cash-flow PLAN'!$D$57/12</f>
        <v>0</v>
      </c>
    </row>
    <row r="27" spans="2:20" ht="14.1">
      <c r="B27" s="345">
        <v>45870</v>
      </c>
      <c r="C27" s="341"/>
      <c r="D27" s="342">
        <f t="shared" si="0"/>
        <v>-16365002</v>
      </c>
      <c r="E27" s="343">
        <f>D27*'Cash-flow PLAN'!$D$54/12</f>
        <v>-143193.76749999999</v>
      </c>
      <c r="G27" s="345">
        <v>45870</v>
      </c>
      <c r="H27" s="341">
        <v>0</v>
      </c>
      <c r="I27" s="342">
        <f t="shared" si="1"/>
        <v>0</v>
      </c>
      <c r="J27" s="343">
        <f>I27*'Cash-flow M 22.7.'!$D$58/12</f>
        <v>0</v>
      </c>
      <c r="L27" s="345">
        <v>45870</v>
      </c>
      <c r="M27" s="341">
        <v>0</v>
      </c>
      <c r="N27" s="342">
        <f t="shared" si="2"/>
        <v>0</v>
      </c>
      <c r="O27" s="343">
        <f>N27*'Cash-flow PLAN'!$D$56/12</f>
        <v>0</v>
      </c>
      <c r="Q27" s="345">
        <v>45870</v>
      </c>
      <c r="R27" s="341">
        <v>0</v>
      </c>
      <c r="S27" s="342">
        <f t="shared" si="3"/>
        <v>0</v>
      </c>
      <c r="T27" s="343">
        <f>S27*'Cash-flow PLAN'!$D$57/12</f>
        <v>0</v>
      </c>
    </row>
    <row r="28" spans="2:20" ht="14.1">
      <c r="B28" s="345">
        <v>45901</v>
      </c>
      <c r="C28" s="341"/>
      <c r="D28" s="342">
        <f t="shared" si="0"/>
        <v>-16365002</v>
      </c>
      <c r="E28" s="343">
        <f>D28*'Cash-flow PLAN'!$D$54/12</f>
        <v>-143193.76749999999</v>
      </c>
      <c r="G28" s="345">
        <v>45901</v>
      </c>
      <c r="H28" s="341">
        <v>0</v>
      </c>
      <c r="I28" s="342">
        <f t="shared" si="1"/>
        <v>0</v>
      </c>
      <c r="J28" s="343">
        <f>I28*'Cash-flow M 22.7.'!$D$58/12</f>
        <v>0</v>
      </c>
      <c r="L28" s="345">
        <v>45901</v>
      </c>
      <c r="M28" s="341">
        <v>0</v>
      </c>
      <c r="N28" s="342">
        <f t="shared" si="2"/>
        <v>0</v>
      </c>
      <c r="O28" s="343">
        <f>N28*'Cash-flow PLAN'!$D$56/12</f>
        <v>0</v>
      </c>
      <c r="Q28" s="345">
        <v>45901</v>
      </c>
      <c r="R28" s="341">
        <v>0</v>
      </c>
      <c r="S28" s="342">
        <f t="shared" si="3"/>
        <v>0</v>
      </c>
      <c r="T28" s="343">
        <f>S28*'Cash-flow PLAN'!$D$57/12</f>
        <v>0</v>
      </c>
    </row>
    <row r="29" spans="2:20" ht="14.1">
      <c r="B29" s="345">
        <v>45931</v>
      </c>
      <c r="C29" s="341"/>
      <c r="D29" s="342">
        <f t="shared" si="0"/>
        <v>-16365002</v>
      </c>
      <c r="E29" s="343">
        <f>D29*'Cash-flow PLAN'!$D$54/12</f>
        <v>-143193.76749999999</v>
      </c>
      <c r="G29" s="345">
        <v>45931</v>
      </c>
      <c r="H29" s="341">
        <v>0</v>
      </c>
      <c r="I29" s="342">
        <f t="shared" si="1"/>
        <v>0</v>
      </c>
      <c r="J29" s="343">
        <f>I29*'Cash-flow M 22.7.'!$D$58/12</f>
        <v>0</v>
      </c>
      <c r="L29" s="345">
        <v>45931</v>
      </c>
      <c r="M29" s="341">
        <v>0</v>
      </c>
      <c r="N29" s="342">
        <f t="shared" si="2"/>
        <v>0</v>
      </c>
      <c r="O29" s="343">
        <f>N29*'Cash-flow PLAN'!$D$56/12</f>
        <v>0</v>
      </c>
      <c r="Q29" s="345">
        <v>45931</v>
      </c>
      <c r="R29" s="341">
        <v>0</v>
      </c>
      <c r="S29" s="342">
        <f t="shared" si="3"/>
        <v>0</v>
      </c>
      <c r="T29" s="343">
        <f>S29*'Cash-flow PLAN'!$D$57/12</f>
        <v>0</v>
      </c>
    </row>
    <row r="30" spans="2:20" ht="14.1">
      <c r="B30" s="345">
        <v>45962</v>
      </c>
      <c r="C30" s="341"/>
      <c r="D30" s="342">
        <f t="shared" si="0"/>
        <v>-16365002</v>
      </c>
      <c r="E30" s="343">
        <f>D30*'Cash-flow PLAN'!$D$54/12</f>
        <v>-143193.76749999999</v>
      </c>
      <c r="G30" s="345">
        <v>45962</v>
      </c>
      <c r="H30" s="341">
        <v>0</v>
      </c>
      <c r="I30" s="342">
        <f t="shared" si="1"/>
        <v>0</v>
      </c>
      <c r="J30" s="343">
        <f>I30*'Cash-flow M 22.7.'!$D$58/12</f>
        <v>0</v>
      </c>
      <c r="L30" s="345">
        <v>45962</v>
      </c>
      <c r="M30" s="341">
        <v>0</v>
      </c>
      <c r="N30" s="342">
        <f t="shared" si="2"/>
        <v>0</v>
      </c>
      <c r="O30" s="343">
        <f>N30*'Cash-flow PLAN'!$D$56/12</f>
        <v>0</v>
      </c>
      <c r="Q30" s="345">
        <v>45962</v>
      </c>
      <c r="R30" s="341">
        <v>0</v>
      </c>
      <c r="S30" s="342">
        <f t="shared" si="3"/>
        <v>0</v>
      </c>
      <c r="T30" s="343">
        <f>S30*'Cash-flow PLAN'!$D$57/12</f>
        <v>0</v>
      </c>
    </row>
    <row r="31" spans="2:20" ht="14.1">
      <c r="B31" s="345">
        <v>45992</v>
      </c>
      <c r="C31" s="341"/>
      <c r="D31" s="342">
        <f t="shared" si="0"/>
        <v>-16365002</v>
      </c>
      <c r="E31" s="343">
        <f>D31*'Cash-flow PLAN'!$D$54/12</f>
        <v>-143193.76749999999</v>
      </c>
      <c r="G31" s="345">
        <v>45992</v>
      </c>
      <c r="H31" s="341">
        <v>0</v>
      </c>
      <c r="I31" s="342">
        <f t="shared" si="1"/>
        <v>0</v>
      </c>
      <c r="J31" s="343">
        <f>I31*'Cash-flow M 22.7.'!$D$58/12</f>
        <v>0</v>
      </c>
      <c r="L31" s="345">
        <v>45992</v>
      </c>
      <c r="M31" s="341">
        <v>0</v>
      </c>
      <c r="N31" s="342">
        <f t="shared" si="2"/>
        <v>0</v>
      </c>
      <c r="O31" s="343">
        <f>N31*'Cash-flow PLAN'!$D$56/12</f>
        <v>0</v>
      </c>
      <c r="Q31" s="345">
        <v>45992</v>
      </c>
      <c r="R31" s="341">
        <v>0</v>
      </c>
      <c r="S31" s="342">
        <f t="shared" si="3"/>
        <v>0</v>
      </c>
      <c r="T31" s="343">
        <f>S31*'Cash-flow PLAN'!$D$57/12</f>
        <v>0</v>
      </c>
    </row>
    <row r="32" spans="2:20" ht="14.1">
      <c r="B32" s="340">
        <v>46023</v>
      </c>
      <c r="C32" s="341"/>
      <c r="D32" s="342">
        <f t="shared" si="0"/>
        <v>-16365002</v>
      </c>
      <c r="E32" s="343">
        <f>D32*'Cash-flow PLAN'!$D$54/12</f>
        <v>-143193.76749999999</v>
      </c>
      <c r="G32" s="340">
        <v>46023</v>
      </c>
      <c r="H32" s="341">
        <v>0</v>
      </c>
      <c r="I32" s="342">
        <f t="shared" si="1"/>
        <v>0</v>
      </c>
      <c r="J32" s="343">
        <f>I32*'Cash-flow M 22.7.'!$D$58/12</f>
        <v>0</v>
      </c>
      <c r="K32" s="367">
        <f>-SUM(J14:J31)-J31</f>
        <v>0</v>
      </c>
      <c r="L32" s="340">
        <v>46023</v>
      </c>
      <c r="M32" s="341">
        <v>0</v>
      </c>
      <c r="N32" s="342">
        <f t="shared" si="2"/>
        <v>0</v>
      </c>
      <c r="O32" s="343">
        <f>N32*'Cash-flow PLAN'!$D$56/12</f>
        <v>0</v>
      </c>
      <c r="Q32" s="340">
        <v>46023</v>
      </c>
      <c r="R32" s="341">
        <v>0</v>
      </c>
      <c r="S32" s="342">
        <f t="shared" si="3"/>
        <v>0</v>
      </c>
      <c r="T32" s="343">
        <f>S32*'Cash-flow PLAN'!$D$57/12</f>
        <v>0</v>
      </c>
    </row>
    <row r="33" spans="2:20" ht="14.1">
      <c r="B33" s="345">
        <v>46054</v>
      </c>
      <c r="C33" s="341"/>
      <c r="D33" s="342">
        <f t="shared" si="0"/>
        <v>-16365002</v>
      </c>
      <c r="E33" s="343">
        <f>D33*'Cash-flow PLAN'!$D$54/12</f>
        <v>-143193.76749999999</v>
      </c>
      <c r="G33" s="345">
        <v>46054</v>
      </c>
      <c r="H33" s="341">
        <v>0</v>
      </c>
      <c r="I33" s="342">
        <f t="shared" si="1"/>
        <v>0</v>
      </c>
      <c r="J33" s="343">
        <f>I33*'Cash-flow M 22.7.'!$D$58/12</f>
        <v>0</v>
      </c>
      <c r="L33" s="345">
        <v>46054</v>
      </c>
      <c r="M33" s="341">
        <v>0</v>
      </c>
      <c r="N33" s="342">
        <f t="shared" si="2"/>
        <v>0</v>
      </c>
      <c r="O33" s="343">
        <f>N33*'Cash-flow PLAN'!$D$56/12</f>
        <v>0</v>
      </c>
      <c r="Q33" s="345">
        <v>46054</v>
      </c>
      <c r="R33" s="341">
        <v>0</v>
      </c>
      <c r="S33" s="342">
        <f t="shared" si="3"/>
        <v>0</v>
      </c>
      <c r="T33" s="343">
        <f>S33*'Cash-flow PLAN'!$D$57/12</f>
        <v>0</v>
      </c>
    </row>
    <row r="34" spans="2:20" ht="14.1">
      <c r="B34" s="345">
        <v>46082</v>
      </c>
      <c r="C34" s="341"/>
      <c r="D34" s="342">
        <f t="shared" si="0"/>
        <v>-16365002</v>
      </c>
      <c r="E34" s="343">
        <f>D34*'Cash-flow PLAN'!$D$54/12</f>
        <v>-143193.76749999999</v>
      </c>
      <c r="G34" s="345">
        <v>46082</v>
      </c>
      <c r="H34" s="341">
        <v>0</v>
      </c>
      <c r="I34" s="342">
        <f t="shared" si="1"/>
        <v>0</v>
      </c>
      <c r="J34" s="343">
        <f>I34*'Cash-flow M 22.7.'!$D$58/12</f>
        <v>0</v>
      </c>
      <c r="L34" s="345">
        <v>46082</v>
      </c>
      <c r="M34" s="341">
        <v>0</v>
      </c>
      <c r="N34" s="342">
        <f t="shared" si="2"/>
        <v>0</v>
      </c>
      <c r="O34" s="343">
        <f>N34*'Cash-flow PLAN'!$D$56/12</f>
        <v>0</v>
      </c>
      <c r="Q34" s="345">
        <v>46082</v>
      </c>
      <c r="R34" s="341">
        <v>0</v>
      </c>
      <c r="S34" s="342">
        <f t="shared" si="3"/>
        <v>0</v>
      </c>
      <c r="T34" s="343">
        <f>S34*'Cash-flow PLAN'!$D$57/12</f>
        <v>0</v>
      </c>
    </row>
    <row r="35" spans="2:20" ht="14.1">
      <c r="B35" s="345">
        <v>46113</v>
      </c>
      <c r="C35" s="341"/>
      <c r="D35" s="342">
        <f t="shared" si="0"/>
        <v>-16365002</v>
      </c>
      <c r="E35" s="343">
        <f>D35*'Cash-flow PLAN'!$D$54/12</f>
        <v>-143193.76749999999</v>
      </c>
      <c r="G35" s="345">
        <v>46113</v>
      </c>
      <c r="H35" s="341">
        <v>0</v>
      </c>
      <c r="I35" s="342">
        <f t="shared" si="1"/>
        <v>0</v>
      </c>
      <c r="J35" s="343">
        <f>I35*'Cash-flow M 22.7.'!$D$58/12</f>
        <v>0</v>
      </c>
      <c r="L35" s="345">
        <v>46113</v>
      </c>
      <c r="M35" s="341">
        <v>0</v>
      </c>
      <c r="N35" s="342">
        <f t="shared" si="2"/>
        <v>0</v>
      </c>
      <c r="O35" s="343">
        <f>N35*'Cash-flow PLAN'!$D$56/12</f>
        <v>0</v>
      </c>
      <c r="Q35" s="345">
        <v>46113</v>
      </c>
      <c r="R35" s="341">
        <v>0</v>
      </c>
      <c r="S35" s="342">
        <f t="shared" si="3"/>
        <v>0</v>
      </c>
      <c r="T35" s="343">
        <f>S35*'Cash-flow PLAN'!$D$57/12</f>
        <v>0</v>
      </c>
    </row>
    <row r="36" spans="2:20" ht="14.1">
      <c r="B36" s="345">
        <v>46143</v>
      </c>
      <c r="C36" s="341"/>
      <c r="D36" s="342">
        <f t="shared" si="0"/>
        <v>-16365002</v>
      </c>
      <c r="E36" s="343">
        <f>D36*'Cash-flow PLAN'!$D$54/12</f>
        <v>-143193.76749999999</v>
      </c>
      <c r="G36" s="345">
        <v>46143</v>
      </c>
      <c r="H36" s="341">
        <v>0</v>
      </c>
      <c r="I36" s="342">
        <f t="shared" si="1"/>
        <v>0</v>
      </c>
      <c r="J36" s="343">
        <f>I36*'Cash-flow M 22.7.'!$D$58/12</f>
        <v>0</v>
      </c>
      <c r="L36" s="345">
        <v>46143</v>
      </c>
      <c r="M36" s="341">
        <v>0</v>
      </c>
      <c r="N36" s="342">
        <f t="shared" si="2"/>
        <v>0</v>
      </c>
      <c r="O36" s="343">
        <f>N36*'Cash-flow PLAN'!$D$56/12</f>
        <v>0</v>
      </c>
      <c r="Q36" s="345">
        <v>46143</v>
      </c>
      <c r="R36" s="341">
        <v>0</v>
      </c>
      <c r="S36" s="342">
        <f t="shared" si="3"/>
        <v>0</v>
      </c>
      <c r="T36" s="343">
        <f>S36*'Cash-flow PLAN'!$D$57/12</f>
        <v>0</v>
      </c>
    </row>
    <row r="37" spans="2:20" ht="14.1">
      <c r="B37" s="346">
        <v>46174</v>
      </c>
      <c r="C37" s="341"/>
      <c r="D37" s="342">
        <f t="shared" si="0"/>
        <v>-16365002</v>
      </c>
      <c r="E37" s="343">
        <f>D37*'Cash-flow PLAN'!$D$54/12</f>
        <v>-143193.76749999999</v>
      </c>
      <c r="G37" s="346">
        <v>46174</v>
      </c>
      <c r="H37" s="341">
        <v>0</v>
      </c>
      <c r="I37" s="342">
        <f t="shared" si="1"/>
        <v>0</v>
      </c>
      <c r="J37" s="343">
        <f>I37*'Cash-flow M 22.7.'!$D$58/12</f>
        <v>0</v>
      </c>
      <c r="L37" s="346">
        <v>46174</v>
      </c>
      <c r="M37" s="341">
        <v>0</v>
      </c>
      <c r="N37" s="342">
        <f t="shared" si="2"/>
        <v>0</v>
      </c>
      <c r="O37" s="343">
        <f>N37*'Cash-flow PLAN'!$D$56/12</f>
        <v>0</v>
      </c>
      <c r="Q37" s="346">
        <v>46174</v>
      </c>
      <c r="R37" s="341">
        <v>0</v>
      </c>
      <c r="S37" s="342">
        <f t="shared" si="3"/>
        <v>0</v>
      </c>
      <c r="T37" s="343">
        <f>S37*'Cash-flow PLAN'!$D$57/12</f>
        <v>0</v>
      </c>
    </row>
    <row r="38" spans="2:20" ht="14.1">
      <c r="B38" s="345">
        <v>46204</v>
      </c>
      <c r="C38" s="341"/>
      <c r="D38" s="342">
        <f t="shared" si="0"/>
        <v>-16365002</v>
      </c>
      <c r="E38" s="343">
        <f>D38*'Cash-flow PLAN'!$D$54/12</f>
        <v>-143193.76749999999</v>
      </c>
      <c r="G38" s="345">
        <v>46204</v>
      </c>
      <c r="H38" s="341">
        <v>0</v>
      </c>
      <c r="I38" s="342">
        <f t="shared" si="1"/>
        <v>0</v>
      </c>
      <c r="J38" s="343">
        <f>I38*'Cash-flow M 22.7.'!$D$58/12</f>
        <v>0</v>
      </c>
      <c r="L38" s="345">
        <v>46204</v>
      </c>
      <c r="M38" s="341">
        <v>0</v>
      </c>
      <c r="N38" s="342">
        <f t="shared" si="2"/>
        <v>0</v>
      </c>
      <c r="O38" s="343">
        <f>N38*'Cash-flow PLAN'!$D$56/12</f>
        <v>0</v>
      </c>
      <c r="Q38" s="345">
        <v>46204</v>
      </c>
      <c r="R38" s="341">
        <v>0</v>
      </c>
      <c r="S38" s="342">
        <f t="shared" si="3"/>
        <v>0</v>
      </c>
      <c r="T38" s="343">
        <f>S38*'Cash-flow PLAN'!$D$57/12</f>
        <v>0</v>
      </c>
    </row>
    <row r="39" spans="2:20" ht="14.1">
      <c r="B39" s="345">
        <v>46235</v>
      </c>
      <c r="C39" s="341"/>
      <c r="D39" s="342">
        <f t="shared" si="0"/>
        <v>-16365002</v>
      </c>
      <c r="E39" s="343">
        <f>D39*'Cash-flow PLAN'!$D$54/12</f>
        <v>-143193.76749999999</v>
      </c>
      <c r="G39" s="345">
        <v>46235</v>
      </c>
      <c r="H39" s="341">
        <v>0</v>
      </c>
      <c r="I39" s="342">
        <f t="shared" si="1"/>
        <v>0</v>
      </c>
      <c r="J39" s="343">
        <f>I39*'Cash-flow M 22.7.'!$D$58/12</f>
        <v>0</v>
      </c>
      <c r="L39" s="345">
        <v>46235</v>
      </c>
      <c r="M39" s="341">
        <v>0</v>
      </c>
      <c r="N39" s="342">
        <f t="shared" si="2"/>
        <v>0</v>
      </c>
      <c r="O39" s="343">
        <f>N39*'Cash-flow PLAN'!$D$56/12</f>
        <v>0</v>
      </c>
      <c r="Q39" s="345">
        <v>46235</v>
      </c>
      <c r="R39" s="341">
        <v>0</v>
      </c>
      <c r="S39" s="342">
        <f t="shared" si="3"/>
        <v>0</v>
      </c>
      <c r="T39" s="343">
        <f>S39*'Cash-flow PLAN'!$D$57/12</f>
        <v>0</v>
      </c>
    </row>
    <row r="40" spans="2:20" ht="14.1">
      <c r="B40" s="345">
        <v>46266</v>
      </c>
      <c r="C40" s="341"/>
      <c r="D40" s="342">
        <f t="shared" si="0"/>
        <v>-16365002</v>
      </c>
      <c r="E40" s="343">
        <f>D40*'Cash-flow PLAN'!$D$54/12</f>
        <v>-143193.76749999999</v>
      </c>
      <c r="G40" s="345">
        <v>46266</v>
      </c>
      <c r="H40" s="341">
        <v>0</v>
      </c>
      <c r="I40" s="342">
        <f t="shared" si="1"/>
        <v>0</v>
      </c>
      <c r="J40" s="343">
        <f>I40*'Cash-flow M 22.7.'!$D$58/12</f>
        <v>0</v>
      </c>
      <c r="L40" s="345">
        <v>46266</v>
      </c>
      <c r="M40" s="341">
        <v>0</v>
      </c>
      <c r="N40" s="342">
        <f t="shared" si="2"/>
        <v>0</v>
      </c>
      <c r="O40" s="343">
        <f>N40*'Cash-flow PLAN'!$D$56/12</f>
        <v>0</v>
      </c>
      <c r="Q40" s="345">
        <v>46266</v>
      </c>
      <c r="R40" s="341">
        <v>0</v>
      </c>
      <c r="S40" s="342">
        <f t="shared" si="3"/>
        <v>0</v>
      </c>
      <c r="T40" s="343">
        <f>S40*'Cash-flow PLAN'!$D$57/12</f>
        <v>0</v>
      </c>
    </row>
    <row r="41" spans="2:20" ht="14.1">
      <c r="B41" s="345">
        <v>46296</v>
      </c>
      <c r="C41" s="341"/>
      <c r="D41" s="342">
        <f t="shared" si="0"/>
        <v>-16365002</v>
      </c>
      <c r="E41" s="343">
        <f>D41*'Cash-flow PLAN'!$D$54/12</f>
        <v>-143193.76749999999</v>
      </c>
      <c r="G41" s="345">
        <v>46296</v>
      </c>
      <c r="H41" s="341">
        <v>0</v>
      </c>
      <c r="I41" s="342">
        <f t="shared" si="1"/>
        <v>0</v>
      </c>
      <c r="J41" s="343">
        <f>I41*'Cash-flow M 22.7.'!$D$58/12</f>
        <v>0</v>
      </c>
      <c r="L41" s="345">
        <v>46296</v>
      </c>
      <c r="M41" s="341">
        <v>0</v>
      </c>
      <c r="N41" s="342">
        <f t="shared" si="2"/>
        <v>0</v>
      </c>
      <c r="O41" s="343">
        <f>N41*'Cash-flow PLAN'!$D$56/12</f>
        <v>0</v>
      </c>
      <c r="Q41" s="345">
        <v>46296</v>
      </c>
      <c r="R41" s="341">
        <v>0</v>
      </c>
      <c r="S41" s="342">
        <f t="shared" si="3"/>
        <v>0</v>
      </c>
      <c r="T41" s="343">
        <f>S41*'Cash-flow PLAN'!$D$57/12</f>
        <v>0</v>
      </c>
    </row>
    <row r="42" spans="2:20" ht="14.1">
      <c r="B42" s="345">
        <v>46327</v>
      </c>
      <c r="C42" s="341"/>
      <c r="D42" s="342">
        <f t="shared" si="0"/>
        <v>-16365002</v>
      </c>
      <c r="E42" s="343">
        <f>D42*'Cash-flow PLAN'!$D$54/12</f>
        <v>-143193.76749999999</v>
      </c>
      <c r="G42" s="345">
        <v>46327</v>
      </c>
      <c r="H42" s="341">
        <v>0</v>
      </c>
      <c r="I42" s="342">
        <f t="shared" si="1"/>
        <v>0</v>
      </c>
      <c r="J42" s="343">
        <f>I42*'Cash-flow M 22.7.'!$D$58/12</f>
        <v>0</v>
      </c>
      <c r="L42" s="345">
        <v>46327</v>
      </c>
      <c r="M42" s="341">
        <v>0</v>
      </c>
      <c r="N42" s="342">
        <f t="shared" si="2"/>
        <v>0</v>
      </c>
      <c r="O42" s="343">
        <f>N42*'Cash-flow PLAN'!$D$56/12</f>
        <v>0</v>
      </c>
      <c r="Q42" s="345">
        <v>46327</v>
      </c>
      <c r="R42" s="341">
        <v>0</v>
      </c>
      <c r="S42" s="342">
        <f t="shared" si="3"/>
        <v>0</v>
      </c>
      <c r="T42" s="343">
        <f>S42*'Cash-flow PLAN'!$D$57/12</f>
        <v>0</v>
      </c>
    </row>
    <row r="43" spans="2:20" ht="14.1">
      <c r="B43" s="345">
        <v>46357</v>
      </c>
      <c r="C43" s="341"/>
      <c r="D43" s="342">
        <f t="shared" si="0"/>
        <v>-16365002</v>
      </c>
      <c r="E43" s="343">
        <f>D43*'Cash-flow PLAN'!$D$54/12</f>
        <v>-143193.76749999999</v>
      </c>
      <c r="G43" s="345">
        <v>46357</v>
      </c>
      <c r="H43" s="341">
        <v>0</v>
      </c>
      <c r="I43" s="342">
        <f t="shared" si="1"/>
        <v>0</v>
      </c>
      <c r="J43" s="343">
        <f>I43*'Cash-flow M 22.7.'!$D$58/12</f>
        <v>0</v>
      </c>
      <c r="L43" s="345">
        <v>46357</v>
      </c>
      <c r="M43" s="341">
        <v>0</v>
      </c>
      <c r="N43" s="342">
        <f t="shared" si="2"/>
        <v>0</v>
      </c>
      <c r="O43" s="343">
        <f>N43*'Cash-flow PLAN'!$D$56/12</f>
        <v>0</v>
      </c>
      <c r="Q43" s="345">
        <v>46357</v>
      </c>
      <c r="R43" s="341">
        <v>0</v>
      </c>
      <c r="S43" s="342">
        <f t="shared" si="3"/>
        <v>0</v>
      </c>
      <c r="T43" s="343">
        <f>S43*'Cash-flow PLAN'!$D$57/12</f>
        <v>0</v>
      </c>
    </row>
    <row r="44" spans="2:20" ht="14.1">
      <c r="B44" s="340">
        <v>46388</v>
      </c>
      <c r="C44" s="341"/>
      <c r="D44" s="342">
        <f t="shared" si="0"/>
        <v>-16365002</v>
      </c>
      <c r="E44" s="343">
        <f>D44*'Cash-flow PLAN'!$D$54/12</f>
        <v>-143193.76749999999</v>
      </c>
      <c r="G44" s="340">
        <v>46388</v>
      </c>
      <c r="H44" s="341">
        <v>0</v>
      </c>
      <c r="I44" s="342">
        <f t="shared" si="1"/>
        <v>0</v>
      </c>
      <c r="J44" s="343">
        <f>I44*'Cash-flow M 22.7.'!$D$58/12</f>
        <v>0</v>
      </c>
      <c r="L44" s="340">
        <v>46388</v>
      </c>
      <c r="M44" s="341">
        <v>0</v>
      </c>
      <c r="N44" s="342">
        <f t="shared" si="2"/>
        <v>0</v>
      </c>
      <c r="O44" s="343">
        <f>N44*'Cash-flow PLAN'!$D$56/12</f>
        <v>0</v>
      </c>
      <c r="Q44" s="340">
        <v>46388</v>
      </c>
      <c r="R44" s="341">
        <v>0</v>
      </c>
      <c r="S44" s="342">
        <f t="shared" si="3"/>
        <v>0</v>
      </c>
      <c r="T44" s="343">
        <f>S44*'Cash-flow PLAN'!$D$57/12</f>
        <v>0</v>
      </c>
    </row>
    <row r="45" spans="2:20" ht="14.1">
      <c r="B45" s="345">
        <v>46419</v>
      </c>
      <c r="C45" s="341"/>
      <c r="D45" s="342">
        <f t="shared" si="0"/>
        <v>-16365002</v>
      </c>
      <c r="E45" s="343">
        <f>D45*'Cash-flow PLAN'!$D$54/12</f>
        <v>-143193.76749999999</v>
      </c>
      <c r="G45" s="345">
        <v>46419</v>
      </c>
      <c r="H45" s="341">
        <v>0</v>
      </c>
      <c r="I45" s="342">
        <f t="shared" si="1"/>
        <v>0</v>
      </c>
      <c r="J45" s="343">
        <f>I45*'Cash-flow M 22.7.'!$D$58/12</f>
        <v>0</v>
      </c>
      <c r="L45" s="345">
        <v>46419</v>
      </c>
      <c r="M45" s="341">
        <v>0</v>
      </c>
      <c r="N45" s="342">
        <f t="shared" si="2"/>
        <v>0</v>
      </c>
      <c r="O45" s="343">
        <f>N45*'Cash-flow PLAN'!$D$56/12</f>
        <v>0</v>
      </c>
      <c r="Q45" s="345">
        <v>46419</v>
      </c>
      <c r="R45" s="341">
        <v>0</v>
      </c>
      <c r="S45" s="342">
        <f t="shared" si="3"/>
        <v>0</v>
      </c>
      <c r="T45" s="343">
        <f>S45*'Cash-flow PLAN'!$D$57/12</f>
        <v>0</v>
      </c>
    </row>
    <row r="46" spans="2:20" ht="14.1">
      <c r="B46" s="345">
        <v>46447</v>
      </c>
      <c r="C46" s="341"/>
      <c r="D46" s="342">
        <f t="shared" si="0"/>
        <v>-16365002</v>
      </c>
      <c r="E46" s="343">
        <f>D46*'Cash-flow PLAN'!$D$54/12</f>
        <v>-143193.76749999999</v>
      </c>
      <c r="G46" s="345">
        <v>46447</v>
      </c>
      <c r="H46" s="341">
        <v>0</v>
      </c>
      <c r="I46" s="342">
        <f t="shared" si="1"/>
        <v>0</v>
      </c>
      <c r="J46" s="343">
        <f>I46*'Cash-flow M 22.7.'!$D$58/12</f>
        <v>0</v>
      </c>
      <c r="L46" s="345">
        <v>46447</v>
      </c>
      <c r="M46" s="341">
        <v>0</v>
      </c>
      <c r="N46" s="342">
        <f t="shared" si="2"/>
        <v>0</v>
      </c>
      <c r="O46" s="343">
        <f>N46*'Cash-flow PLAN'!$D$56/12</f>
        <v>0</v>
      </c>
      <c r="Q46" s="345">
        <v>46447</v>
      </c>
      <c r="R46" s="341">
        <v>0</v>
      </c>
      <c r="S46" s="342">
        <f t="shared" si="3"/>
        <v>0</v>
      </c>
      <c r="T46" s="343">
        <f>S46*'Cash-flow PLAN'!$D$57/12</f>
        <v>0</v>
      </c>
    </row>
    <row r="47" spans="2:20" ht="14.1">
      <c r="B47" s="345">
        <v>46478</v>
      </c>
      <c r="C47" s="341"/>
      <c r="D47" s="342">
        <f t="shared" si="0"/>
        <v>-16365002</v>
      </c>
      <c r="E47" s="343">
        <f>D47*'Cash-flow PLAN'!$D$54/12</f>
        <v>-143193.76749999999</v>
      </c>
      <c r="G47" s="345">
        <v>46478</v>
      </c>
      <c r="H47" s="341">
        <v>0</v>
      </c>
      <c r="I47" s="342">
        <f t="shared" si="1"/>
        <v>0</v>
      </c>
      <c r="J47" s="343">
        <f>I47*'Cash-flow M 22.7.'!$D$58/12</f>
        <v>0</v>
      </c>
      <c r="L47" s="345">
        <v>46478</v>
      </c>
      <c r="M47" s="341">
        <v>0</v>
      </c>
      <c r="N47" s="342">
        <f t="shared" si="2"/>
        <v>0</v>
      </c>
      <c r="O47" s="343">
        <f>N47*'Cash-flow PLAN'!$D$56/12</f>
        <v>0</v>
      </c>
      <c r="Q47" s="345">
        <v>46478</v>
      </c>
      <c r="R47" s="341">
        <v>0</v>
      </c>
      <c r="S47" s="342">
        <f t="shared" si="3"/>
        <v>0</v>
      </c>
      <c r="T47" s="343">
        <f>S47*'Cash-flow PLAN'!$D$57/12</f>
        <v>0</v>
      </c>
    </row>
    <row r="48" spans="2:20" ht="14.1">
      <c r="B48" s="345">
        <v>46508</v>
      </c>
      <c r="C48" s="341"/>
      <c r="D48" s="342">
        <f t="shared" si="0"/>
        <v>-16365002</v>
      </c>
      <c r="E48" s="343">
        <f>D48*'Cash-flow PLAN'!$D$54/12</f>
        <v>-143193.76749999999</v>
      </c>
      <c r="G48" s="345">
        <v>46508</v>
      </c>
      <c r="H48" s="341">
        <v>0</v>
      </c>
      <c r="I48" s="342">
        <f t="shared" si="1"/>
        <v>0</v>
      </c>
      <c r="J48" s="343">
        <f>I48*'Cash-flow M 22.7.'!$D$58/12</f>
        <v>0</v>
      </c>
      <c r="L48" s="345">
        <v>46508</v>
      </c>
      <c r="M48" s="341">
        <v>0</v>
      </c>
      <c r="N48" s="342">
        <f t="shared" si="2"/>
        <v>0</v>
      </c>
      <c r="O48" s="343">
        <f>N48*'Cash-flow PLAN'!$D$56/12</f>
        <v>0</v>
      </c>
      <c r="Q48" s="345">
        <v>46508</v>
      </c>
      <c r="R48" s="341">
        <v>0</v>
      </c>
      <c r="S48" s="342">
        <f t="shared" si="3"/>
        <v>0</v>
      </c>
      <c r="T48" s="343">
        <f>S48*'Cash-flow PLAN'!$D$57/12</f>
        <v>0</v>
      </c>
    </row>
    <row r="49" spans="2:20" ht="14.1">
      <c r="B49" s="346">
        <v>46539</v>
      </c>
      <c r="C49" s="341"/>
      <c r="D49" s="342">
        <f t="shared" si="0"/>
        <v>-16365002</v>
      </c>
      <c r="E49" s="343">
        <f>D49*'Cash-flow PLAN'!$D$54/12</f>
        <v>-143193.76749999999</v>
      </c>
      <c r="G49" s="346">
        <v>46539</v>
      </c>
      <c r="H49" s="341">
        <v>0</v>
      </c>
      <c r="I49" s="342">
        <f t="shared" si="1"/>
        <v>0</v>
      </c>
      <c r="J49" s="343">
        <f>I49*'Cash-flow M 22.7.'!$D$58/12</f>
        <v>0</v>
      </c>
      <c r="L49" s="346">
        <v>46539</v>
      </c>
      <c r="M49" s="341">
        <v>0</v>
      </c>
      <c r="N49" s="342">
        <f t="shared" si="2"/>
        <v>0</v>
      </c>
      <c r="O49" s="343">
        <f>N49*'Cash-flow PLAN'!$D$56/12</f>
        <v>0</v>
      </c>
      <c r="Q49" s="346">
        <v>46539</v>
      </c>
      <c r="R49" s="341">
        <v>0</v>
      </c>
      <c r="S49" s="342">
        <f t="shared" si="3"/>
        <v>0</v>
      </c>
      <c r="T49" s="343">
        <f>S49*'Cash-flow PLAN'!$D$57/12</f>
        <v>0</v>
      </c>
    </row>
    <row r="50" spans="2:20" ht="14.1">
      <c r="B50" s="345">
        <v>46569</v>
      </c>
      <c r="C50" s="341"/>
      <c r="D50" s="342">
        <f t="shared" si="0"/>
        <v>-16365002</v>
      </c>
      <c r="E50" s="343">
        <f>D50*'Cash-flow PLAN'!$D$54/12</f>
        <v>-143193.76749999999</v>
      </c>
      <c r="G50" s="345">
        <v>46569</v>
      </c>
      <c r="H50" s="341">
        <v>0</v>
      </c>
      <c r="I50" s="342">
        <f t="shared" si="1"/>
        <v>0</v>
      </c>
      <c r="J50" s="343">
        <f>I50*'Cash-flow M 22.7.'!$D$58/12</f>
        <v>0</v>
      </c>
      <c r="L50" s="345">
        <v>46569</v>
      </c>
      <c r="M50" s="341">
        <v>0</v>
      </c>
      <c r="N50" s="342">
        <f t="shared" si="2"/>
        <v>0</v>
      </c>
      <c r="O50" s="343">
        <f>N50*'Cash-flow PLAN'!$D$56/12</f>
        <v>0</v>
      </c>
      <c r="Q50" s="345">
        <v>46569</v>
      </c>
      <c r="R50" s="341">
        <v>0</v>
      </c>
      <c r="S50" s="342">
        <f t="shared" si="3"/>
        <v>0</v>
      </c>
      <c r="T50" s="343">
        <f>S50*'Cash-flow PLAN'!$D$57/12</f>
        <v>0</v>
      </c>
    </row>
    <row r="51" spans="2:20" ht="14.1">
      <c r="B51" s="345">
        <v>46600</v>
      </c>
      <c r="C51" s="341"/>
      <c r="D51" s="342">
        <f t="shared" si="0"/>
        <v>-16365002</v>
      </c>
      <c r="E51" s="343">
        <f>D51*'Cash-flow PLAN'!$D$54/12</f>
        <v>-143193.76749999999</v>
      </c>
      <c r="G51" s="345">
        <v>46600</v>
      </c>
      <c r="H51" s="341">
        <v>0</v>
      </c>
      <c r="I51" s="342">
        <f t="shared" si="1"/>
        <v>0</v>
      </c>
      <c r="J51" s="343">
        <f>I51*'Cash-flow M 22.7.'!$D$58/12</f>
        <v>0</v>
      </c>
      <c r="L51" s="345">
        <v>46600</v>
      </c>
      <c r="M51" s="341">
        <v>0</v>
      </c>
      <c r="N51" s="342">
        <f t="shared" si="2"/>
        <v>0</v>
      </c>
      <c r="O51" s="343">
        <f>N51*'Cash-flow PLAN'!$D$56/12</f>
        <v>0</v>
      </c>
      <c r="Q51" s="345">
        <v>46600</v>
      </c>
      <c r="R51" s="341">
        <v>0</v>
      </c>
      <c r="S51" s="342">
        <f t="shared" si="3"/>
        <v>0</v>
      </c>
      <c r="T51" s="343">
        <f>S51*'Cash-flow PLAN'!$D$57/12</f>
        <v>0</v>
      </c>
    </row>
    <row r="52" spans="2:20" ht="14.1">
      <c r="B52" s="345">
        <v>46631</v>
      </c>
      <c r="C52" s="341"/>
      <c r="D52" s="342">
        <f t="shared" si="0"/>
        <v>-16365002</v>
      </c>
      <c r="E52" s="343">
        <f>D52*'Cash-flow PLAN'!$D$54/12</f>
        <v>-143193.76749999999</v>
      </c>
      <c r="G52" s="345">
        <v>46631</v>
      </c>
      <c r="H52" s="341">
        <v>0</v>
      </c>
      <c r="I52" s="342">
        <f t="shared" si="1"/>
        <v>0</v>
      </c>
      <c r="J52" s="343">
        <f>I52*'Cash-flow M 22.7.'!$D$58/12</f>
        <v>0</v>
      </c>
      <c r="L52" s="345">
        <v>46631</v>
      </c>
      <c r="M52" s="341">
        <v>0</v>
      </c>
      <c r="N52" s="342">
        <f t="shared" si="2"/>
        <v>0</v>
      </c>
      <c r="O52" s="343">
        <f>N52*'Cash-flow PLAN'!$D$56/12</f>
        <v>0</v>
      </c>
      <c r="Q52" s="345">
        <v>46631</v>
      </c>
      <c r="R52" s="341">
        <v>0</v>
      </c>
      <c r="S52" s="342">
        <f t="shared" si="3"/>
        <v>0</v>
      </c>
      <c r="T52" s="343">
        <f>S52*'Cash-flow PLAN'!$D$57/12</f>
        <v>0</v>
      </c>
    </row>
    <row r="53" spans="2:20" ht="14.1">
      <c r="B53" s="345">
        <v>46661</v>
      </c>
      <c r="C53" s="341"/>
      <c r="D53" s="342">
        <f t="shared" si="0"/>
        <v>-16365002</v>
      </c>
      <c r="E53" s="343">
        <f>D53*'Cash-flow PLAN'!$D$54/12</f>
        <v>-143193.76749999999</v>
      </c>
      <c r="G53" s="345">
        <v>46661</v>
      </c>
      <c r="H53" s="341">
        <v>0</v>
      </c>
      <c r="I53" s="342">
        <f t="shared" si="1"/>
        <v>0</v>
      </c>
      <c r="J53" s="343">
        <f>I53*'Cash-flow M 22.7.'!$D$58/12</f>
        <v>0</v>
      </c>
      <c r="L53" s="345">
        <v>46661</v>
      </c>
      <c r="M53" s="341">
        <v>0</v>
      </c>
      <c r="N53" s="342">
        <f t="shared" si="2"/>
        <v>0</v>
      </c>
      <c r="O53" s="343">
        <f>N53*'Cash-flow PLAN'!$D$56/12</f>
        <v>0</v>
      </c>
      <c r="Q53" s="345">
        <v>46661</v>
      </c>
      <c r="R53" s="341">
        <v>0</v>
      </c>
      <c r="S53" s="342">
        <f t="shared" si="3"/>
        <v>0</v>
      </c>
      <c r="T53" s="343">
        <f>S53*'Cash-flow PLAN'!$D$57/12</f>
        <v>0</v>
      </c>
    </row>
    <row r="54" spans="2:20" ht="14.1">
      <c r="B54" s="345">
        <v>46692</v>
      </c>
      <c r="C54" s="341"/>
      <c r="D54" s="342">
        <f t="shared" si="0"/>
        <v>-16365002</v>
      </c>
      <c r="E54" s="343">
        <f>D54*'Cash-flow PLAN'!$D$54/12</f>
        <v>-143193.76749999999</v>
      </c>
      <c r="G54" s="345">
        <v>46692</v>
      </c>
      <c r="H54" s="341">
        <v>0</v>
      </c>
      <c r="I54" s="342">
        <f t="shared" si="1"/>
        <v>0</v>
      </c>
      <c r="J54" s="343">
        <f>I54*'Cash-flow M 22.7.'!$D$58/12</f>
        <v>0</v>
      </c>
      <c r="L54" s="345">
        <v>46692</v>
      </c>
      <c r="M54" s="341">
        <v>0</v>
      </c>
      <c r="N54" s="342">
        <f t="shared" si="2"/>
        <v>0</v>
      </c>
      <c r="O54" s="343">
        <f>N54*'Cash-flow PLAN'!$D$56/12</f>
        <v>0</v>
      </c>
      <c r="Q54" s="345">
        <v>46692</v>
      </c>
      <c r="R54" s="341">
        <v>0</v>
      </c>
      <c r="S54" s="342">
        <f t="shared" si="3"/>
        <v>0</v>
      </c>
      <c r="T54" s="343">
        <f>S54*'Cash-flow PLAN'!$D$57/12</f>
        <v>0</v>
      </c>
    </row>
    <row r="55" spans="2:20" ht="14.1">
      <c r="B55" s="345">
        <v>46722</v>
      </c>
      <c r="C55" s="341"/>
      <c r="D55" s="342">
        <f t="shared" si="0"/>
        <v>-16365002</v>
      </c>
      <c r="E55" s="343">
        <f>D55*'Cash-flow PLAN'!$D$54/12</f>
        <v>-143193.76749999999</v>
      </c>
      <c r="G55" s="345">
        <v>46722</v>
      </c>
      <c r="H55" s="341">
        <v>0</v>
      </c>
      <c r="I55" s="342">
        <f t="shared" si="1"/>
        <v>0</v>
      </c>
      <c r="J55" s="343">
        <f>I55*'Cash-flow M 22.7.'!$D$58/12</f>
        <v>0</v>
      </c>
      <c r="L55" s="345">
        <v>46722</v>
      </c>
      <c r="M55" s="341">
        <v>0</v>
      </c>
      <c r="N55" s="342">
        <f t="shared" si="2"/>
        <v>0</v>
      </c>
      <c r="O55" s="343">
        <f>N55*'Cash-flow PLAN'!$D$56/12</f>
        <v>0</v>
      </c>
      <c r="Q55" s="345">
        <v>46722</v>
      </c>
      <c r="R55" s="341">
        <v>0</v>
      </c>
      <c r="S55" s="342">
        <f t="shared" si="3"/>
        <v>0</v>
      </c>
      <c r="T55" s="343">
        <f>S55*'Cash-flow PLAN'!$D$57/12</f>
        <v>0</v>
      </c>
    </row>
    <row r="56" spans="2:20" ht="14.1">
      <c r="B56" s="340">
        <v>46753</v>
      </c>
      <c r="C56" s="341"/>
      <c r="D56" s="342">
        <f t="shared" si="0"/>
        <v>-16365002</v>
      </c>
      <c r="E56" s="343">
        <f>D56*'Cash-flow PLAN'!$D$54/12</f>
        <v>-143193.76749999999</v>
      </c>
      <c r="G56" s="340">
        <v>46753</v>
      </c>
      <c r="H56" s="341">
        <v>0</v>
      </c>
      <c r="I56" s="342">
        <f t="shared" si="1"/>
        <v>0</v>
      </c>
      <c r="J56" s="343">
        <f>I56*'Cash-flow M 22.7.'!$D$58/12</f>
        <v>0</v>
      </c>
      <c r="L56" s="340">
        <v>46753</v>
      </c>
      <c r="M56" s="341">
        <v>0</v>
      </c>
      <c r="N56" s="342">
        <f t="shared" si="2"/>
        <v>0</v>
      </c>
      <c r="O56" s="343">
        <f>N56*'Cash-flow PLAN'!$D$56/12</f>
        <v>0</v>
      </c>
      <c r="Q56" s="340">
        <v>46753</v>
      </c>
      <c r="R56" s="341">
        <v>0</v>
      </c>
      <c r="S56" s="342">
        <f t="shared" si="3"/>
        <v>0</v>
      </c>
      <c r="T56" s="343">
        <f>S56*'Cash-flow PLAN'!$D$57/12</f>
        <v>0</v>
      </c>
    </row>
    <row r="57" spans="2:20" ht="14.1">
      <c r="B57" s="345">
        <v>46784</v>
      </c>
      <c r="C57" s="341"/>
      <c r="D57" s="342">
        <f t="shared" si="0"/>
        <v>-16365002</v>
      </c>
      <c r="E57" s="343">
        <f>D57*'Cash-flow PLAN'!$D$54/12</f>
        <v>-143193.76749999999</v>
      </c>
      <c r="G57" s="345">
        <v>46784</v>
      </c>
      <c r="H57" s="341">
        <v>0</v>
      </c>
      <c r="I57" s="342">
        <f t="shared" si="1"/>
        <v>0</v>
      </c>
      <c r="J57" s="343">
        <f>I57*'Cash-flow M 22.7.'!$D$58/12</f>
        <v>0</v>
      </c>
      <c r="L57" s="345">
        <v>46784</v>
      </c>
      <c r="M57" s="341">
        <v>0</v>
      </c>
      <c r="N57" s="342">
        <f t="shared" si="2"/>
        <v>0</v>
      </c>
      <c r="O57" s="343">
        <f>N57*'Cash-flow PLAN'!$D$56/12</f>
        <v>0</v>
      </c>
      <c r="Q57" s="345">
        <v>46784</v>
      </c>
      <c r="R57" s="341">
        <v>0</v>
      </c>
      <c r="S57" s="342">
        <f t="shared" si="3"/>
        <v>0</v>
      </c>
      <c r="T57" s="343">
        <f>S57*'Cash-flow PLAN'!$D$57/12</f>
        <v>0</v>
      </c>
    </row>
    <row r="58" spans="2:20" ht="14.1">
      <c r="B58" s="345">
        <v>46813</v>
      </c>
      <c r="C58" s="341"/>
      <c r="D58" s="342">
        <f t="shared" si="0"/>
        <v>-16365002</v>
      </c>
      <c r="E58" s="343">
        <f>D58*'Cash-flow PLAN'!$D$54/12</f>
        <v>-143193.76749999999</v>
      </c>
      <c r="G58" s="345">
        <v>46813</v>
      </c>
      <c r="H58" s="341">
        <v>0</v>
      </c>
      <c r="I58" s="342">
        <f t="shared" si="1"/>
        <v>0</v>
      </c>
      <c r="J58" s="343">
        <f>I58*'Cash-flow M 22.7.'!$D$58/12</f>
        <v>0</v>
      </c>
      <c r="L58" s="345">
        <v>46813</v>
      </c>
      <c r="M58" s="341">
        <v>0</v>
      </c>
      <c r="N58" s="342">
        <f t="shared" si="2"/>
        <v>0</v>
      </c>
      <c r="O58" s="343">
        <f>N58*'Cash-flow PLAN'!$D$56/12</f>
        <v>0</v>
      </c>
      <c r="Q58" s="345">
        <v>46813</v>
      </c>
      <c r="R58" s="341">
        <v>0</v>
      </c>
      <c r="S58" s="342">
        <f t="shared" si="3"/>
        <v>0</v>
      </c>
      <c r="T58" s="343">
        <f>S58*'Cash-flow PLAN'!$D$57/12</f>
        <v>0</v>
      </c>
    </row>
    <row r="59" spans="2:20" ht="14.1">
      <c r="B59" s="345">
        <v>46844</v>
      </c>
      <c r="C59" s="341"/>
      <c r="D59" s="342">
        <f t="shared" si="0"/>
        <v>-16365002</v>
      </c>
      <c r="E59" s="343">
        <f>D59*'Cash-flow PLAN'!$D$54/12</f>
        <v>-143193.76749999999</v>
      </c>
      <c r="G59" s="345">
        <v>46844</v>
      </c>
      <c r="H59" s="341">
        <v>0</v>
      </c>
      <c r="I59" s="342">
        <f t="shared" si="1"/>
        <v>0</v>
      </c>
      <c r="J59" s="343">
        <f>I59*'Cash-flow M 22.7.'!$D$58/12</f>
        <v>0</v>
      </c>
      <c r="L59" s="345">
        <v>46844</v>
      </c>
      <c r="M59" s="341">
        <v>0</v>
      </c>
      <c r="N59" s="342">
        <f t="shared" si="2"/>
        <v>0</v>
      </c>
      <c r="O59" s="343">
        <f>N59*'Cash-flow PLAN'!$D$56/12</f>
        <v>0</v>
      </c>
      <c r="Q59" s="345">
        <v>46844</v>
      </c>
      <c r="R59" s="341">
        <v>0</v>
      </c>
      <c r="S59" s="342">
        <f t="shared" si="3"/>
        <v>0</v>
      </c>
      <c r="T59" s="343">
        <f>S59*'Cash-flow PLAN'!$D$57/12</f>
        <v>0</v>
      </c>
    </row>
    <row r="60" spans="2:20" ht="14.1">
      <c r="B60" s="345">
        <v>46874</v>
      </c>
      <c r="C60" s="341"/>
      <c r="D60" s="342">
        <f t="shared" si="0"/>
        <v>-16365002</v>
      </c>
      <c r="E60" s="343">
        <f>D60*'Cash-flow PLAN'!$D$54/12</f>
        <v>-143193.76749999999</v>
      </c>
      <c r="G60" s="345">
        <v>46874</v>
      </c>
      <c r="H60" s="341">
        <v>0</v>
      </c>
      <c r="I60" s="342">
        <f t="shared" si="1"/>
        <v>0</v>
      </c>
      <c r="J60" s="343">
        <f>I60*'Cash-flow M 22.7.'!$D$58/12</f>
        <v>0</v>
      </c>
      <c r="L60" s="345">
        <v>46874</v>
      </c>
      <c r="M60" s="341">
        <v>0</v>
      </c>
      <c r="N60" s="342">
        <f t="shared" si="2"/>
        <v>0</v>
      </c>
      <c r="O60" s="343">
        <f>N60*'Cash-flow PLAN'!$D$56/12</f>
        <v>0</v>
      </c>
      <c r="Q60" s="345">
        <v>46874</v>
      </c>
      <c r="R60" s="341">
        <v>0</v>
      </c>
      <c r="S60" s="342">
        <f t="shared" si="3"/>
        <v>0</v>
      </c>
      <c r="T60" s="343">
        <f>S60*'Cash-flow PLAN'!$D$57/12</f>
        <v>0</v>
      </c>
    </row>
    <row r="61" spans="2:20" ht="14.1">
      <c r="B61" s="346">
        <v>46905</v>
      </c>
      <c r="C61" s="341"/>
      <c r="D61" s="342">
        <f t="shared" si="0"/>
        <v>-16365002</v>
      </c>
      <c r="E61" s="343">
        <f>D61*'Cash-flow PLAN'!$D$54/12</f>
        <v>-143193.76749999999</v>
      </c>
      <c r="G61" s="346">
        <v>46905</v>
      </c>
      <c r="H61" s="341">
        <v>0</v>
      </c>
      <c r="I61" s="342">
        <f t="shared" si="1"/>
        <v>0</v>
      </c>
      <c r="J61" s="343">
        <f>I61*'Cash-flow M 22.7.'!$D$58/12</f>
        <v>0</v>
      </c>
      <c r="L61" s="346">
        <v>46905</v>
      </c>
      <c r="M61" s="341">
        <v>0</v>
      </c>
      <c r="N61" s="342">
        <f t="shared" si="2"/>
        <v>0</v>
      </c>
      <c r="O61" s="343">
        <f>N61*'Cash-flow PLAN'!$D$56/12</f>
        <v>0</v>
      </c>
      <c r="Q61" s="346">
        <v>46905</v>
      </c>
      <c r="R61" s="341">
        <v>0</v>
      </c>
      <c r="S61" s="342">
        <f t="shared" si="3"/>
        <v>0</v>
      </c>
      <c r="T61" s="343">
        <f>S61*'Cash-flow PLAN'!$D$57/12</f>
        <v>0</v>
      </c>
    </row>
    <row r="62" spans="2:20" ht="14.1">
      <c r="B62" s="345">
        <v>46935</v>
      </c>
      <c r="C62" s="341"/>
      <c r="D62" s="342">
        <f t="shared" si="0"/>
        <v>-16365002</v>
      </c>
      <c r="E62" s="343">
        <f>D62*'Cash-flow PLAN'!$D$54/12</f>
        <v>-143193.76749999999</v>
      </c>
      <c r="G62" s="345">
        <v>46935</v>
      </c>
      <c r="H62" s="341">
        <v>0</v>
      </c>
      <c r="I62" s="342">
        <f t="shared" si="1"/>
        <v>0</v>
      </c>
      <c r="J62" s="343">
        <f>I62*'Cash-flow M 22.7.'!$D$58/12</f>
        <v>0</v>
      </c>
      <c r="L62" s="345">
        <v>46935</v>
      </c>
      <c r="M62" s="341">
        <v>0</v>
      </c>
      <c r="N62" s="342">
        <f t="shared" si="2"/>
        <v>0</v>
      </c>
      <c r="O62" s="343">
        <f>N62*'Cash-flow PLAN'!$D$56/12</f>
        <v>0</v>
      </c>
      <c r="Q62" s="345">
        <v>46935</v>
      </c>
      <c r="R62" s="341">
        <v>0</v>
      </c>
      <c r="S62" s="342">
        <f t="shared" si="3"/>
        <v>0</v>
      </c>
      <c r="T62" s="343">
        <f>S62*'Cash-flow PLAN'!$D$57/12</f>
        <v>0</v>
      </c>
    </row>
    <row r="63" spans="2:20" ht="14.1">
      <c r="B63" s="345">
        <v>46966</v>
      </c>
      <c r="C63" s="341"/>
      <c r="D63" s="342">
        <f t="shared" si="0"/>
        <v>-16365002</v>
      </c>
      <c r="E63" s="343">
        <f>D63*'Cash-flow PLAN'!$D$54/12</f>
        <v>-143193.76749999999</v>
      </c>
      <c r="G63" s="345">
        <v>46966</v>
      </c>
      <c r="H63" s="341">
        <v>0</v>
      </c>
      <c r="I63" s="342">
        <f t="shared" si="1"/>
        <v>0</v>
      </c>
      <c r="J63" s="343">
        <f>I63*'Cash-flow M 22.7.'!$D$58/12</f>
        <v>0</v>
      </c>
      <c r="L63" s="345">
        <v>46966</v>
      </c>
      <c r="M63" s="341">
        <v>0</v>
      </c>
      <c r="N63" s="342">
        <f t="shared" si="2"/>
        <v>0</v>
      </c>
      <c r="O63" s="343">
        <f>N63*'Cash-flow PLAN'!$D$56/12</f>
        <v>0</v>
      </c>
      <c r="Q63" s="345">
        <v>46966</v>
      </c>
      <c r="R63" s="341">
        <v>0</v>
      </c>
      <c r="S63" s="342">
        <f t="shared" si="3"/>
        <v>0</v>
      </c>
      <c r="T63" s="343">
        <f>S63*'Cash-flow PLAN'!$D$57/12</f>
        <v>0</v>
      </c>
    </row>
    <row r="64" spans="2:20" ht="14.1">
      <c r="B64" s="345">
        <v>46997</v>
      </c>
      <c r="C64" s="341"/>
      <c r="D64" s="342">
        <f t="shared" si="0"/>
        <v>-16365002</v>
      </c>
      <c r="E64" s="343">
        <f>D64*'Cash-flow PLAN'!$D$54/12</f>
        <v>-143193.76749999999</v>
      </c>
      <c r="G64" s="345">
        <v>46997</v>
      </c>
      <c r="H64" s="341">
        <v>0</v>
      </c>
      <c r="I64" s="342">
        <f t="shared" si="1"/>
        <v>0</v>
      </c>
      <c r="J64" s="343">
        <f>I64*'Cash-flow M 22.7.'!$D$58/12</f>
        <v>0</v>
      </c>
      <c r="L64" s="345">
        <v>46997</v>
      </c>
      <c r="M64" s="341">
        <v>0</v>
      </c>
      <c r="N64" s="342">
        <f t="shared" si="2"/>
        <v>0</v>
      </c>
      <c r="O64" s="343">
        <f>N64*'Cash-flow PLAN'!$D$56/12</f>
        <v>0</v>
      </c>
      <c r="Q64" s="345">
        <v>46997</v>
      </c>
      <c r="R64" s="341">
        <v>0</v>
      </c>
      <c r="S64" s="342">
        <f t="shared" si="3"/>
        <v>0</v>
      </c>
      <c r="T64" s="343">
        <f>S64*'Cash-flow PLAN'!$D$57/12</f>
        <v>0</v>
      </c>
    </row>
    <row r="65" spans="2:20" ht="14.1">
      <c r="B65" s="345">
        <v>47027</v>
      </c>
      <c r="C65" s="341"/>
      <c r="D65" s="342">
        <f t="shared" si="0"/>
        <v>-16365002</v>
      </c>
      <c r="E65" s="343">
        <f>D65*'Cash-flow PLAN'!$D$54/12</f>
        <v>-143193.76749999999</v>
      </c>
      <c r="G65" s="345">
        <v>47027</v>
      </c>
      <c r="H65" s="341">
        <v>0</v>
      </c>
      <c r="I65" s="342">
        <f t="shared" si="1"/>
        <v>0</v>
      </c>
      <c r="J65" s="343">
        <f>I65*'Cash-flow M 22.7.'!$D$58/12</f>
        <v>0</v>
      </c>
      <c r="L65" s="345">
        <v>47027</v>
      </c>
      <c r="M65" s="341">
        <v>0</v>
      </c>
      <c r="N65" s="342">
        <f t="shared" si="2"/>
        <v>0</v>
      </c>
      <c r="O65" s="343">
        <f>N65*'Cash-flow PLAN'!$D$56/12</f>
        <v>0</v>
      </c>
      <c r="Q65" s="345">
        <v>47027</v>
      </c>
      <c r="R65" s="341">
        <v>0</v>
      </c>
      <c r="S65" s="342">
        <f t="shared" si="3"/>
        <v>0</v>
      </c>
      <c r="T65" s="343">
        <f>S65*'Cash-flow PLAN'!$D$57/12</f>
        <v>0</v>
      </c>
    </row>
    <row r="66" spans="2:20" ht="14.1">
      <c r="B66" s="345">
        <v>47058</v>
      </c>
      <c r="C66" s="341"/>
      <c r="D66" s="342">
        <f t="shared" si="0"/>
        <v>-16365002</v>
      </c>
      <c r="E66" s="343">
        <f>D66*'Cash-flow PLAN'!$D$54/12</f>
        <v>-143193.76749999999</v>
      </c>
      <c r="G66" s="345">
        <v>47058</v>
      </c>
      <c r="H66" s="341">
        <v>0</v>
      </c>
      <c r="I66" s="342">
        <f t="shared" si="1"/>
        <v>0</v>
      </c>
      <c r="J66" s="343">
        <f>I66*'Cash-flow M 22.7.'!$D$58/12</f>
        <v>0</v>
      </c>
      <c r="L66" s="345">
        <v>47058</v>
      </c>
      <c r="M66" s="341">
        <v>0</v>
      </c>
      <c r="N66" s="342">
        <f t="shared" si="2"/>
        <v>0</v>
      </c>
      <c r="O66" s="343">
        <f>N66*'Cash-flow PLAN'!$D$56/12</f>
        <v>0</v>
      </c>
      <c r="Q66" s="345">
        <v>47058</v>
      </c>
      <c r="R66" s="341">
        <v>0</v>
      </c>
      <c r="S66" s="342">
        <f t="shared" si="3"/>
        <v>0</v>
      </c>
      <c r="T66" s="343">
        <f>S66*'Cash-flow PLAN'!$D$57/12</f>
        <v>0</v>
      </c>
    </row>
    <row r="67" spans="2:20" ht="14.1">
      <c r="B67" s="345">
        <v>47088</v>
      </c>
      <c r="C67" s="368"/>
      <c r="D67" s="342">
        <f t="shared" si="0"/>
        <v>-16365002</v>
      </c>
      <c r="E67" s="343">
        <f>D67*'Cash-flow PLAN'!$D$54/12</f>
        <v>-143193.76749999999</v>
      </c>
      <c r="G67" s="345">
        <v>47088</v>
      </c>
      <c r="H67" s="341">
        <v>0</v>
      </c>
      <c r="I67" s="342">
        <f t="shared" si="1"/>
        <v>0</v>
      </c>
      <c r="J67" s="343">
        <f>I67*'Cash-flow M 22.7.'!$D$58/12</f>
        <v>0</v>
      </c>
      <c r="L67" s="345">
        <v>47088</v>
      </c>
      <c r="M67" s="341">
        <v>0</v>
      </c>
      <c r="N67" s="342">
        <f t="shared" si="2"/>
        <v>0</v>
      </c>
      <c r="O67" s="343">
        <f>N67*'Cash-flow PLAN'!$D$56/12</f>
        <v>0</v>
      </c>
      <c r="Q67" s="345">
        <v>47088</v>
      </c>
      <c r="R67" s="341">
        <v>0</v>
      </c>
      <c r="S67" s="342">
        <f t="shared" si="3"/>
        <v>0</v>
      </c>
      <c r="T67" s="343">
        <f>S67*'Cash-flow PLAN'!$D$57/12</f>
        <v>0</v>
      </c>
    </row>
    <row r="68" spans="2:20" ht="14.1">
      <c r="B68" s="340">
        <v>47119</v>
      </c>
      <c r="C68" s="368"/>
      <c r="D68" s="342">
        <f t="shared" si="0"/>
        <v>-16365002</v>
      </c>
      <c r="E68" s="343">
        <f>D68*'Cash-flow PLAN'!$D$54/12</f>
        <v>-143193.76749999999</v>
      </c>
      <c r="G68" s="340">
        <v>47119</v>
      </c>
      <c r="H68" s="341">
        <v>0</v>
      </c>
      <c r="I68" s="342">
        <f t="shared" si="1"/>
        <v>0</v>
      </c>
      <c r="J68" s="343">
        <f>I68*'Cash-flow M 22.7.'!$D$58/12</f>
        <v>0</v>
      </c>
      <c r="L68" s="340">
        <v>47119</v>
      </c>
      <c r="M68" s="341">
        <v>0</v>
      </c>
      <c r="N68" s="342">
        <f t="shared" si="2"/>
        <v>0</v>
      </c>
      <c r="O68" s="343">
        <f>N68*'Cash-flow PLAN'!$D$56/12</f>
        <v>0</v>
      </c>
      <c r="Q68" s="340">
        <v>47119</v>
      </c>
      <c r="R68" s="341">
        <v>0</v>
      </c>
      <c r="S68" s="342">
        <f t="shared" si="3"/>
        <v>0</v>
      </c>
      <c r="T68" s="343">
        <f>S68*'Cash-flow PLAN'!$D$57/12</f>
        <v>0</v>
      </c>
    </row>
    <row r="69" spans="2:20" ht="14.1">
      <c r="B69" s="345">
        <v>47150</v>
      </c>
      <c r="C69" s="368"/>
      <c r="D69" s="342">
        <f t="shared" si="0"/>
        <v>-16365002</v>
      </c>
      <c r="E69" s="343">
        <f>D69*'Cash-flow PLAN'!$D$54/12</f>
        <v>-143193.76749999999</v>
      </c>
      <c r="G69" s="345">
        <v>47150</v>
      </c>
      <c r="H69" s="341">
        <v>0</v>
      </c>
      <c r="I69" s="342">
        <f t="shared" si="1"/>
        <v>0</v>
      </c>
      <c r="J69" s="343">
        <f>I69*'Cash-flow M 22.7.'!$D$58/12</f>
        <v>0</v>
      </c>
      <c r="L69" s="345">
        <v>47150</v>
      </c>
      <c r="M69" s="341">
        <v>0</v>
      </c>
      <c r="N69" s="342">
        <f t="shared" si="2"/>
        <v>0</v>
      </c>
      <c r="O69" s="343">
        <f>N69*'Cash-flow PLAN'!$D$56/12</f>
        <v>0</v>
      </c>
      <c r="Q69" s="345">
        <v>47150</v>
      </c>
      <c r="R69" s="341">
        <v>0</v>
      </c>
      <c r="S69" s="342">
        <f t="shared" si="3"/>
        <v>0</v>
      </c>
      <c r="T69" s="343">
        <f>S69*'Cash-flow PLAN'!$D$57/12</f>
        <v>0</v>
      </c>
    </row>
    <row r="70" spans="2:20" ht="14.1">
      <c r="B70" s="345">
        <v>47178</v>
      </c>
      <c r="C70" s="368"/>
      <c r="D70" s="342">
        <f t="shared" si="0"/>
        <v>-16365002</v>
      </c>
      <c r="E70" s="343">
        <f>D70*'Cash-flow PLAN'!$D$54/12</f>
        <v>-143193.76749999999</v>
      </c>
      <c r="G70" s="345">
        <v>47178</v>
      </c>
      <c r="H70" s="341">
        <v>0</v>
      </c>
      <c r="I70" s="342">
        <f t="shared" si="1"/>
        <v>0</v>
      </c>
      <c r="J70" s="343">
        <f>I70*'Cash-flow M 22.7.'!$D$58/12</f>
        <v>0</v>
      </c>
      <c r="L70" s="345">
        <v>47178</v>
      </c>
      <c r="M70" s="341">
        <v>0</v>
      </c>
      <c r="N70" s="342">
        <f t="shared" si="2"/>
        <v>0</v>
      </c>
      <c r="O70" s="343">
        <f>N70*'Cash-flow PLAN'!$D$56/12</f>
        <v>0</v>
      </c>
      <c r="Q70" s="345">
        <v>47178</v>
      </c>
      <c r="R70" s="341">
        <v>0</v>
      </c>
      <c r="S70" s="342">
        <f t="shared" si="3"/>
        <v>0</v>
      </c>
      <c r="T70" s="343">
        <f>S70*'Cash-flow PLAN'!$D$57/12</f>
        <v>0</v>
      </c>
    </row>
    <row r="71" spans="2:20" ht="14.1">
      <c r="B71" s="345">
        <v>47209</v>
      </c>
      <c r="C71" s="368"/>
      <c r="D71" s="342">
        <f t="shared" si="0"/>
        <v>-16365002</v>
      </c>
      <c r="E71" s="343">
        <f>D71*'Cash-flow PLAN'!$D$54/12</f>
        <v>-143193.76749999999</v>
      </c>
      <c r="G71" s="345">
        <v>47209</v>
      </c>
      <c r="H71" s="341">
        <v>0</v>
      </c>
      <c r="I71" s="342">
        <f t="shared" si="1"/>
        <v>0</v>
      </c>
      <c r="J71" s="343">
        <f>I71*'Cash-flow M 22.7.'!$D$58/12</f>
        <v>0</v>
      </c>
      <c r="L71" s="345">
        <v>47209</v>
      </c>
      <c r="M71" s="341">
        <v>0</v>
      </c>
      <c r="N71" s="342">
        <f t="shared" si="2"/>
        <v>0</v>
      </c>
      <c r="O71" s="343">
        <f>N71*'Cash-flow PLAN'!$D$56/12</f>
        <v>0</v>
      </c>
      <c r="Q71" s="345">
        <v>47209</v>
      </c>
      <c r="R71" s="341">
        <v>0</v>
      </c>
      <c r="S71" s="342">
        <f t="shared" si="3"/>
        <v>0</v>
      </c>
      <c r="T71" s="343">
        <f>S71*'Cash-flow PLAN'!$D$57/12</f>
        <v>0</v>
      </c>
    </row>
    <row r="72" spans="2:20" ht="14.1">
      <c r="B72" s="345">
        <v>47239</v>
      </c>
      <c r="C72" s="368"/>
      <c r="D72" s="342">
        <f t="shared" si="0"/>
        <v>-16365002</v>
      </c>
      <c r="E72" s="343">
        <f>D72*'Cash-flow PLAN'!$D$54/12</f>
        <v>-143193.76749999999</v>
      </c>
      <c r="G72" s="345">
        <v>47239</v>
      </c>
      <c r="H72" s="341">
        <v>0</v>
      </c>
      <c r="I72" s="342">
        <f t="shared" si="1"/>
        <v>0</v>
      </c>
      <c r="J72" s="343">
        <f>I72*'Cash-flow M 22.7.'!$D$58/12</f>
        <v>0</v>
      </c>
      <c r="L72" s="345">
        <v>47239</v>
      </c>
      <c r="M72" s="341">
        <v>0</v>
      </c>
      <c r="N72" s="342">
        <f t="shared" si="2"/>
        <v>0</v>
      </c>
      <c r="O72" s="343">
        <f>N72*'Cash-flow PLAN'!$D$56/12</f>
        <v>0</v>
      </c>
      <c r="Q72" s="345">
        <v>47239</v>
      </c>
      <c r="R72" s="341">
        <v>0</v>
      </c>
      <c r="S72" s="342">
        <f t="shared" si="3"/>
        <v>0</v>
      </c>
      <c r="T72" s="343">
        <f>S72*'Cash-flow PLAN'!$D$57/12</f>
        <v>0</v>
      </c>
    </row>
    <row r="73" spans="2:20" ht="14.1">
      <c r="B73" s="346">
        <v>47270</v>
      </c>
      <c r="C73" s="368"/>
      <c r="D73" s="342">
        <f t="shared" si="0"/>
        <v>-16365002</v>
      </c>
      <c r="E73" s="343">
        <f>D73*'Cash-flow PLAN'!$D$54/12</f>
        <v>-143193.76749999999</v>
      </c>
      <c r="G73" s="346">
        <v>47270</v>
      </c>
      <c r="H73" s="341">
        <v>0</v>
      </c>
      <c r="I73" s="342">
        <f t="shared" si="1"/>
        <v>0</v>
      </c>
      <c r="J73" s="343">
        <f>I73*'Cash-flow M 22.7.'!$D$58/12</f>
        <v>0</v>
      </c>
      <c r="L73" s="346">
        <v>47270</v>
      </c>
      <c r="M73" s="341">
        <v>0</v>
      </c>
      <c r="N73" s="342">
        <f t="shared" si="2"/>
        <v>0</v>
      </c>
      <c r="O73" s="343">
        <f>N73*'Cash-flow PLAN'!$D$56/12</f>
        <v>0</v>
      </c>
      <c r="Q73" s="346">
        <v>47270</v>
      </c>
      <c r="R73" s="341">
        <v>0</v>
      </c>
      <c r="S73" s="342">
        <f t="shared" si="3"/>
        <v>0</v>
      </c>
      <c r="T73" s="343">
        <f>S73*'Cash-flow PLAN'!$D$57/12</f>
        <v>0</v>
      </c>
    </row>
    <row r="74" spans="2:20" ht="14.1">
      <c r="B74" s="345">
        <v>47300</v>
      </c>
      <c r="C74" s="368"/>
      <c r="D74" s="342">
        <f t="shared" si="0"/>
        <v>-16365002</v>
      </c>
      <c r="E74" s="343">
        <f>D74*'Cash-flow PLAN'!$D$54/12</f>
        <v>-143193.76749999999</v>
      </c>
      <c r="G74" s="345">
        <v>47300</v>
      </c>
      <c r="H74" s="341">
        <v>0</v>
      </c>
      <c r="I74" s="342">
        <f t="shared" si="1"/>
        <v>0</v>
      </c>
      <c r="J74" s="343">
        <f>I74*'Cash-flow M 22.7.'!$D$58/12</f>
        <v>0</v>
      </c>
      <c r="L74" s="345">
        <v>47300</v>
      </c>
      <c r="M74" s="341">
        <v>0</v>
      </c>
      <c r="N74" s="342">
        <f t="shared" si="2"/>
        <v>0</v>
      </c>
      <c r="O74" s="343">
        <f>N74*'Cash-flow PLAN'!$D$56/12</f>
        <v>0</v>
      </c>
      <c r="Q74" s="345">
        <v>47300</v>
      </c>
      <c r="R74" s="341">
        <v>0</v>
      </c>
      <c r="S74" s="342">
        <f t="shared" si="3"/>
        <v>0</v>
      </c>
      <c r="T74" s="343">
        <f>S74*'Cash-flow PLAN'!$D$57/12</f>
        <v>0</v>
      </c>
    </row>
    <row r="75" spans="2:20" ht="14.1">
      <c r="B75" s="345">
        <v>47331</v>
      </c>
      <c r="C75" s="368"/>
      <c r="D75" s="342">
        <f t="shared" si="0"/>
        <v>-16365002</v>
      </c>
      <c r="E75" s="343">
        <f>D75*'Cash-flow PLAN'!$D$54/12</f>
        <v>-143193.76749999999</v>
      </c>
      <c r="G75" s="345">
        <v>47331</v>
      </c>
      <c r="H75" s="341">
        <v>0</v>
      </c>
      <c r="I75" s="342">
        <f t="shared" si="1"/>
        <v>0</v>
      </c>
      <c r="J75" s="343">
        <f>I75*'Cash-flow M 22.7.'!$D$58/12</f>
        <v>0</v>
      </c>
      <c r="L75" s="345">
        <v>47331</v>
      </c>
      <c r="M75" s="341">
        <v>0</v>
      </c>
      <c r="N75" s="342">
        <f t="shared" si="2"/>
        <v>0</v>
      </c>
      <c r="O75" s="343">
        <f>N75*'Cash-flow PLAN'!$D$56/12</f>
        <v>0</v>
      </c>
      <c r="Q75" s="345">
        <v>47331</v>
      </c>
      <c r="R75" s="341">
        <v>0</v>
      </c>
      <c r="S75" s="342">
        <f t="shared" si="3"/>
        <v>0</v>
      </c>
      <c r="T75" s="343">
        <f>S75*'Cash-flow PLAN'!$D$57/12</f>
        <v>0</v>
      </c>
    </row>
    <row r="76" spans="2:20" ht="14.1">
      <c r="B76" s="345">
        <v>47362</v>
      </c>
      <c r="C76" s="368"/>
      <c r="D76" s="342">
        <f t="shared" si="0"/>
        <v>-16365002</v>
      </c>
      <c r="E76" s="343">
        <f>D76*'Cash-flow PLAN'!$D$54/12</f>
        <v>-143193.76749999999</v>
      </c>
      <c r="G76" s="345">
        <v>47362</v>
      </c>
      <c r="H76" s="341">
        <v>0</v>
      </c>
      <c r="I76" s="342">
        <f t="shared" si="1"/>
        <v>0</v>
      </c>
      <c r="J76" s="343">
        <f>I76*'Cash-flow M 22.7.'!$D$58/12</f>
        <v>0</v>
      </c>
      <c r="L76" s="345">
        <v>47362</v>
      </c>
      <c r="M76" s="341">
        <v>0</v>
      </c>
      <c r="N76" s="342">
        <f t="shared" si="2"/>
        <v>0</v>
      </c>
      <c r="O76" s="343">
        <f>N76*'Cash-flow PLAN'!$D$56/12</f>
        <v>0</v>
      </c>
      <c r="Q76" s="345">
        <v>47362</v>
      </c>
      <c r="R76" s="341">
        <v>0</v>
      </c>
      <c r="S76" s="342">
        <f t="shared" si="3"/>
        <v>0</v>
      </c>
      <c r="T76" s="343">
        <f>S76*'Cash-flow PLAN'!$D$57/12</f>
        <v>0</v>
      </c>
    </row>
    <row r="77" spans="2:20" ht="14.1">
      <c r="B77" s="345">
        <v>47392</v>
      </c>
      <c r="C77" s="368"/>
      <c r="D77" s="342">
        <f t="shared" si="0"/>
        <v>-16365002</v>
      </c>
      <c r="E77" s="343">
        <f>D77*'Cash-flow PLAN'!$D$54/12</f>
        <v>-143193.76749999999</v>
      </c>
      <c r="G77" s="345">
        <v>47392</v>
      </c>
      <c r="H77" s="341">
        <v>0</v>
      </c>
      <c r="I77" s="342">
        <f t="shared" si="1"/>
        <v>0</v>
      </c>
      <c r="J77" s="343">
        <f>I77*'Cash-flow M 22.7.'!$D$58/12</f>
        <v>0</v>
      </c>
      <c r="L77" s="345">
        <v>47392</v>
      </c>
      <c r="M77" s="341">
        <v>0</v>
      </c>
      <c r="N77" s="342">
        <f t="shared" si="2"/>
        <v>0</v>
      </c>
      <c r="O77" s="343">
        <f>N77*'Cash-flow PLAN'!$D$56/12</f>
        <v>0</v>
      </c>
      <c r="Q77" s="345">
        <v>47392</v>
      </c>
      <c r="R77" s="341">
        <v>0</v>
      </c>
      <c r="S77" s="342">
        <f t="shared" si="3"/>
        <v>0</v>
      </c>
      <c r="T77" s="343">
        <f>S77*'Cash-flow PLAN'!$D$57/12</f>
        <v>0</v>
      </c>
    </row>
    <row r="78" spans="2:20" ht="14.1">
      <c r="B78" s="345">
        <v>47423</v>
      </c>
      <c r="C78" s="368"/>
      <c r="D78" s="342">
        <f t="shared" si="0"/>
        <v>-16365002</v>
      </c>
      <c r="E78" s="343">
        <f>D78*'Cash-flow PLAN'!$D$54/12</f>
        <v>-143193.76749999999</v>
      </c>
      <c r="G78" s="345">
        <v>47423</v>
      </c>
      <c r="H78" s="341">
        <v>0</v>
      </c>
      <c r="I78" s="342">
        <f t="shared" si="1"/>
        <v>0</v>
      </c>
      <c r="J78" s="343">
        <f>I78*'Cash-flow M 22.7.'!$D$58/12</f>
        <v>0</v>
      </c>
      <c r="L78" s="345">
        <v>47423</v>
      </c>
      <c r="M78" s="341">
        <v>0</v>
      </c>
      <c r="N78" s="342">
        <f t="shared" si="2"/>
        <v>0</v>
      </c>
      <c r="O78" s="343">
        <f>N78*'Cash-flow PLAN'!$D$56/12</f>
        <v>0</v>
      </c>
      <c r="Q78" s="345">
        <v>47423</v>
      </c>
      <c r="R78" s="341">
        <v>0</v>
      </c>
      <c r="S78" s="342">
        <f t="shared" si="3"/>
        <v>0</v>
      </c>
      <c r="T78" s="343">
        <f>S78*'Cash-flow PLAN'!$D$57/12</f>
        <v>0</v>
      </c>
    </row>
    <row r="79" spans="2:20" ht="14.1">
      <c r="B79" s="345">
        <v>47453</v>
      </c>
      <c r="C79" s="368"/>
      <c r="D79" s="342">
        <f>D78</f>
        <v>-16365002</v>
      </c>
      <c r="E79" s="343">
        <f>D79*'Cash-flow PLAN'!$D$54/12</f>
        <v>-143193.76749999999</v>
      </c>
      <c r="G79" s="345">
        <v>47453</v>
      </c>
      <c r="H79" s="341">
        <v>0</v>
      </c>
      <c r="I79" s="342">
        <f>I78</f>
        <v>0</v>
      </c>
      <c r="J79" s="343">
        <f>I79*'Cash-flow M 22.7.'!$D$58/12</f>
        <v>0</v>
      </c>
      <c r="L79" s="345">
        <v>47453</v>
      </c>
      <c r="M79" s="341">
        <v>0</v>
      </c>
      <c r="N79" s="342">
        <f>N78</f>
        <v>0</v>
      </c>
      <c r="O79" s="343">
        <f>N79*'Cash-flow PLAN'!$D$56/12</f>
        <v>0</v>
      </c>
      <c r="Q79" s="345">
        <v>47453</v>
      </c>
      <c r="R79" s="341">
        <v>0</v>
      </c>
      <c r="S79" s="342">
        <f>S78</f>
        <v>0</v>
      </c>
      <c r="T79" s="343">
        <f>S79*'Cash-flow PLAN'!$D$57/12</f>
        <v>0</v>
      </c>
    </row>
  </sheetData>
  <mergeCells count="4">
    <mergeCell ref="B2:E3"/>
    <mergeCell ref="G2:J3"/>
    <mergeCell ref="L2:O3"/>
    <mergeCell ref="Q2:T3"/>
  </mergeCells>
  <pageMargins left="0" right="0" top="0" bottom="0" header="0" footer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CM35"/>
  <sheetViews>
    <sheetView workbookViewId="0"/>
  </sheetViews>
  <sheetFormatPr defaultColWidth="12.625" defaultRowHeight="15" customHeight="1"/>
  <cols>
    <col min="1" max="1" width="2.125" customWidth="1"/>
    <col min="2" max="2" width="6.625" customWidth="1"/>
    <col min="3" max="3" width="36.5" customWidth="1"/>
    <col min="4" max="4" width="9.625" customWidth="1"/>
    <col min="5" max="75" width="5.625" customWidth="1"/>
    <col min="76" max="76" width="10.625" customWidth="1"/>
    <col min="77" max="88" width="5.625" customWidth="1"/>
    <col min="89" max="89" width="8.5" customWidth="1"/>
    <col min="90" max="90" width="13.125" customWidth="1"/>
    <col min="91" max="92" width="5.625" customWidth="1"/>
  </cols>
  <sheetData>
    <row r="1" spans="1:91">
      <c r="E1" s="578">
        <v>2024</v>
      </c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9"/>
      <c r="Q1" s="578">
        <f>E1+1</f>
        <v>2025</v>
      </c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9"/>
      <c r="AC1" s="578">
        <f>Q1+1</f>
        <v>2026</v>
      </c>
      <c r="AD1" s="598"/>
      <c r="AE1" s="598"/>
      <c r="AF1" s="598"/>
      <c r="AG1" s="598"/>
      <c r="AH1" s="598"/>
      <c r="AI1" s="598"/>
      <c r="AJ1" s="598"/>
      <c r="AK1" s="598"/>
      <c r="AL1" s="598"/>
      <c r="AM1" s="598"/>
      <c r="AN1" s="599"/>
      <c r="AO1" s="578">
        <f>AC1+1</f>
        <v>2027</v>
      </c>
      <c r="AP1" s="598"/>
      <c r="AQ1" s="598"/>
      <c r="AR1" s="598"/>
      <c r="AS1" s="598"/>
      <c r="AT1" s="598"/>
      <c r="AU1" s="598"/>
      <c r="AV1" s="598"/>
      <c r="AW1" s="598"/>
      <c r="AX1" s="598"/>
      <c r="AY1" s="598"/>
      <c r="AZ1" s="599"/>
      <c r="BA1" s="578">
        <f>AO1+1</f>
        <v>2028</v>
      </c>
      <c r="BB1" s="598"/>
      <c r="BC1" s="598"/>
      <c r="BD1" s="598"/>
      <c r="BE1" s="598"/>
      <c r="BF1" s="598"/>
      <c r="BG1" s="598"/>
      <c r="BH1" s="598"/>
      <c r="BI1" s="598"/>
      <c r="BJ1" s="598"/>
      <c r="BK1" s="598"/>
      <c r="BL1" s="599"/>
      <c r="BM1" s="578">
        <f>BA1+1</f>
        <v>2029</v>
      </c>
      <c r="BN1" s="598"/>
      <c r="BO1" s="598"/>
      <c r="BP1" s="598"/>
      <c r="BQ1" s="598"/>
      <c r="BR1" s="598"/>
      <c r="BS1" s="598"/>
      <c r="BT1" s="598"/>
      <c r="BU1" s="598"/>
      <c r="BV1" s="598"/>
      <c r="BW1" s="598"/>
      <c r="BX1" s="599"/>
      <c r="BY1" s="578">
        <f>BM1+1</f>
        <v>2030</v>
      </c>
      <c r="BZ1" s="598"/>
      <c r="CA1" s="598"/>
      <c r="CB1" s="598"/>
      <c r="CC1" s="598"/>
      <c r="CD1" s="598"/>
      <c r="CE1" s="598"/>
      <c r="CF1" s="598"/>
      <c r="CG1" s="598"/>
      <c r="CH1" s="598"/>
      <c r="CI1" s="598"/>
      <c r="CJ1" s="599"/>
    </row>
    <row r="2" spans="1:91">
      <c r="E2" s="369">
        <v>45292</v>
      </c>
      <c r="F2" s="369">
        <v>45323</v>
      </c>
      <c r="G2" s="369">
        <v>45352</v>
      </c>
      <c r="H2" s="369">
        <v>45383</v>
      </c>
      <c r="I2" s="369">
        <v>45413</v>
      </c>
      <c r="J2" s="369">
        <v>45444</v>
      </c>
      <c r="K2" s="369">
        <v>45474</v>
      </c>
      <c r="L2" s="369">
        <v>45505</v>
      </c>
      <c r="M2" s="369">
        <v>45536</v>
      </c>
      <c r="N2" s="369">
        <v>45566</v>
      </c>
      <c r="O2" s="369">
        <v>45597</v>
      </c>
      <c r="P2" s="369">
        <v>45627</v>
      </c>
      <c r="Q2" s="369">
        <v>45292</v>
      </c>
      <c r="R2" s="369">
        <v>45323</v>
      </c>
      <c r="S2" s="369">
        <v>45352</v>
      </c>
      <c r="T2" s="369">
        <v>45383</v>
      </c>
      <c r="U2" s="369">
        <v>45413</v>
      </c>
      <c r="V2" s="369">
        <v>45444</v>
      </c>
      <c r="W2" s="369">
        <v>45474</v>
      </c>
      <c r="X2" s="369">
        <v>45505</v>
      </c>
      <c r="Y2" s="369">
        <v>45536</v>
      </c>
      <c r="Z2" s="369">
        <v>45566</v>
      </c>
      <c r="AA2" s="369">
        <v>45597</v>
      </c>
      <c r="AB2" s="369">
        <v>45627</v>
      </c>
      <c r="AC2" s="369">
        <v>45292</v>
      </c>
      <c r="AD2" s="369">
        <v>45323</v>
      </c>
      <c r="AE2" s="369">
        <v>45352</v>
      </c>
      <c r="AF2" s="369">
        <v>45383</v>
      </c>
      <c r="AG2" s="369">
        <v>45413</v>
      </c>
      <c r="AH2" s="369">
        <v>45444</v>
      </c>
      <c r="AI2" s="369">
        <v>45474</v>
      </c>
      <c r="AJ2" s="369">
        <v>45505</v>
      </c>
      <c r="AK2" s="369">
        <v>45536</v>
      </c>
      <c r="AL2" s="369">
        <v>45566</v>
      </c>
      <c r="AM2" s="369">
        <v>45597</v>
      </c>
      <c r="AN2" s="369">
        <v>45627</v>
      </c>
      <c r="AO2" s="369">
        <v>45292</v>
      </c>
      <c r="AP2" s="369">
        <v>45323</v>
      </c>
      <c r="AQ2" s="369">
        <v>45352</v>
      </c>
      <c r="AR2" s="369">
        <v>45383</v>
      </c>
      <c r="AS2" s="369">
        <v>45413</v>
      </c>
      <c r="AT2" s="369">
        <v>45444</v>
      </c>
      <c r="AU2" s="369">
        <v>45474</v>
      </c>
      <c r="AV2" s="369">
        <v>45505</v>
      </c>
      <c r="AW2" s="369">
        <v>45536</v>
      </c>
      <c r="AX2" s="369">
        <v>45566</v>
      </c>
      <c r="AY2" s="369">
        <v>45597</v>
      </c>
      <c r="AZ2" s="369">
        <v>45627</v>
      </c>
      <c r="BA2" s="369">
        <v>45292</v>
      </c>
      <c r="BB2" s="369">
        <v>45323</v>
      </c>
      <c r="BC2" s="369">
        <v>45352</v>
      </c>
      <c r="BD2" s="369">
        <v>45383</v>
      </c>
      <c r="BE2" s="369">
        <v>45413</v>
      </c>
      <c r="BF2" s="369">
        <v>45444</v>
      </c>
      <c r="BG2" s="369">
        <v>45474</v>
      </c>
      <c r="BH2" s="369">
        <v>45505</v>
      </c>
      <c r="BI2" s="369">
        <v>45536</v>
      </c>
      <c r="BJ2" s="369">
        <v>45566</v>
      </c>
      <c r="BK2" s="369">
        <v>45597</v>
      </c>
      <c r="BL2" s="369">
        <v>45627</v>
      </c>
      <c r="BM2" s="369">
        <v>45292</v>
      </c>
      <c r="BN2" s="369">
        <v>45323</v>
      </c>
      <c r="BO2" s="369">
        <v>45352</v>
      </c>
      <c r="BP2" s="369">
        <v>45383</v>
      </c>
      <c r="BQ2" s="369">
        <v>45413</v>
      </c>
      <c r="BR2" s="369">
        <v>45444</v>
      </c>
      <c r="BS2" s="369">
        <v>45474</v>
      </c>
      <c r="BT2" s="369">
        <v>45505</v>
      </c>
      <c r="BU2" s="369">
        <v>45536</v>
      </c>
      <c r="BV2" s="369">
        <v>45566</v>
      </c>
      <c r="BW2" s="369">
        <v>45597</v>
      </c>
      <c r="BX2" s="369">
        <v>45627</v>
      </c>
      <c r="BY2" s="369">
        <v>45292</v>
      </c>
      <c r="BZ2" s="369">
        <v>45323</v>
      </c>
      <c r="CA2" s="369">
        <v>45352</v>
      </c>
      <c r="CB2" s="369">
        <v>45383</v>
      </c>
      <c r="CC2" s="369">
        <v>45413</v>
      </c>
      <c r="CD2" s="369">
        <v>45444</v>
      </c>
      <c r="CE2" s="369">
        <v>45474</v>
      </c>
      <c r="CF2" s="369">
        <v>45505</v>
      </c>
      <c r="CG2" s="369">
        <v>45536</v>
      </c>
      <c r="CH2" s="369">
        <v>45566</v>
      </c>
      <c r="CI2" s="369">
        <v>45597</v>
      </c>
      <c r="CJ2" s="369">
        <v>45627</v>
      </c>
    </row>
    <row r="3" spans="1:91">
      <c r="A3" s="222"/>
      <c r="B3" s="584" t="s">
        <v>204</v>
      </c>
      <c r="C3" s="370" t="s">
        <v>337</v>
      </c>
      <c r="D3" s="371" t="s">
        <v>206</v>
      </c>
      <c r="E3" s="372">
        <f>'Cash-flow PLAN'!E5</f>
        <v>0</v>
      </c>
      <c r="F3" s="372">
        <f>'Cash-flow PLAN'!F5</f>
        <v>0</v>
      </c>
      <c r="G3" s="372">
        <f>'Cash-flow PLAN'!G5</f>
        <v>0</v>
      </c>
      <c r="H3" s="372">
        <f>'Cash-flow PLAN'!H5</f>
        <v>16365002</v>
      </c>
      <c r="I3" s="372">
        <f>'Cash-flow PLAN'!I5</f>
        <v>0</v>
      </c>
      <c r="J3" s="372">
        <f>'Cash-flow PLAN'!J5</f>
        <v>0</v>
      </c>
      <c r="K3" s="372">
        <f>'Cash-flow PLAN'!K5</f>
        <v>0</v>
      </c>
      <c r="L3" s="372">
        <f>'Cash-flow PLAN'!L5</f>
        <v>0</v>
      </c>
      <c r="M3" s="372">
        <f>'Cash-flow PLAN'!M5</f>
        <v>0</v>
      </c>
      <c r="N3" s="372">
        <f>'Cash-flow PLAN'!N5</f>
        <v>0</v>
      </c>
      <c r="O3" s="372">
        <f>'Cash-flow PLAN'!O5</f>
        <v>3000000</v>
      </c>
      <c r="P3" s="372">
        <f>'Cash-flow PLAN'!P5</f>
        <v>0</v>
      </c>
      <c r="Q3" s="372">
        <f>'Cash-flow PLAN'!Q5</f>
        <v>0</v>
      </c>
      <c r="R3" s="372">
        <f>'Cash-flow PLAN'!R5</f>
        <v>0</v>
      </c>
      <c r="S3" s="372">
        <f>'Cash-flow PLAN'!S5</f>
        <v>0</v>
      </c>
      <c r="T3" s="372">
        <f>'Cash-flow PLAN'!T5</f>
        <v>0</v>
      </c>
      <c r="U3" s="372">
        <f>'Cash-flow PLAN'!U5</f>
        <v>0</v>
      </c>
      <c r="V3" s="372">
        <f>'Cash-flow PLAN'!V5</f>
        <v>0</v>
      </c>
      <c r="W3" s="372">
        <f>'Cash-flow PLAN'!W5</f>
        <v>0</v>
      </c>
      <c r="X3" s="372">
        <f>'Cash-flow PLAN'!X5</f>
        <v>0</v>
      </c>
      <c r="Y3" s="372">
        <f>'Cash-flow PLAN'!Y5</f>
        <v>0</v>
      </c>
      <c r="Z3" s="372">
        <f>'Cash-flow PLAN'!Z5</f>
        <v>0</v>
      </c>
      <c r="AA3" s="372">
        <f>'Cash-flow PLAN'!AA5</f>
        <v>0</v>
      </c>
      <c r="AB3" s="372">
        <f>'Cash-flow PLAN'!AB5</f>
        <v>0</v>
      </c>
      <c r="AC3" s="372">
        <f>'Cash-flow PLAN'!AC5</f>
        <v>0</v>
      </c>
      <c r="AD3" s="372">
        <f>'Cash-flow PLAN'!AD5</f>
        <v>0</v>
      </c>
      <c r="AE3" s="372">
        <f>'Cash-flow PLAN'!AE5</f>
        <v>0</v>
      </c>
      <c r="AF3" s="372">
        <f>'Cash-flow PLAN'!AF5</f>
        <v>0</v>
      </c>
      <c r="AG3" s="372">
        <f>'Cash-flow PLAN'!AG5</f>
        <v>0</v>
      </c>
      <c r="AH3" s="372">
        <f>'Cash-flow PLAN'!AH5</f>
        <v>0</v>
      </c>
      <c r="AI3" s="372">
        <f>'Cash-flow PLAN'!AI5</f>
        <v>0</v>
      </c>
      <c r="AJ3" s="372">
        <f>'Cash-flow PLAN'!AJ5</f>
        <v>0</v>
      </c>
      <c r="AK3" s="372">
        <f>'Cash-flow PLAN'!AK5</f>
        <v>0</v>
      </c>
      <c r="AL3" s="372">
        <f>'Cash-flow PLAN'!AL5</f>
        <v>0</v>
      </c>
      <c r="AM3" s="372">
        <f>'Cash-flow PLAN'!AM5</f>
        <v>0</v>
      </c>
      <c r="AN3" s="372">
        <f>'Cash-flow PLAN'!AN5</f>
        <v>0</v>
      </c>
      <c r="AO3" s="372">
        <f>'Cash-flow PLAN'!AO5</f>
        <v>0</v>
      </c>
      <c r="AP3" s="372">
        <f>'Cash-flow PLAN'!AP5</f>
        <v>0</v>
      </c>
      <c r="AQ3" s="372">
        <f>'Cash-flow PLAN'!AQ5</f>
        <v>0</v>
      </c>
      <c r="AR3" s="372">
        <f>'Cash-flow PLAN'!AR5</f>
        <v>0</v>
      </c>
      <c r="AS3" s="372">
        <f>'Cash-flow PLAN'!AS5</f>
        <v>0</v>
      </c>
      <c r="AT3" s="372">
        <f>'Cash-flow PLAN'!AT5</f>
        <v>0</v>
      </c>
      <c r="AU3" s="372">
        <f>'Cash-flow PLAN'!AU5</f>
        <v>0</v>
      </c>
      <c r="AV3" s="372">
        <f>'Cash-flow PLAN'!AV5</f>
        <v>0</v>
      </c>
      <c r="AW3" s="372">
        <f>'Cash-flow PLAN'!AW5</f>
        <v>0</v>
      </c>
      <c r="AX3" s="372">
        <f>'Cash-flow PLAN'!AX5</f>
        <v>0</v>
      </c>
      <c r="AY3" s="372">
        <f>'Cash-flow PLAN'!AY5</f>
        <v>0</v>
      </c>
      <c r="AZ3" s="372">
        <f>'Cash-flow PLAN'!AZ5</f>
        <v>0</v>
      </c>
      <c r="BA3" s="372">
        <f>'Cash-flow PLAN'!BA5</f>
        <v>0</v>
      </c>
      <c r="BB3" s="372">
        <f>'Cash-flow PLAN'!BB5</f>
        <v>0</v>
      </c>
      <c r="BC3" s="372">
        <f>'Cash-flow PLAN'!BC5</f>
        <v>0</v>
      </c>
      <c r="BD3" s="372">
        <f>'Cash-flow PLAN'!BD5</f>
        <v>0</v>
      </c>
      <c r="BE3" s="372">
        <f>'Cash-flow PLAN'!BE5</f>
        <v>0</v>
      </c>
      <c r="BF3" s="372">
        <f>'Cash-flow PLAN'!BF5</f>
        <v>0</v>
      </c>
      <c r="BG3" s="372">
        <f>'Cash-flow PLAN'!BG5</f>
        <v>0</v>
      </c>
      <c r="BH3" s="372">
        <f>'Cash-flow PLAN'!BH5</f>
        <v>0</v>
      </c>
      <c r="BI3" s="372">
        <f>'Cash-flow PLAN'!BI5</f>
        <v>0</v>
      </c>
      <c r="BJ3" s="372">
        <f>'Cash-flow PLAN'!BJ5</f>
        <v>0</v>
      </c>
      <c r="BK3" s="372">
        <f>'Cash-flow PLAN'!BK5</f>
        <v>0</v>
      </c>
      <c r="BL3" s="372">
        <f>'Cash-flow PLAN'!BL5</f>
        <v>0</v>
      </c>
      <c r="BM3" s="372">
        <f>'Cash-flow PLAN'!BM5</f>
        <v>0</v>
      </c>
      <c r="BN3" s="372">
        <f>'Cash-flow PLAN'!BN5</f>
        <v>0</v>
      </c>
      <c r="BO3" s="372">
        <f>'Cash-flow PLAN'!BO5</f>
        <v>0</v>
      </c>
      <c r="BP3" s="372">
        <f>'Cash-flow PLAN'!BP5</f>
        <v>0</v>
      </c>
      <c r="BQ3" s="372">
        <f>'Cash-flow PLAN'!BQ5</f>
        <v>0</v>
      </c>
      <c r="BR3" s="372">
        <f>'Cash-flow PLAN'!BR5</f>
        <v>0</v>
      </c>
      <c r="BS3" s="372">
        <f>'Cash-flow PLAN'!BS5</f>
        <v>0</v>
      </c>
      <c r="BT3" s="372">
        <f>'Cash-flow PLAN'!BT5</f>
        <v>0</v>
      </c>
      <c r="BU3" s="372">
        <f>'Cash-flow PLAN'!BU5</f>
        <v>0</v>
      </c>
      <c r="BV3" s="372">
        <f>'Cash-flow PLAN'!BV5</f>
        <v>0</v>
      </c>
      <c r="BW3" s="372">
        <f>'Cash-flow PLAN'!BW5</f>
        <v>0</v>
      </c>
      <c r="BX3" s="372">
        <f>'Cash-flow PLAN'!BX5</f>
        <v>0</v>
      </c>
      <c r="BY3" s="372"/>
      <c r="BZ3" s="372"/>
      <c r="CA3" s="372">
        <f>'Cash-flow PLAN'!CA5</f>
        <v>0</v>
      </c>
      <c r="CB3" s="372">
        <f>'Cash-flow PLAN'!CB5</f>
        <v>61195006</v>
      </c>
      <c r="CC3" s="372">
        <f>'Cash-flow PLAN'!CC5</f>
        <v>128715673</v>
      </c>
      <c r="CD3" s="372">
        <f>'Cash-flow PLAN'!CD5</f>
        <v>0</v>
      </c>
      <c r="CE3" s="372">
        <f>'Cash-flow PLAN'!CE5</f>
        <v>0</v>
      </c>
      <c r="CF3" s="372">
        <f>'Cash-flow PLAN'!CF5</f>
        <v>0</v>
      </c>
      <c r="CG3" s="372">
        <f>'Cash-flow PLAN'!CG5</f>
        <v>0</v>
      </c>
      <c r="CH3" s="372">
        <f>'Cash-flow PLAN'!CH5</f>
        <v>0</v>
      </c>
      <c r="CI3" s="372">
        <f>'Cash-flow PLAN'!CI5</f>
        <v>0</v>
      </c>
      <c r="CJ3" s="372">
        <f>'Cash-flow PLAN'!CJ5</f>
        <v>0</v>
      </c>
      <c r="CK3" s="373">
        <f>SUM(E3:CJ3)</f>
        <v>209275681</v>
      </c>
      <c r="CL3" s="579">
        <f>CK3+CK6</f>
        <v>209275681</v>
      </c>
      <c r="CM3" s="222"/>
    </row>
    <row r="4" spans="1:91">
      <c r="A4" s="222"/>
      <c r="B4" s="609"/>
      <c r="C4" s="232" t="s">
        <v>68</v>
      </c>
      <c r="D4" s="229" t="s">
        <v>206</v>
      </c>
      <c r="E4" s="374">
        <f>'Cash-flow PLAN'!E6</f>
        <v>0</v>
      </c>
      <c r="F4" s="374">
        <f>'Cash-flow PLAN'!F6</f>
        <v>0</v>
      </c>
      <c r="G4" s="374">
        <f>'Cash-flow PLAN'!G6</f>
        <v>0</v>
      </c>
      <c r="H4" s="374">
        <f>'Cash-flow PLAN'!H6</f>
        <v>0</v>
      </c>
      <c r="I4" s="374">
        <f>'Cash-flow PLAN'!I6</f>
        <v>1000000</v>
      </c>
      <c r="J4" s="374">
        <f>'Cash-flow PLAN'!J6</f>
        <v>0</v>
      </c>
      <c r="K4" s="374">
        <f>'Cash-flow PLAN'!K6</f>
        <v>0</v>
      </c>
      <c r="L4" s="374">
        <f>'Cash-flow PLAN'!L6</f>
        <v>0</v>
      </c>
      <c r="M4" s="374">
        <f>'Cash-flow PLAN'!M6</f>
        <v>0</v>
      </c>
      <c r="N4" s="374">
        <f>'Cash-flow PLAN'!N6</f>
        <v>0</v>
      </c>
      <c r="O4" s="374">
        <f>'Cash-flow PLAN'!O6</f>
        <v>0</v>
      </c>
      <c r="P4" s="374">
        <f>'Cash-flow PLAN'!P6</f>
        <v>2100000</v>
      </c>
      <c r="Q4" s="374">
        <f>'Cash-flow PLAN'!Q6</f>
        <v>0</v>
      </c>
      <c r="R4" s="374">
        <f>'Cash-flow PLAN'!R6</f>
        <v>0</v>
      </c>
      <c r="S4" s="374">
        <f>'Cash-flow PLAN'!S6</f>
        <v>0</v>
      </c>
      <c r="T4" s="374">
        <f>'Cash-flow PLAN'!T6</f>
        <v>0</v>
      </c>
      <c r="U4" s="374">
        <f>'Cash-flow PLAN'!U6</f>
        <v>0</v>
      </c>
      <c r="V4" s="374">
        <f>'Cash-flow PLAN'!V6</f>
        <v>0</v>
      </c>
      <c r="W4" s="374">
        <f>'Cash-flow PLAN'!W6</f>
        <v>0</v>
      </c>
      <c r="X4" s="374">
        <f>'Cash-flow PLAN'!X6</f>
        <v>0</v>
      </c>
      <c r="Y4" s="374">
        <f>'Cash-flow PLAN'!Y6</f>
        <v>0</v>
      </c>
      <c r="Z4" s="374">
        <f>'Cash-flow PLAN'!Z6</f>
        <v>0</v>
      </c>
      <c r="AA4" s="374">
        <f>'Cash-flow PLAN'!AA6</f>
        <v>0</v>
      </c>
      <c r="AB4" s="374">
        <f>'Cash-flow PLAN'!AB6</f>
        <v>0</v>
      </c>
      <c r="AC4" s="374">
        <f>'Cash-flow PLAN'!AC6</f>
        <v>0</v>
      </c>
      <c r="AD4" s="374">
        <f>'Cash-flow PLAN'!AD6</f>
        <v>0</v>
      </c>
      <c r="AE4" s="374">
        <f>'Cash-flow PLAN'!AE6</f>
        <v>0</v>
      </c>
      <c r="AF4" s="374">
        <f>'Cash-flow PLAN'!AF6</f>
        <v>0</v>
      </c>
      <c r="AG4" s="374">
        <f>'Cash-flow PLAN'!AG6</f>
        <v>0</v>
      </c>
      <c r="AH4" s="374">
        <f>'Cash-flow PLAN'!AH6</f>
        <v>0</v>
      </c>
      <c r="AI4" s="374">
        <f>'Cash-flow PLAN'!AI6</f>
        <v>0</v>
      </c>
      <c r="AJ4" s="374">
        <f>'Cash-flow PLAN'!AJ6</f>
        <v>0</v>
      </c>
      <c r="AK4" s="374">
        <f>'Cash-flow PLAN'!AK6</f>
        <v>0</v>
      </c>
      <c r="AL4" s="374">
        <f>'Cash-flow PLAN'!AL6</f>
        <v>0</v>
      </c>
      <c r="AM4" s="374">
        <f>'Cash-flow PLAN'!AM6</f>
        <v>0</v>
      </c>
      <c r="AN4" s="374">
        <f>'Cash-flow PLAN'!AN6</f>
        <v>0</v>
      </c>
      <c r="AO4" s="374">
        <f>'Cash-flow PLAN'!AO6</f>
        <v>0</v>
      </c>
      <c r="AP4" s="374">
        <f>'Cash-flow PLAN'!AP6</f>
        <v>0</v>
      </c>
      <c r="AQ4" s="374">
        <f>'Cash-flow PLAN'!AQ6</f>
        <v>0</v>
      </c>
      <c r="AR4" s="374">
        <f>'Cash-flow PLAN'!AR6</f>
        <v>0</v>
      </c>
      <c r="AS4" s="374">
        <f>'Cash-flow PLAN'!AS6</f>
        <v>0</v>
      </c>
      <c r="AT4" s="374">
        <f>'Cash-flow PLAN'!AT6</f>
        <v>0</v>
      </c>
      <c r="AU4" s="374">
        <f>'Cash-flow PLAN'!AU6</f>
        <v>0</v>
      </c>
      <c r="AV4" s="374">
        <f>'Cash-flow PLAN'!AV6</f>
        <v>0</v>
      </c>
      <c r="AW4" s="374">
        <f>'Cash-flow PLAN'!AW6</f>
        <v>0</v>
      </c>
      <c r="AX4" s="374">
        <f>'Cash-flow PLAN'!AX6</f>
        <v>0</v>
      </c>
      <c r="AY4" s="374">
        <f>'Cash-flow PLAN'!AY6</f>
        <v>0</v>
      </c>
      <c r="AZ4" s="374">
        <f>'Cash-flow PLAN'!AZ6</f>
        <v>0</v>
      </c>
      <c r="BA4" s="374">
        <f>'Cash-flow PLAN'!BA6</f>
        <v>0</v>
      </c>
      <c r="BB4" s="374">
        <f>'Cash-flow PLAN'!BB6</f>
        <v>0</v>
      </c>
      <c r="BC4" s="374">
        <f>'Cash-flow PLAN'!BC6</f>
        <v>0</v>
      </c>
      <c r="BD4" s="374">
        <f>'Cash-flow PLAN'!BD6</f>
        <v>0</v>
      </c>
      <c r="BE4" s="374">
        <f>'Cash-flow PLAN'!BE6</f>
        <v>0</v>
      </c>
      <c r="BF4" s="374">
        <f>'Cash-flow PLAN'!BF6</f>
        <v>0</v>
      </c>
      <c r="BG4" s="374">
        <f>'Cash-flow PLAN'!BG6</f>
        <v>0</v>
      </c>
      <c r="BH4" s="374">
        <f>'Cash-flow PLAN'!BH6</f>
        <v>0</v>
      </c>
      <c r="BI4" s="374">
        <f>'Cash-flow PLAN'!BI6</f>
        <v>0</v>
      </c>
      <c r="BJ4" s="374">
        <f>'Cash-flow PLAN'!BJ6</f>
        <v>0</v>
      </c>
      <c r="BK4" s="374">
        <f>'Cash-flow PLAN'!BK6</f>
        <v>0</v>
      </c>
      <c r="BL4" s="374">
        <f>'Cash-flow PLAN'!BL6</f>
        <v>0</v>
      </c>
      <c r="BM4" s="374">
        <f>'Cash-flow PLAN'!BM6</f>
        <v>0</v>
      </c>
      <c r="BN4" s="374">
        <f>'Cash-flow PLAN'!BN6</f>
        <v>0</v>
      </c>
      <c r="BO4" s="374">
        <f>'Cash-flow PLAN'!BO6</f>
        <v>0</v>
      </c>
      <c r="BP4" s="374">
        <f>'Cash-flow PLAN'!BP6</f>
        <v>0</v>
      </c>
      <c r="BQ4" s="374">
        <f>'Cash-flow PLAN'!BQ6</f>
        <v>0</v>
      </c>
      <c r="BR4" s="374">
        <f>'Cash-flow PLAN'!BR6</f>
        <v>0</v>
      </c>
      <c r="BS4" s="374">
        <f>'Cash-flow PLAN'!BS6</f>
        <v>0</v>
      </c>
      <c r="BT4" s="374">
        <f>'Cash-flow PLAN'!BT6</f>
        <v>0</v>
      </c>
      <c r="BU4" s="374">
        <f>'Cash-flow PLAN'!BU6</f>
        <v>0</v>
      </c>
      <c r="BV4" s="374">
        <f>'Cash-flow PLAN'!BV6</f>
        <v>0</v>
      </c>
      <c r="BW4" s="374">
        <f>'Cash-flow PLAN'!BW6</f>
        <v>0</v>
      </c>
      <c r="BX4" s="374">
        <f>'Cash-flow PLAN'!BX6</f>
        <v>0</v>
      </c>
      <c r="BY4" s="375"/>
      <c r="BZ4" s="375"/>
      <c r="CA4" s="375"/>
      <c r="CB4" s="375"/>
      <c r="CC4" s="375"/>
      <c r="CD4" s="375"/>
      <c r="CE4" s="375"/>
      <c r="CF4" s="375"/>
      <c r="CG4" s="375"/>
      <c r="CH4" s="375"/>
      <c r="CI4" s="375"/>
      <c r="CJ4" s="375"/>
      <c r="CK4" s="376"/>
      <c r="CL4" s="610"/>
      <c r="CM4" s="222"/>
    </row>
    <row r="5" spans="1:91">
      <c r="A5" s="222"/>
      <c r="B5" s="609"/>
      <c r="C5" s="232" t="s">
        <v>68</v>
      </c>
      <c r="D5" s="229" t="s">
        <v>206</v>
      </c>
      <c r="E5" s="374">
        <f>'Cash-flow PLAN'!E7</f>
        <v>0</v>
      </c>
      <c r="F5" s="374">
        <f>'Cash-flow PLAN'!F7</f>
        <v>0</v>
      </c>
      <c r="G5" s="374">
        <f>'Cash-flow PLAN'!G7</f>
        <v>0</v>
      </c>
      <c r="H5" s="374">
        <f>'Cash-flow PLAN'!H7</f>
        <v>0</v>
      </c>
      <c r="I5" s="374">
        <f>'Cash-flow PLAN'!I7</f>
        <v>0</v>
      </c>
      <c r="J5" s="374">
        <f>'Cash-flow PLAN'!J7</f>
        <v>0</v>
      </c>
      <c r="K5" s="374">
        <f>'Cash-flow PLAN'!K7</f>
        <v>0</v>
      </c>
      <c r="L5" s="374">
        <f>'Cash-flow PLAN'!L7</f>
        <v>0</v>
      </c>
      <c r="M5" s="374">
        <f>'Cash-flow PLAN'!M7</f>
        <v>0</v>
      </c>
      <c r="N5" s="374">
        <f>'Cash-flow PLAN'!N7</f>
        <v>0</v>
      </c>
      <c r="O5" s="374">
        <f>'Cash-flow PLAN'!O7</f>
        <v>0</v>
      </c>
      <c r="P5" s="374">
        <f>'Cash-flow PLAN'!P7</f>
        <v>0</v>
      </c>
      <c r="Q5" s="374">
        <f>'Cash-flow PLAN'!Q7</f>
        <v>0</v>
      </c>
      <c r="R5" s="374">
        <f>'Cash-flow PLAN'!R7</f>
        <v>0</v>
      </c>
      <c r="S5" s="374">
        <f>'Cash-flow PLAN'!S7</f>
        <v>0</v>
      </c>
      <c r="T5" s="374">
        <f>'Cash-flow PLAN'!T7</f>
        <v>0</v>
      </c>
      <c r="U5" s="374">
        <f>'Cash-flow PLAN'!U7</f>
        <v>0</v>
      </c>
      <c r="V5" s="374">
        <f>'Cash-flow PLAN'!V7</f>
        <v>0</v>
      </c>
      <c r="W5" s="374">
        <f>'Cash-flow PLAN'!W7</f>
        <v>0</v>
      </c>
      <c r="X5" s="374">
        <f>'Cash-flow PLAN'!X7</f>
        <v>0</v>
      </c>
      <c r="Y5" s="374">
        <f>'Cash-flow PLAN'!Y7</f>
        <v>0</v>
      </c>
      <c r="Z5" s="374">
        <f>'Cash-flow PLAN'!Z7</f>
        <v>0</v>
      </c>
      <c r="AA5" s="374">
        <f>'Cash-flow PLAN'!AA7</f>
        <v>0</v>
      </c>
      <c r="AB5" s="374">
        <f>'Cash-flow PLAN'!AB7</f>
        <v>0</v>
      </c>
      <c r="AC5" s="374">
        <f>'Cash-flow PLAN'!AC7</f>
        <v>0</v>
      </c>
      <c r="AD5" s="374">
        <f>'Cash-flow PLAN'!AD7</f>
        <v>0</v>
      </c>
      <c r="AE5" s="374">
        <f>'Cash-flow PLAN'!AE7</f>
        <v>0</v>
      </c>
      <c r="AF5" s="374">
        <f>'Cash-flow PLAN'!AF7</f>
        <v>0</v>
      </c>
      <c r="AG5" s="374">
        <f>'Cash-flow PLAN'!AG7</f>
        <v>0</v>
      </c>
      <c r="AH5" s="374">
        <f>'Cash-flow PLAN'!AH7</f>
        <v>0</v>
      </c>
      <c r="AI5" s="374">
        <f>'Cash-flow PLAN'!AI7</f>
        <v>0</v>
      </c>
      <c r="AJ5" s="374">
        <f>'Cash-flow PLAN'!AJ7</f>
        <v>0</v>
      </c>
      <c r="AK5" s="374">
        <f>'Cash-flow PLAN'!AK7</f>
        <v>0</v>
      </c>
      <c r="AL5" s="374">
        <f>'Cash-flow PLAN'!AL7</f>
        <v>0</v>
      </c>
      <c r="AM5" s="374">
        <f>'Cash-flow PLAN'!AM7</f>
        <v>0</v>
      </c>
      <c r="AN5" s="374">
        <f>'Cash-flow PLAN'!AN7</f>
        <v>0</v>
      </c>
      <c r="AO5" s="374">
        <f>'Cash-flow PLAN'!AO7</f>
        <v>0</v>
      </c>
      <c r="AP5" s="374">
        <f>'Cash-flow PLAN'!AP7</f>
        <v>0</v>
      </c>
      <c r="AQ5" s="374">
        <f>'Cash-flow PLAN'!AQ7</f>
        <v>0</v>
      </c>
      <c r="AR5" s="374">
        <f>'Cash-flow PLAN'!AR7</f>
        <v>0</v>
      </c>
      <c r="AS5" s="374">
        <f>'Cash-flow PLAN'!AS7</f>
        <v>0</v>
      </c>
      <c r="AT5" s="374">
        <f>'Cash-flow PLAN'!AT7</f>
        <v>0</v>
      </c>
      <c r="AU5" s="374">
        <f>'Cash-flow PLAN'!AU7</f>
        <v>0</v>
      </c>
      <c r="AV5" s="374">
        <f>'Cash-flow PLAN'!AV7</f>
        <v>0</v>
      </c>
      <c r="AW5" s="374">
        <f>'Cash-flow PLAN'!AW7</f>
        <v>0</v>
      </c>
      <c r="AX5" s="374">
        <f>'Cash-flow PLAN'!AX7</f>
        <v>0</v>
      </c>
      <c r="AY5" s="374">
        <f>'Cash-flow PLAN'!AY7</f>
        <v>0</v>
      </c>
      <c r="AZ5" s="374">
        <f>'Cash-flow PLAN'!AZ7</f>
        <v>0</v>
      </c>
      <c r="BA5" s="374">
        <f>'Cash-flow PLAN'!BA7</f>
        <v>0</v>
      </c>
      <c r="BB5" s="374">
        <f>'Cash-flow PLAN'!BB7</f>
        <v>0</v>
      </c>
      <c r="BC5" s="374">
        <f>'Cash-flow PLAN'!BC7</f>
        <v>0</v>
      </c>
      <c r="BD5" s="374">
        <f>'Cash-flow PLAN'!BD7</f>
        <v>0</v>
      </c>
      <c r="BE5" s="374">
        <f>'Cash-flow PLAN'!BE7</f>
        <v>0</v>
      </c>
      <c r="BF5" s="374">
        <f>'Cash-flow PLAN'!BF7</f>
        <v>0</v>
      </c>
      <c r="BG5" s="374">
        <f>'Cash-flow PLAN'!BG7</f>
        <v>0</v>
      </c>
      <c r="BH5" s="374">
        <f>'Cash-flow PLAN'!BH7</f>
        <v>0</v>
      </c>
      <c r="BI5" s="374">
        <f>'Cash-flow PLAN'!BI7</f>
        <v>0</v>
      </c>
      <c r="BJ5" s="374">
        <f>'Cash-flow PLAN'!BJ7</f>
        <v>0</v>
      </c>
      <c r="BK5" s="374">
        <f>'Cash-flow PLAN'!BK7</f>
        <v>0</v>
      </c>
      <c r="BL5" s="374">
        <f>'Cash-flow PLAN'!BL7</f>
        <v>0</v>
      </c>
      <c r="BM5" s="374">
        <f>'Cash-flow PLAN'!BM7</f>
        <v>0</v>
      </c>
      <c r="BN5" s="374">
        <f>'Cash-flow PLAN'!BN7</f>
        <v>0</v>
      </c>
      <c r="BO5" s="374">
        <f>'Cash-flow PLAN'!BO7</f>
        <v>0</v>
      </c>
      <c r="BP5" s="374">
        <f>'Cash-flow PLAN'!BP7</f>
        <v>0</v>
      </c>
      <c r="BQ5" s="374">
        <f>'Cash-flow PLAN'!BQ7</f>
        <v>0</v>
      </c>
      <c r="BR5" s="374">
        <f>'Cash-flow PLAN'!BR7</f>
        <v>0</v>
      </c>
      <c r="BS5" s="374">
        <f>'Cash-flow PLAN'!BS7</f>
        <v>0</v>
      </c>
      <c r="BT5" s="374">
        <f>'Cash-flow PLAN'!BT7</f>
        <v>0</v>
      </c>
      <c r="BU5" s="374">
        <f>'Cash-flow PLAN'!BU7</f>
        <v>0</v>
      </c>
      <c r="BV5" s="374">
        <f>'Cash-flow PLAN'!BV7</f>
        <v>0</v>
      </c>
      <c r="BW5" s="374">
        <f>'Cash-flow PLAN'!BW7</f>
        <v>0</v>
      </c>
      <c r="BX5" s="374">
        <f>'Cash-flow PLAN'!BX7</f>
        <v>0</v>
      </c>
      <c r="BY5" s="375"/>
      <c r="BZ5" s="375"/>
      <c r="CA5" s="375"/>
      <c r="CB5" s="375"/>
      <c r="CC5" s="375"/>
      <c r="CD5" s="375"/>
      <c r="CE5" s="375"/>
      <c r="CF5" s="375"/>
      <c r="CG5" s="375"/>
      <c r="CH5" s="375"/>
      <c r="CI5" s="375"/>
      <c r="CJ5" s="375"/>
      <c r="CK5" s="376"/>
      <c r="CL5" s="610"/>
      <c r="CM5" s="222"/>
    </row>
    <row r="6" spans="1:91">
      <c r="A6" s="222"/>
      <c r="B6" s="611"/>
      <c r="C6" s="234" t="s">
        <v>68</v>
      </c>
      <c r="D6" s="235" t="s">
        <v>206</v>
      </c>
      <c r="E6" s="236">
        <f>'Cash-flow PLAN'!E8</f>
        <v>0</v>
      </c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36"/>
      <c r="AV6" s="236"/>
      <c r="AW6" s="236"/>
      <c r="AX6" s="236"/>
      <c r="AY6" s="236"/>
      <c r="AZ6" s="236"/>
      <c r="BA6" s="236"/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6"/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6"/>
      <c r="BZ6" s="236"/>
      <c r="CA6" s="236"/>
      <c r="CB6" s="236"/>
      <c r="CC6" s="236"/>
      <c r="CD6" s="236"/>
      <c r="CE6" s="236"/>
      <c r="CF6" s="236"/>
      <c r="CG6" s="236"/>
      <c r="CH6" s="236"/>
      <c r="CI6" s="236"/>
      <c r="CJ6" s="234"/>
      <c r="CK6" s="377">
        <f>SUM(E6:CJ6)</f>
        <v>0</v>
      </c>
      <c r="CL6" s="612"/>
      <c r="CM6" s="222"/>
    </row>
    <row r="7" spans="1:91" ht="18" customHeight="1">
      <c r="A7" s="222"/>
      <c r="B7" s="581" t="s">
        <v>210</v>
      </c>
      <c r="C7" s="232" t="s">
        <v>338</v>
      </c>
      <c r="D7" s="229" t="s">
        <v>206</v>
      </c>
      <c r="E7" s="378"/>
      <c r="F7" s="378"/>
      <c r="G7" s="378"/>
      <c r="H7" s="378"/>
      <c r="I7" s="378"/>
      <c r="J7" s="378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230"/>
      <c r="CB7" s="230"/>
      <c r="CC7" s="230"/>
      <c r="CD7" s="230"/>
      <c r="CE7" s="230"/>
      <c r="CF7" s="230"/>
      <c r="CG7" s="230"/>
      <c r="CH7" s="230"/>
      <c r="CI7" s="230"/>
      <c r="CJ7" s="232"/>
      <c r="CK7" s="379">
        <f t="shared" ref="CK7:CK10" si="0">SUM(AC7:CJ7)</f>
        <v>0</v>
      </c>
      <c r="CL7" s="380">
        <f t="shared" ref="CL7:CL10" si="1">CK7+CK8</f>
        <v>0</v>
      </c>
      <c r="CM7" s="222"/>
    </row>
    <row r="8" spans="1:91" ht="18" customHeight="1">
      <c r="A8" s="222"/>
      <c r="B8" s="609"/>
      <c r="C8" s="232" t="s">
        <v>339</v>
      </c>
      <c r="D8" s="229" t="s">
        <v>206</v>
      </c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  <c r="S8" s="378"/>
      <c r="T8" s="378"/>
      <c r="U8" s="378"/>
      <c r="V8" s="378"/>
      <c r="W8" s="378"/>
      <c r="X8" s="378"/>
      <c r="Y8" s="378"/>
      <c r="Z8" s="378"/>
      <c r="AA8" s="378"/>
      <c r="AB8" s="378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230"/>
      <c r="BG8" s="230"/>
      <c r="BH8" s="230"/>
      <c r="BI8" s="230"/>
      <c r="BJ8" s="230"/>
      <c r="BK8" s="230"/>
      <c r="BL8" s="230"/>
      <c r="BM8" s="230"/>
      <c r="BN8" s="230"/>
      <c r="BO8" s="230"/>
      <c r="BP8" s="230"/>
      <c r="BQ8" s="230"/>
      <c r="BR8" s="230"/>
      <c r="BS8" s="230"/>
      <c r="BT8" s="230"/>
      <c r="BU8" s="230"/>
      <c r="BV8" s="230"/>
      <c r="BW8" s="230"/>
      <c r="BX8" s="230"/>
      <c r="BY8" s="230"/>
      <c r="BZ8" s="230"/>
      <c r="CA8" s="230"/>
      <c r="CB8" s="230"/>
      <c r="CC8" s="230"/>
      <c r="CD8" s="230"/>
      <c r="CE8" s="230"/>
      <c r="CF8" s="230"/>
      <c r="CG8" s="230"/>
      <c r="CH8" s="230"/>
      <c r="CI8" s="230"/>
      <c r="CJ8" s="232"/>
      <c r="CK8" s="379">
        <f t="shared" si="0"/>
        <v>0</v>
      </c>
      <c r="CL8" s="380">
        <f t="shared" si="1"/>
        <v>0</v>
      </c>
      <c r="CM8" s="222"/>
    </row>
    <row r="9" spans="1:91" ht="18" customHeight="1">
      <c r="A9" s="222"/>
      <c r="B9" s="609"/>
      <c r="C9" s="232" t="s">
        <v>340</v>
      </c>
      <c r="D9" s="229" t="s">
        <v>206</v>
      </c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378"/>
      <c r="AA9" s="378"/>
      <c r="AB9" s="378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2"/>
      <c r="CK9" s="379">
        <f t="shared" si="0"/>
        <v>0</v>
      </c>
      <c r="CL9" s="380">
        <f t="shared" si="1"/>
        <v>0</v>
      </c>
      <c r="CM9" s="222"/>
    </row>
    <row r="10" spans="1:91" ht="18" customHeight="1">
      <c r="A10" s="222"/>
      <c r="B10" s="613"/>
      <c r="C10" s="381" t="s">
        <v>341</v>
      </c>
      <c r="D10" s="382" t="s">
        <v>206</v>
      </c>
      <c r="E10" s="383"/>
      <c r="F10" s="383"/>
      <c r="G10" s="383"/>
      <c r="H10" s="383"/>
      <c r="I10" s="383"/>
      <c r="J10" s="383"/>
      <c r="K10" s="383"/>
      <c r="L10" s="383"/>
      <c r="M10" s="383"/>
      <c r="N10" s="383"/>
      <c r="O10" s="383"/>
      <c r="P10" s="383"/>
      <c r="Q10" s="383"/>
      <c r="R10" s="383"/>
      <c r="S10" s="383"/>
      <c r="T10" s="383"/>
      <c r="U10" s="383"/>
      <c r="V10" s="383"/>
      <c r="W10" s="383"/>
      <c r="X10" s="383"/>
      <c r="Y10" s="383"/>
      <c r="Z10" s="383"/>
      <c r="AA10" s="383"/>
      <c r="AB10" s="383"/>
      <c r="AC10" s="384"/>
      <c r="AD10" s="384"/>
      <c r="AE10" s="384"/>
      <c r="AF10" s="384"/>
      <c r="AG10" s="384"/>
      <c r="AH10" s="384"/>
      <c r="AI10" s="384"/>
      <c r="AJ10" s="384"/>
      <c r="AK10" s="384"/>
      <c r="AL10" s="384"/>
      <c r="AM10" s="384"/>
      <c r="AN10" s="384"/>
      <c r="AO10" s="384"/>
      <c r="AP10" s="384"/>
      <c r="AQ10" s="384"/>
      <c r="AR10" s="384"/>
      <c r="AS10" s="384"/>
      <c r="AT10" s="384"/>
      <c r="AU10" s="384"/>
      <c r="AV10" s="384"/>
      <c r="AW10" s="384"/>
      <c r="AX10" s="384"/>
      <c r="AY10" s="384"/>
      <c r="AZ10" s="384"/>
      <c r="BA10" s="384"/>
      <c r="BB10" s="384"/>
      <c r="BC10" s="384"/>
      <c r="BD10" s="384"/>
      <c r="BE10" s="384"/>
      <c r="BF10" s="384"/>
      <c r="BG10" s="384"/>
      <c r="BH10" s="384"/>
      <c r="BI10" s="384"/>
      <c r="BJ10" s="384"/>
      <c r="BK10" s="384"/>
      <c r="BL10" s="384"/>
      <c r="BM10" s="384"/>
      <c r="BN10" s="384"/>
      <c r="BO10" s="384"/>
      <c r="BP10" s="384"/>
      <c r="BQ10" s="384"/>
      <c r="BR10" s="384"/>
      <c r="BS10" s="384"/>
      <c r="BT10" s="384"/>
      <c r="BU10" s="384"/>
      <c r="BV10" s="384"/>
      <c r="BW10" s="384"/>
      <c r="BX10" s="384"/>
      <c r="BY10" s="384"/>
      <c r="BZ10" s="384"/>
      <c r="CA10" s="384"/>
      <c r="CB10" s="384"/>
      <c r="CC10" s="384"/>
      <c r="CD10" s="384"/>
      <c r="CE10" s="384"/>
      <c r="CF10" s="384"/>
      <c r="CG10" s="384"/>
      <c r="CH10" s="384"/>
      <c r="CI10" s="384"/>
      <c r="CJ10" s="381"/>
      <c r="CK10" s="385">
        <f t="shared" si="0"/>
        <v>0</v>
      </c>
      <c r="CL10" s="386">
        <f t="shared" si="1"/>
        <v>0</v>
      </c>
      <c r="CM10" s="222"/>
    </row>
    <row r="13" spans="1:91">
      <c r="A13" s="512"/>
      <c r="B13" s="513"/>
      <c r="C13" s="387" t="s">
        <v>342</v>
      </c>
      <c r="D13" s="388">
        <v>0.105</v>
      </c>
      <c r="E13" s="514">
        <f>'Cash-flow PLAN'!E54</f>
        <v>0</v>
      </c>
      <c r="F13" s="514">
        <f>'Cash-flow PLAN'!F54</f>
        <v>0</v>
      </c>
      <c r="G13" s="514">
        <f>'Cash-flow PLAN'!G54</f>
        <v>0</v>
      </c>
      <c r="H13" s="514">
        <f>'Cash-flow PLAN'!H54</f>
        <v>0</v>
      </c>
      <c r="I13" s="514">
        <f>'Cash-flow PLAN'!I54</f>
        <v>0</v>
      </c>
      <c r="J13" s="514">
        <f>'Cash-flow PLAN'!J54</f>
        <v>0</v>
      </c>
      <c r="K13" s="514">
        <f>'Cash-flow PLAN'!K54</f>
        <v>0</v>
      </c>
      <c r="L13" s="514">
        <f>'Cash-flow PLAN'!L54</f>
        <v>0</v>
      </c>
      <c r="M13" s="514">
        <f>'Cash-flow PLAN'!M54</f>
        <v>0</v>
      </c>
      <c r="N13" s="514">
        <f>'Cash-flow PLAN'!N54</f>
        <v>0</v>
      </c>
      <c r="O13" s="514">
        <f>'Cash-flow PLAN'!O54</f>
        <v>0</v>
      </c>
      <c r="P13" s="514">
        <f>'Cash-flow PLAN'!P54</f>
        <v>0</v>
      </c>
      <c r="Q13" s="514">
        <f>'Cash-flow PLAN'!Q54</f>
        <v>0</v>
      </c>
      <c r="R13" s="514">
        <f>'Cash-flow PLAN'!R54</f>
        <v>0</v>
      </c>
      <c r="S13" s="514">
        <f>'Cash-flow PLAN'!S54</f>
        <v>0</v>
      </c>
      <c r="T13" s="514">
        <f>'Cash-flow PLAN'!T54</f>
        <v>0</v>
      </c>
      <c r="U13" s="514">
        <f>'Cash-flow PLAN'!U54</f>
        <v>0</v>
      </c>
      <c r="V13" s="514">
        <f>'Cash-flow PLAN'!V54</f>
        <v>0</v>
      </c>
      <c r="W13" s="514">
        <f>'Cash-flow PLAN'!W54</f>
        <v>0</v>
      </c>
      <c r="X13" s="514">
        <f>'Cash-flow PLAN'!X54</f>
        <v>0</v>
      </c>
      <c r="Y13" s="514">
        <f>'Cash-flow PLAN'!Y54</f>
        <v>0</v>
      </c>
      <c r="Z13" s="514">
        <f>'Cash-flow PLAN'!Z54</f>
        <v>0</v>
      </c>
      <c r="AA13" s="514">
        <f>'Cash-flow PLAN'!AA54</f>
        <v>0</v>
      </c>
      <c r="AB13" s="514">
        <f>'Cash-flow PLAN'!AB54</f>
        <v>0</v>
      </c>
      <c r="AC13" s="514">
        <f>'Cash-flow PLAN'!AC54</f>
        <v>0</v>
      </c>
      <c r="AD13" s="514">
        <f>'Cash-flow PLAN'!AD54</f>
        <v>0</v>
      </c>
      <c r="AE13" s="514">
        <f>'Cash-flow PLAN'!AE54</f>
        <v>0</v>
      </c>
      <c r="AF13" s="514">
        <f>'Cash-flow PLAN'!AF54</f>
        <v>0</v>
      </c>
      <c r="AG13" s="514">
        <f>'Cash-flow PLAN'!AG54</f>
        <v>0</v>
      </c>
      <c r="AH13" s="514">
        <f>'Cash-flow PLAN'!AH54</f>
        <v>0</v>
      </c>
      <c r="AI13" s="514">
        <f>'Cash-flow PLAN'!AI54</f>
        <v>0</v>
      </c>
      <c r="AJ13" s="514">
        <f>'Cash-flow PLAN'!AJ54</f>
        <v>0</v>
      </c>
      <c r="AK13" s="514">
        <f>'Cash-flow PLAN'!AK54</f>
        <v>0</v>
      </c>
      <c r="AL13" s="514">
        <f>'Cash-flow PLAN'!AL54</f>
        <v>0</v>
      </c>
      <c r="AM13" s="514">
        <f>'Cash-flow PLAN'!AM54</f>
        <v>0</v>
      </c>
      <c r="AN13" s="514">
        <f>'Cash-flow PLAN'!AN54</f>
        <v>0</v>
      </c>
      <c r="AO13" s="514">
        <f>'Cash-flow PLAN'!AO54</f>
        <v>0</v>
      </c>
      <c r="AP13" s="514">
        <f>'Cash-flow PLAN'!AP54</f>
        <v>0</v>
      </c>
      <c r="AQ13" s="514">
        <f>'Cash-flow PLAN'!AQ54</f>
        <v>0</v>
      </c>
      <c r="AR13" s="514">
        <f>'Cash-flow PLAN'!AR54</f>
        <v>0</v>
      </c>
      <c r="AS13" s="514">
        <f>'Cash-flow PLAN'!AS54</f>
        <v>0</v>
      </c>
      <c r="AT13" s="514">
        <f>'Cash-flow PLAN'!AT54</f>
        <v>0</v>
      </c>
      <c r="AU13" s="514">
        <f>'Cash-flow PLAN'!AU54</f>
        <v>0</v>
      </c>
      <c r="AV13" s="514">
        <f>'Cash-flow PLAN'!AV54</f>
        <v>0</v>
      </c>
      <c r="AW13" s="514">
        <f>'Cash-flow PLAN'!AW54</f>
        <v>0</v>
      </c>
      <c r="AX13" s="514">
        <f>'Cash-flow PLAN'!AX54</f>
        <v>0</v>
      </c>
      <c r="AY13" s="514">
        <f>'Cash-flow PLAN'!AY54</f>
        <v>0</v>
      </c>
      <c r="AZ13" s="514">
        <f>'Cash-flow PLAN'!AZ54</f>
        <v>0</v>
      </c>
      <c r="BA13" s="514">
        <f>'Cash-flow PLAN'!BA54</f>
        <v>0</v>
      </c>
      <c r="BB13" s="514">
        <f>'Cash-flow PLAN'!BB54</f>
        <v>0</v>
      </c>
      <c r="BC13" s="514">
        <f>'Cash-flow PLAN'!BC54</f>
        <v>0</v>
      </c>
      <c r="BD13" s="514">
        <f>'Cash-flow PLAN'!BD54</f>
        <v>0</v>
      </c>
      <c r="BE13" s="514">
        <f>'Cash-flow PLAN'!BE54</f>
        <v>0</v>
      </c>
      <c r="BF13" s="514">
        <f>'Cash-flow PLAN'!BF54</f>
        <v>0</v>
      </c>
      <c r="BG13" s="514">
        <f>'Cash-flow PLAN'!BG54</f>
        <v>0</v>
      </c>
      <c r="BH13" s="514">
        <f>'Cash-flow PLAN'!BH54</f>
        <v>0</v>
      </c>
      <c r="BI13" s="514">
        <f>'Cash-flow PLAN'!BI54</f>
        <v>0</v>
      </c>
      <c r="BJ13" s="514">
        <f>'Cash-flow PLAN'!BJ54</f>
        <v>0</v>
      </c>
      <c r="BK13" s="514">
        <f>'Cash-flow PLAN'!BK54</f>
        <v>0</v>
      </c>
      <c r="BL13" s="514">
        <f>'Cash-flow PLAN'!BL54</f>
        <v>0</v>
      </c>
      <c r="BM13" s="514">
        <f>'Cash-flow PLAN'!BM54</f>
        <v>0</v>
      </c>
      <c r="BN13" s="514">
        <f>'Cash-flow PLAN'!BN54</f>
        <v>0</v>
      </c>
      <c r="BO13" s="514">
        <f>'Cash-flow PLAN'!BO54</f>
        <v>0</v>
      </c>
      <c r="BP13" s="514">
        <f>'Cash-flow PLAN'!BP54</f>
        <v>0</v>
      </c>
      <c r="BQ13" s="514">
        <f>'Cash-flow PLAN'!BQ54</f>
        <v>0</v>
      </c>
      <c r="BR13" s="514">
        <f>'Cash-flow PLAN'!BR54</f>
        <v>0</v>
      </c>
      <c r="BS13" s="514">
        <f>'Cash-flow PLAN'!BS54</f>
        <v>0</v>
      </c>
      <c r="BT13" s="514">
        <f>'Cash-flow PLAN'!BT54</f>
        <v>0</v>
      </c>
      <c r="BU13" s="514">
        <f>'Cash-flow PLAN'!BU54</f>
        <v>0</v>
      </c>
      <c r="BV13" s="514">
        <f>'Cash-flow PLAN'!BV54</f>
        <v>0</v>
      </c>
      <c r="BW13" s="514">
        <f>'Cash-flow PLAN'!BW54</f>
        <v>0</v>
      </c>
      <c r="BX13" s="515">
        <f>'Cash-flow PLAN'!BX54</f>
        <v>0</v>
      </c>
      <c r="BY13" s="516"/>
      <c r="BZ13" s="516"/>
      <c r="CA13" s="516"/>
      <c r="CB13" s="516"/>
      <c r="CC13" s="516"/>
      <c r="CD13" s="516"/>
      <c r="CE13" s="516"/>
      <c r="CF13" s="516"/>
      <c r="CG13" s="516"/>
      <c r="CH13" s="516"/>
      <c r="CI13" s="516"/>
      <c r="CJ13" s="389" t="e" vm="1">
        <f>-'[1]Kopie listu Interest_calculatio'!I41</f>
        <v>#VALUE!</v>
      </c>
      <c r="CK13" s="390" t="e" vm="2">
        <f>SUM(E13:CJ13)</f>
        <v>#VALUE!</v>
      </c>
      <c r="CL13" s="580" t="e" vm="2">
        <f>SUM(CK13:CK20)</f>
        <v>#VALUE!</v>
      </c>
      <c r="CM13" s="512"/>
    </row>
    <row r="14" spans="1:91">
      <c r="A14" s="512"/>
      <c r="B14" s="517"/>
      <c r="C14" s="249" t="s">
        <v>251</v>
      </c>
      <c r="D14" s="275">
        <v>0.105</v>
      </c>
      <c r="E14" s="518"/>
      <c r="F14" s="518"/>
      <c r="G14" s="518"/>
      <c r="H14" s="518"/>
      <c r="I14" s="518"/>
      <c r="J14" s="518"/>
      <c r="K14" s="518"/>
      <c r="L14" s="518"/>
      <c r="M14" s="518"/>
      <c r="N14" s="518"/>
      <c r="O14" s="518"/>
      <c r="P14" s="518"/>
      <c r="Q14" s="518"/>
      <c r="R14" s="518"/>
      <c r="S14" s="518"/>
      <c r="T14" s="518"/>
      <c r="U14" s="518"/>
      <c r="V14" s="518"/>
      <c r="W14" s="518"/>
      <c r="X14" s="518"/>
      <c r="Y14" s="518"/>
      <c r="Z14" s="518"/>
      <c r="AA14" s="518"/>
      <c r="AB14" s="518"/>
      <c r="AC14" s="519"/>
      <c r="AD14" s="519"/>
      <c r="AE14" s="519"/>
      <c r="AF14" s="519"/>
      <c r="AG14" s="519"/>
      <c r="AH14" s="519"/>
      <c r="AI14" s="519"/>
      <c r="AJ14" s="519"/>
      <c r="AK14" s="519"/>
      <c r="AL14" s="519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519"/>
      <c r="BX14" s="519"/>
      <c r="BY14" s="520"/>
      <c r="BZ14" s="520"/>
      <c r="CA14" s="520"/>
      <c r="CB14" s="520"/>
      <c r="CC14" s="520"/>
      <c r="CD14" s="520"/>
      <c r="CE14" s="520"/>
      <c r="CF14" s="520"/>
      <c r="CG14" s="520"/>
      <c r="CH14" s="520"/>
      <c r="CI14" s="520"/>
      <c r="CJ14" s="249"/>
      <c r="CK14" s="391"/>
      <c r="CL14" s="610"/>
      <c r="CM14" s="512"/>
    </row>
    <row r="15" spans="1:91">
      <c r="A15" s="512"/>
      <c r="B15" s="517"/>
      <c r="C15" s="249" t="s">
        <v>252</v>
      </c>
      <c r="D15" s="275">
        <v>0.105</v>
      </c>
      <c r="E15" s="518"/>
      <c r="F15" s="518"/>
      <c r="G15" s="518"/>
      <c r="H15" s="518"/>
      <c r="I15" s="518"/>
      <c r="J15" s="518"/>
      <c r="K15" s="518"/>
      <c r="L15" s="518"/>
      <c r="M15" s="518"/>
      <c r="N15" s="518"/>
      <c r="O15" s="518"/>
      <c r="P15" s="518"/>
      <c r="Q15" s="518"/>
      <c r="R15" s="518"/>
      <c r="S15" s="518"/>
      <c r="T15" s="518"/>
      <c r="U15" s="518"/>
      <c r="V15" s="518"/>
      <c r="W15" s="518"/>
      <c r="X15" s="518"/>
      <c r="Y15" s="518"/>
      <c r="Z15" s="518"/>
      <c r="AA15" s="518"/>
      <c r="AB15" s="518"/>
      <c r="AC15" s="519"/>
      <c r="AD15" s="519"/>
      <c r="AE15" s="519"/>
      <c r="AF15" s="519"/>
      <c r="AG15" s="519"/>
      <c r="AH15" s="519"/>
      <c r="AI15" s="519"/>
      <c r="AJ15" s="519"/>
      <c r="AK15" s="519"/>
      <c r="AL15" s="519"/>
      <c r="AM15" s="519"/>
      <c r="AN15" s="519"/>
      <c r="AO15" s="519"/>
      <c r="AP15" s="519"/>
      <c r="AQ15" s="519"/>
      <c r="AR15" s="519"/>
      <c r="AS15" s="519"/>
      <c r="AT15" s="519"/>
      <c r="AU15" s="519"/>
      <c r="AV15" s="519"/>
      <c r="AW15" s="519"/>
      <c r="AX15" s="519"/>
      <c r="AY15" s="519"/>
      <c r="AZ15" s="519"/>
      <c r="BA15" s="519"/>
      <c r="BB15" s="519"/>
      <c r="BC15" s="519"/>
      <c r="BD15" s="519"/>
      <c r="BE15" s="519"/>
      <c r="BF15" s="519"/>
      <c r="BG15" s="519"/>
      <c r="BH15" s="519"/>
      <c r="BI15" s="519"/>
      <c r="BJ15" s="519"/>
      <c r="BK15" s="519"/>
      <c r="BL15" s="519"/>
      <c r="BM15" s="519"/>
      <c r="BN15" s="519"/>
      <c r="BO15" s="519"/>
      <c r="BP15" s="519"/>
      <c r="BQ15" s="519"/>
      <c r="BR15" s="519"/>
      <c r="BS15" s="519"/>
      <c r="BT15" s="519"/>
      <c r="BU15" s="519"/>
      <c r="BV15" s="519"/>
      <c r="BW15" s="519"/>
      <c r="BX15" s="519"/>
      <c r="BY15" s="520"/>
      <c r="BZ15" s="520"/>
      <c r="CA15" s="520"/>
      <c r="CB15" s="520"/>
      <c r="CC15" s="520"/>
      <c r="CD15" s="520"/>
      <c r="CE15" s="520"/>
      <c r="CF15" s="520"/>
      <c r="CG15" s="520"/>
      <c r="CH15" s="520"/>
      <c r="CI15" s="520"/>
      <c r="CJ15" s="249"/>
      <c r="CK15" s="391"/>
      <c r="CL15" s="610"/>
      <c r="CM15" s="512"/>
    </row>
    <row r="16" spans="1:91">
      <c r="A16" s="512"/>
      <c r="B16" s="517"/>
      <c r="C16" s="249" t="s">
        <v>343</v>
      </c>
      <c r="D16" s="275">
        <v>0.105</v>
      </c>
      <c r="E16" s="518"/>
      <c r="F16" s="518"/>
      <c r="G16" s="518"/>
      <c r="H16" s="518"/>
      <c r="I16" s="518"/>
      <c r="J16" s="518"/>
      <c r="K16" s="518"/>
      <c r="L16" s="518"/>
      <c r="M16" s="518"/>
      <c r="N16" s="518"/>
      <c r="O16" s="518"/>
      <c r="P16" s="518"/>
      <c r="Q16" s="518"/>
      <c r="R16" s="518"/>
      <c r="S16" s="518"/>
      <c r="T16" s="518"/>
      <c r="U16" s="518"/>
      <c r="V16" s="518"/>
      <c r="W16" s="518"/>
      <c r="X16" s="518"/>
      <c r="Y16" s="518"/>
      <c r="Z16" s="518"/>
      <c r="AA16" s="518"/>
      <c r="AB16" s="518"/>
      <c r="AC16" s="520"/>
      <c r="AD16" s="520"/>
      <c r="AE16" s="520"/>
      <c r="AF16" s="520"/>
      <c r="AG16" s="520"/>
      <c r="AH16" s="520"/>
      <c r="AI16" s="520"/>
      <c r="AJ16" s="520"/>
      <c r="AK16" s="520"/>
      <c r="AL16" s="520"/>
      <c r="AM16" s="520"/>
      <c r="AN16" s="520"/>
      <c r="AO16" s="520"/>
      <c r="AP16" s="520"/>
      <c r="AQ16" s="520"/>
      <c r="AR16" s="520"/>
      <c r="AS16" s="520"/>
      <c r="AT16" s="520"/>
      <c r="AU16" s="520"/>
      <c r="AV16" s="520"/>
      <c r="AW16" s="520"/>
      <c r="AX16" s="520"/>
      <c r="AY16" s="520"/>
      <c r="AZ16" s="520"/>
      <c r="BA16" s="520"/>
      <c r="BB16" s="520"/>
      <c r="BC16" s="520"/>
      <c r="BD16" s="520"/>
      <c r="BE16" s="520"/>
      <c r="BF16" s="520"/>
      <c r="BG16" s="520"/>
      <c r="BH16" s="520"/>
      <c r="BI16" s="520"/>
      <c r="BJ16" s="520"/>
      <c r="BK16" s="520"/>
      <c r="BL16" s="520"/>
      <c r="BM16" s="520"/>
      <c r="BN16" s="520"/>
      <c r="BO16" s="520"/>
      <c r="BP16" s="520"/>
      <c r="BQ16" s="520"/>
      <c r="BR16" s="520"/>
      <c r="BS16" s="520"/>
      <c r="BT16" s="520"/>
      <c r="BU16" s="520"/>
      <c r="BV16" s="520"/>
      <c r="BW16" s="520"/>
      <c r="BX16" s="520"/>
      <c r="BY16" s="520"/>
      <c r="BZ16" s="520"/>
      <c r="CA16" s="520"/>
      <c r="CB16" s="520"/>
      <c r="CC16" s="520"/>
      <c r="CD16" s="520"/>
      <c r="CE16" s="520"/>
      <c r="CF16" s="520"/>
      <c r="CG16" s="520"/>
      <c r="CH16" s="520"/>
      <c r="CI16" s="520"/>
      <c r="CJ16" s="249"/>
      <c r="CK16" s="391">
        <f t="shared" ref="CK16:CK20" si="2">SUM(AC16:CJ16)</f>
        <v>0</v>
      </c>
      <c r="CL16" s="610"/>
      <c r="CM16" s="512"/>
    </row>
    <row r="17" spans="1:91">
      <c r="A17" s="512"/>
      <c r="B17" s="517"/>
      <c r="C17" s="249" t="s">
        <v>344</v>
      </c>
      <c r="D17" s="275">
        <v>0.12</v>
      </c>
      <c r="E17" s="518"/>
      <c r="F17" s="518"/>
      <c r="G17" s="518"/>
      <c r="H17" s="518"/>
      <c r="I17" s="518"/>
      <c r="J17" s="518"/>
      <c r="K17" s="518"/>
      <c r="L17" s="518"/>
      <c r="M17" s="518"/>
      <c r="N17" s="518"/>
      <c r="O17" s="518"/>
      <c r="P17" s="518"/>
      <c r="Q17" s="518"/>
      <c r="R17" s="518"/>
      <c r="S17" s="518"/>
      <c r="T17" s="518"/>
      <c r="U17" s="518"/>
      <c r="V17" s="518"/>
      <c r="W17" s="518"/>
      <c r="X17" s="518"/>
      <c r="Y17" s="518"/>
      <c r="Z17" s="518"/>
      <c r="AA17" s="518"/>
      <c r="AB17" s="518"/>
      <c r="AC17" s="520"/>
      <c r="AD17" s="520"/>
      <c r="AE17" s="520"/>
      <c r="AF17" s="520"/>
      <c r="AG17" s="520"/>
      <c r="AH17" s="520"/>
      <c r="AI17" s="520"/>
      <c r="AJ17" s="520"/>
      <c r="AK17" s="520"/>
      <c r="AL17" s="520"/>
      <c r="AM17" s="520"/>
      <c r="AN17" s="520"/>
      <c r="AO17" s="520"/>
      <c r="AP17" s="520"/>
      <c r="AQ17" s="520"/>
      <c r="AR17" s="520"/>
      <c r="AS17" s="520"/>
      <c r="AT17" s="520"/>
      <c r="AU17" s="520"/>
      <c r="AV17" s="520"/>
      <c r="AW17" s="520"/>
      <c r="AX17" s="520"/>
      <c r="AY17" s="520"/>
      <c r="AZ17" s="520"/>
      <c r="BA17" s="520"/>
      <c r="BB17" s="520"/>
      <c r="BC17" s="520"/>
      <c r="BD17" s="520"/>
      <c r="BE17" s="520"/>
      <c r="BF17" s="520"/>
      <c r="BG17" s="520"/>
      <c r="BH17" s="520"/>
      <c r="BI17" s="520"/>
      <c r="BJ17" s="520"/>
      <c r="BK17" s="520"/>
      <c r="BL17" s="520"/>
      <c r="BM17" s="520"/>
      <c r="BN17" s="520"/>
      <c r="BO17" s="520"/>
      <c r="BP17" s="520"/>
      <c r="BQ17" s="520"/>
      <c r="BR17" s="520"/>
      <c r="BS17" s="520"/>
      <c r="BT17" s="520"/>
      <c r="BU17" s="520"/>
      <c r="BV17" s="520"/>
      <c r="BW17" s="520"/>
      <c r="BX17" s="520"/>
      <c r="BY17" s="520"/>
      <c r="BZ17" s="520"/>
      <c r="CA17" s="520"/>
      <c r="CB17" s="520"/>
      <c r="CC17" s="520"/>
      <c r="CD17" s="520"/>
      <c r="CE17" s="520"/>
      <c r="CF17" s="520"/>
      <c r="CG17" s="520"/>
      <c r="CH17" s="520"/>
      <c r="CI17" s="520"/>
      <c r="CJ17" s="249"/>
      <c r="CK17" s="391">
        <f t="shared" si="2"/>
        <v>0</v>
      </c>
      <c r="CL17" s="610"/>
      <c r="CM17" s="512"/>
    </row>
    <row r="18" spans="1:91">
      <c r="A18" s="512"/>
      <c r="B18" s="517"/>
      <c r="C18" s="249" t="s">
        <v>345</v>
      </c>
      <c r="D18" s="275">
        <v>0.12</v>
      </c>
      <c r="E18" s="518"/>
      <c r="F18" s="518"/>
      <c r="G18" s="518"/>
      <c r="H18" s="518"/>
      <c r="I18" s="518"/>
      <c r="J18" s="518"/>
      <c r="K18" s="518"/>
      <c r="L18" s="518"/>
      <c r="M18" s="518"/>
      <c r="N18" s="518"/>
      <c r="O18" s="518"/>
      <c r="P18" s="518"/>
      <c r="Q18" s="518"/>
      <c r="R18" s="518"/>
      <c r="S18" s="518"/>
      <c r="T18" s="518"/>
      <c r="U18" s="518"/>
      <c r="V18" s="518"/>
      <c r="W18" s="518"/>
      <c r="X18" s="518"/>
      <c r="Y18" s="518"/>
      <c r="Z18" s="518"/>
      <c r="AA18" s="518"/>
      <c r="AB18" s="518"/>
      <c r="AC18" s="520"/>
      <c r="AD18" s="520"/>
      <c r="AE18" s="520"/>
      <c r="AF18" s="520"/>
      <c r="AG18" s="520"/>
      <c r="AH18" s="520"/>
      <c r="AI18" s="520"/>
      <c r="AJ18" s="520"/>
      <c r="AK18" s="520"/>
      <c r="AL18" s="520"/>
      <c r="AM18" s="520"/>
      <c r="AN18" s="520"/>
      <c r="AO18" s="520"/>
      <c r="AP18" s="520"/>
      <c r="AQ18" s="520"/>
      <c r="AR18" s="520"/>
      <c r="AS18" s="520"/>
      <c r="AT18" s="520"/>
      <c r="AU18" s="520"/>
      <c r="AV18" s="520"/>
      <c r="AW18" s="520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  <c r="BK18" s="520"/>
      <c r="BL18" s="520"/>
      <c r="BM18" s="520"/>
      <c r="BN18" s="520"/>
      <c r="BO18" s="520"/>
      <c r="BP18" s="520"/>
      <c r="BQ18" s="520"/>
      <c r="BR18" s="520"/>
      <c r="BS18" s="520"/>
      <c r="BT18" s="520"/>
      <c r="BU18" s="520"/>
      <c r="BV18" s="520"/>
      <c r="BW18" s="520"/>
      <c r="BX18" s="520"/>
      <c r="BY18" s="520"/>
      <c r="BZ18" s="520"/>
      <c r="CA18" s="520"/>
      <c r="CB18" s="520"/>
      <c r="CC18" s="520"/>
      <c r="CD18" s="520"/>
      <c r="CE18" s="520"/>
      <c r="CF18" s="520"/>
      <c r="CG18" s="520"/>
      <c r="CH18" s="520"/>
      <c r="CI18" s="520"/>
      <c r="CJ18" s="249"/>
      <c r="CK18" s="391">
        <f t="shared" si="2"/>
        <v>0</v>
      </c>
      <c r="CL18" s="610"/>
      <c r="CM18" s="512"/>
    </row>
    <row r="19" spans="1:91">
      <c r="A19" s="512"/>
      <c r="B19" s="517"/>
      <c r="C19" s="249" t="s">
        <v>346</v>
      </c>
      <c r="D19" s="275">
        <v>0.12</v>
      </c>
      <c r="E19" s="518"/>
      <c r="F19" s="518"/>
      <c r="G19" s="518"/>
      <c r="H19" s="518"/>
      <c r="I19" s="518"/>
      <c r="J19" s="518"/>
      <c r="K19" s="518"/>
      <c r="L19" s="518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  <c r="AA19" s="518"/>
      <c r="AB19" s="518"/>
      <c r="AC19" s="520"/>
      <c r="AD19" s="520"/>
      <c r="AE19" s="520"/>
      <c r="AF19" s="520"/>
      <c r="AG19" s="520"/>
      <c r="AH19" s="520"/>
      <c r="AI19" s="520"/>
      <c r="AJ19" s="520"/>
      <c r="AK19" s="520"/>
      <c r="AL19" s="520"/>
      <c r="AM19" s="520"/>
      <c r="AN19" s="520"/>
      <c r="AO19" s="520"/>
      <c r="AP19" s="520"/>
      <c r="AQ19" s="520"/>
      <c r="AR19" s="520"/>
      <c r="AS19" s="520"/>
      <c r="AT19" s="520"/>
      <c r="AU19" s="520"/>
      <c r="AV19" s="520"/>
      <c r="AW19" s="520"/>
      <c r="AX19" s="520"/>
      <c r="AY19" s="520"/>
      <c r="AZ19" s="520"/>
      <c r="BA19" s="520"/>
      <c r="BB19" s="520"/>
      <c r="BC19" s="520"/>
      <c r="BD19" s="520"/>
      <c r="BE19" s="520"/>
      <c r="BF19" s="520"/>
      <c r="BG19" s="520"/>
      <c r="BH19" s="520"/>
      <c r="BI19" s="520"/>
      <c r="BJ19" s="520"/>
      <c r="BK19" s="520"/>
      <c r="BL19" s="520"/>
      <c r="BM19" s="520"/>
      <c r="BN19" s="520"/>
      <c r="BO19" s="520"/>
      <c r="BP19" s="520"/>
      <c r="BQ19" s="520"/>
      <c r="BR19" s="520"/>
      <c r="BS19" s="520"/>
      <c r="BT19" s="520"/>
      <c r="BU19" s="520"/>
      <c r="BV19" s="520"/>
      <c r="BW19" s="520"/>
      <c r="BX19" s="520"/>
      <c r="BY19" s="520"/>
      <c r="BZ19" s="520"/>
      <c r="CA19" s="520"/>
      <c r="CB19" s="520"/>
      <c r="CC19" s="520"/>
      <c r="CD19" s="520"/>
      <c r="CE19" s="520"/>
      <c r="CF19" s="520"/>
      <c r="CG19" s="520"/>
      <c r="CH19" s="520"/>
      <c r="CI19" s="520"/>
      <c r="CJ19" s="249"/>
      <c r="CK19" s="391">
        <f t="shared" si="2"/>
        <v>0</v>
      </c>
      <c r="CL19" s="610"/>
      <c r="CM19" s="512"/>
    </row>
    <row r="20" spans="1:91">
      <c r="A20" s="512"/>
      <c r="B20" s="521"/>
      <c r="C20" s="392" t="s">
        <v>347</v>
      </c>
      <c r="D20" s="393">
        <v>0.12</v>
      </c>
      <c r="E20" s="522"/>
      <c r="F20" s="522"/>
      <c r="G20" s="522"/>
      <c r="H20" s="522"/>
      <c r="I20" s="522"/>
      <c r="J20" s="522"/>
      <c r="K20" s="522"/>
      <c r="L20" s="522"/>
      <c r="M20" s="522"/>
      <c r="N20" s="522"/>
      <c r="O20" s="522"/>
      <c r="P20" s="522"/>
      <c r="Q20" s="522"/>
      <c r="R20" s="522"/>
      <c r="S20" s="522"/>
      <c r="T20" s="522"/>
      <c r="U20" s="522"/>
      <c r="V20" s="522"/>
      <c r="W20" s="522"/>
      <c r="X20" s="522"/>
      <c r="Y20" s="522"/>
      <c r="Z20" s="522"/>
      <c r="AA20" s="522"/>
      <c r="AB20" s="522"/>
      <c r="AC20" s="523"/>
      <c r="AD20" s="523"/>
      <c r="AE20" s="523"/>
      <c r="AF20" s="523"/>
      <c r="AG20" s="523"/>
      <c r="AH20" s="523"/>
      <c r="AI20" s="523"/>
      <c r="AJ20" s="523"/>
      <c r="AK20" s="523"/>
      <c r="AL20" s="523"/>
      <c r="AM20" s="523"/>
      <c r="AN20" s="523"/>
      <c r="AO20" s="523"/>
      <c r="AP20" s="523"/>
      <c r="AQ20" s="523"/>
      <c r="AR20" s="523"/>
      <c r="AS20" s="523"/>
      <c r="AT20" s="523"/>
      <c r="AU20" s="523"/>
      <c r="AV20" s="523"/>
      <c r="AW20" s="523"/>
      <c r="AX20" s="523"/>
      <c r="AY20" s="523"/>
      <c r="AZ20" s="523"/>
      <c r="BA20" s="523"/>
      <c r="BB20" s="523"/>
      <c r="BC20" s="523"/>
      <c r="BD20" s="523"/>
      <c r="BE20" s="523"/>
      <c r="BF20" s="523"/>
      <c r="BG20" s="523"/>
      <c r="BH20" s="523"/>
      <c r="BI20" s="523"/>
      <c r="BJ20" s="523"/>
      <c r="BK20" s="523"/>
      <c r="BL20" s="523"/>
      <c r="BM20" s="523"/>
      <c r="BN20" s="523"/>
      <c r="BO20" s="523"/>
      <c r="BP20" s="523"/>
      <c r="BQ20" s="523"/>
      <c r="BR20" s="523"/>
      <c r="BS20" s="523"/>
      <c r="BT20" s="523"/>
      <c r="BU20" s="523"/>
      <c r="BV20" s="523"/>
      <c r="BW20" s="523"/>
      <c r="BX20" s="523"/>
      <c r="BY20" s="523"/>
      <c r="BZ20" s="523"/>
      <c r="CA20" s="523"/>
      <c r="CB20" s="523"/>
      <c r="CC20" s="523"/>
      <c r="CD20" s="523"/>
      <c r="CE20" s="523"/>
      <c r="CF20" s="523"/>
      <c r="CG20" s="523"/>
      <c r="CH20" s="523"/>
      <c r="CI20" s="523"/>
      <c r="CJ20" s="392"/>
      <c r="CK20" s="394">
        <f t="shared" si="2"/>
        <v>0</v>
      </c>
      <c r="CL20" s="614"/>
      <c r="CM20" s="512"/>
    </row>
    <row r="23" spans="1:91">
      <c r="A23" s="512"/>
      <c r="B23" s="513"/>
      <c r="C23" s="387" t="s">
        <v>348</v>
      </c>
      <c r="D23" s="395" t="s">
        <v>223</v>
      </c>
      <c r="E23" s="396">
        <f>'Cash-flow PLAN'!E89</f>
        <v>0</v>
      </c>
      <c r="F23" s="396">
        <f>'Cash-flow PLAN'!F89</f>
        <v>0</v>
      </c>
      <c r="G23" s="396">
        <f>'Cash-flow PLAN'!G89</f>
        <v>0</v>
      </c>
      <c r="H23" s="396">
        <f>'Cash-flow PLAN'!H89</f>
        <v>0</v>
      </c>
      <c r="I23" s="396">
        <f>'Cash-flow PLAN'!I89</f>
        <v>0</v>
      </c>
      <c r="J23" s="396">
        <f>'Cash-flow PLAN'!J89</f>
        <v>0</v>
      </c>
      <c r="K23" s="396">
        <f>'Cash-flow PLAN'!K89</f>
        <v>0</v>
      </c>
      <c r="L23" s="396">
        <f>'Cash-flow PLAN'!L89</f>
        <v>0</v>
      </c>
      <c r="M23" s="396">
        <f>'Cash-flow PLAN'!M89</f>
        <v>0</v>
      </c>
      <c r="N23" s="396">
        <f>'Cash-flow PLAN'!N89</f>
        <v>0</v>
      </c>
      <c r="O23" s="396">
        <f>'Cash-flow PLAN'!O89</f>
        <v>0</v>
      </c>
      <c r="P23" s="396">
        <f>'Cash-flow PLAN'!P89</f>
        <v>0</v>
      </c>
      <c r="Q23" s="396">
        <f>'Cash-flow PLAN'!Q89</f>
        <v>0</v>
      </c>
      <c r="R23" s="396">
        <f>'Cash-flow PLAN'!R89</f>
        <v>0</v>
      </c>
      <c r="S23" s="396">
        <f>'Cash-flow PLAN'!S89</f>
        <v>0</v>
      </c>
      <c r="T23" s="396">
        <f>'Cash-flow PLAN'!T89</f>
        <v>-19365002</v>
      </c>
      <c r="U23" s="396">
        <f>'Cash-flow PLAN'!U89</f>
        <v>0</v>
      </c>
      <c r="V23" s="396">
        <f>'Cash-flow PLAN'!V89</f>
        <v>0</v>
      </c>
      <c r="W23" s="396">
        <f>'Cash-flow PLAN'!W89</f>
        <v>0</v>
      </c>
      <c r="X23" s="396">
        <f>'Cash-flow PLAN'!X89</f>
        <v>0</v>
      </c>
      <c r="Y23" s="396">
        <f>'Cash-flow PLAN'!Y89</f>
        <v>0</v>
      </c>
      <c r="Z23" s="396">
        <f>'Cash-flow PLAN'!Z89</f>
        <v>0</v>
      </c>
      <c r="AA23" s="396">
        <f>'Cash-flow PLAN'!AA89</f>
        <v>0</v>
      </c>
      <c r="AB23" s="396">
        <f>'Cash-flow PLAN'!AB89</f>
        <v>0</v>
      </c>
      <c r="AC23" s="396">
        <f>'Cash-flow PLAN'!AC89</f>
        <v>0</v>
      </c>
      <c r="AD23" s="396">
        <f>'Cash-flow PLAN'!AD89</f>
        <v>0</v>
      </c>
      <c r="AE23" s="396">
        <f>'Cash-flow PLAN'!AE89</f>
        <v>0</v>
      </c>
      <c r="AF23" s="396">
        <f>'Cash-flow PLAN'!AF89</f>
        <v>0</v>
      </c>
      <c r="AG23" s="396">
        <f>'Cash-flow PLAN'!AG89</f>
        <v>0</v>
      </c>
      <c r="AH23" s="396">
        <f>'Cash-flow PLAN'!AH89</f>
        <v>0</v>
      </c>
      <c r="AI23" s="396">
        <f>'Cash-flow PLAN'!AI89</f>
        <v>0</v>
      </c>
      <c r="AJ23" s="396">
        <f>'Cash-flow PLAN'!AJ89</f>
        <v>0</v>
      </c>
      <c r="AK23" s="396">
        <f>'Cash-flow PLAN'!AK89</f>
        <v>0</v>
      </c>
      <c r="AL23" s="396">
        <f>'Cash-flow PLAN'!AL89</f>
        <v>0</v>
      </c>
      <c r="AM23" s="396">
        <f>'Cash-flow PLAN'!AM89</f>
        <v>0</v>
      </c>
      <c r="AN23" s="396">
        <f>'Cash-flow PLAN'!AN89</f>
        <v>0</v>
      </c>
      <c r="AO23" s="396">
        <f>'Cash-flow PLAN'!AO89</f>
        <v>0</v>
      </c>
      <c r="AP23" s="396">
        <f>'Cash-flow PLAN'!AP89</f>
        <v>0</v>
      </c>
      <c r="AQ23" s="396">
        <f>'Cash-flow PLAN'!AQ89</f>
        <v>0</v>
      </c>
      <c r="AR23" s="396">
        <f>'Cash-flow PLAN'!AR89</f>
        <v>0</v>
      </c>
      <c r="AS23" s="396">
        <f>'Cash-flow PLAN'!AS89</f>
        <v>0</v>
      </c>
      <c r="AT23" s="396">
        <f>'Cash-flow PLAN'!AT89</f>
        <v>0</v>
      </c>
      <c r="AU23" s="396">
        <f>'Cash-flow PLAN'!AU89</f>
        <v>0</v>
      </c>
      <c r="AV23" s="396">
        <f>'Cash-flow PLAN'!AV89</f>
        <v>0</v>
      </c>
      <c r="AW23" s="396">
        <f>'Cash-flow PLAN'!AW89</f>
        <v>0</v>
      </c>
      <c r="AX23" s="396">
        <f>'Cash-flow PLAN'!AX89</f>
        <v>0</v>
      </c>
      <c r="AY23" s="396">
        <f>'Cash-flow PLAN'!AY89</f>
        <v>0</v>
      </c>
      <c r="AZ23" s="396">
        <f>'Cash-flow PLAN'!AZ89</f>
        <v>0</v>
      </c>
      <c r="BA23" s="396">
        <f>'Cash-flow PLAN'!BA89</f>
        <v>0</v>
      </c>
      <c r="BB23" s="396">
        <f>'Cash-flow PLAN'!BB89</f>
        <v>0</v>
      </c>
      <c r="BC23" s="396">
        <f>'Cash-flow PLAN'!BC89</f>
        <v>0</v>
      </c>
      <c r="BD23" s="396">
        <f>'Cash-flow PLAN'!BD89</f>
        <v>0</v>
      </c>
      <c r="BE23" s="396">
        <f>'Cash-flow PLAN'!BE89</f>
        <v>0</v>
      </c>
      <c r="BF23" s="396">
        <f>'Cash-flow PLAN'!BF89</f>
        <v>0</v>
      </c>
      <c r="BG23" s="396">
        <f>'Cash-flow PLAN'!BG89</f>
        <v>0</v>
      </c>
      <c r="BH23" s="396">
        <f>'Cash-flow PLAN'!BH89</f>
        <v>0</v>
      </c>
      <c r="BI23" s="396">
        <f>'Cash-flow PLAN'!BI89</f>
        <v>0</v>
      </c>
      <c r="BJ23" s="396">
        <f>'Cash-flow PLAN'!BJ89</f>
        <v>0</v>
      </c>
      <c r="BK23" s="396">
        <f>'Cash-flow PLAN'!BK89</f>
        <v>0</v>
      </c>
      <c r="BL23" s="396">
        <f>'Cash-flow PLAN'!BL89</f>
        <v>0</v>
      </c>
      <c r="BM23" s="396">
        <f>'Cash-flow PLAN'!BM89</f>
        <v>0</v>
      </c>
      <c r="BN23" s="396">
        <f>'Cash-flow PLAN'!BN89</f>
        <v>0</v>
      </c>
      <c r="BO23" s="396">
        <f>'Cash-flow PLAN'!BO89</f>
        <v>0</v>
      </c>
      <c r="BP23" s="396">
        <f>'Cash-flow PLAN'!BP89</f>
        <v>0</v>
      </c>
      <c r="BQ23" s="396">
        <f>'Cash-flow PLAN'!BQ89</f>
        <v>0</v>
      </c>
      <c r="BR23" s="396">
        <f>'Cash-flow PLAN'!BR89</f>
        <v>0</v>
      </c>
      <c r="BS23" s="396">
        <f>'Cash-flow PLAN'!BS89</f>
        <v>0</v>
      </c>
      <c r="BT23" s="396">
        <f>'Cash-flow PLAN'!BT89</f>
        <v>0</v>
      </c>
      <c r="BU23" s="396">
        <f>'Cash-flow PLAN'!BU89</f>
        <v>0</v>
      </c>
      <c r="BV23" s="396">
        <f>'Cash-flow PLAN'!BV89</f>
        <v>0</v>
      </c>
      <c r="BW23" s="396">
        <f>'Cash-flow PLAN'!BW89</f>
        <v>0</v>
      </c>
      <c r="BX23" s="396">
        <f>'Cash-flow PLAN'!BX89</f>
        <v>0</v>
      </c>
      <c r="BY23" s="516"/>
      <c r="BZ23" s="516"/>
      <c r="CA23" s="516"/>
      <c r="CB23" s="516"/>
      <c r="CC23" s="516"/>
      <c r="CD23" s="516"/>
      <c r="CE23" s="516"/>
      <c r="CF23" s="516"/>
      <c r="CG23" s="516"/>
      <c r="CH23" s="516"/>
      <c r="CI23" s="516"/>
      <c r="CJ23" s="389"/>
      <c r="CK23" s="397">
        <f t="shared" ref="CK23:CK30" si="3">SUM(E23:CJ23)</f>
        <v>-19365002</v>
      </c>
      <c r="CL23" s="580">
        <f>SUM(CK23:CK33)</f>
        <v>-22465002</v>
      </c>
      <c r="CM23" s="512"/>
    </row>
    <row r="24" spans="1:91">
      <c r="A24" s="512"/>
      <c r="B24" s="517"/>
      <c r="C24" s="249" t="s">
        <v>281</v>
      </c>
      <c r="D24" s="250" t="s">
        <v>223</v>
      </c>
      <c r="E24" s="524">
        <f>'Cash-flow PLAN'!E90</f>
        <v>0</v>
      </c>
      <c r="F24" s="524">
        <f>'Cash-flow PLAN'!F90</f>
        <v>0</v>
      </c>
      <c r="G24" s="524">
        <f>'Cash-flow PLAN'!G90</f>
        <v>0</v>
      </c>
      <c r="H24" s="524">
        <f>'Cash-flow PLAN'!H90</f>
        <v>0</v>
      </c>
      <c r="I24" s="524">
        <f>'Cash-flow PLAN'!I90</f>
        <v>0</v>
      </c>
      <c r="J24" s="524">
        <f>'Cash-flow PLAN'!J90</f>
        <v>0</v>
      </c>
      <c r="K24" s="524">
        <f>'Cash-flow PLAN'!K90</f>
        <v>0</v>
      </c>
      <c r="L24" s="524">
        <f>'Cash-flow PLAN'!L90</f>
        <v>0</v>
      </c>
      <c r="M24" s="524">
        <f>'Cash-flow PLAN'!M90</f>
        <v>0</v>
      </c>
      <c r="N24" s="524">
        <f>'Cash-flow PLAN'!N90</f>
        <v>0</v>
      </c>
      <c r="O24" s="524">
        <f>'Cash-flow PLAN'!O90</f>
        <v>0</v>
      </c>
      <c r="P24" s="524">
        <f>'Cash-flow PLAN'!P90</f>
        <v>0</v>
      </c>
      <c r="Q24" s="524">
        <f>'Cash-flow PLAN'!Q90</f>
        <v>0</v>
      </c>
      <c r="R24" s="524">
        <f>'Cash-flow PLAN'!R90</f>
        <v>0</v>
      </c>
      <c r="S24" s="524">
        <f>'Cash-flow PLAN'!S90</f>
        <v>0</v>
      </c>
      <c r="T24" s="524">
        <f>'Cash-flow PLAN'!T90</f>
        <v>-3100000</v>
      </c>
      <c r="U24" s="524">
        <f>'Cash-flow PLAN'!U90</f>
        <v>0</v>
      </c>
      <c r="V24" s="524">
        <f>'Cash-flow PLAN'!V90</f>
        <v>0</v>
      </c>
      <c r="W24" s="524">
        <f>'Cash-flow PLAN'!W90</f>
        <v>0</v>
      </c>
      <c r="X24" s="524">
        <f>'Cash-flow PLAN'!X90</f>
        <v>0</v>
      </c>
      <c r="Y24" s="524">
        <f>'Cash-flow PLAN'!Y90</f>
        <v>0</v>
      </c>
      <c r="Z24" s="524">
        <f>'Cash-flow PLAN'!Z90</f>
        <v>0</v>
      </c>
      <c r="AA24" s="524">
        <f>'Cash-flow PLAN'!AA90</f>
        <v>0</v>
      </c>
      <c r="AB24" s="524">
        <f>'Cash-flow PLAN'!AB90</f>
        <v>0</v>
      </c>
      <c r="AC24" s="524">
        <f>'Cash-flow PLAN'!AC90</f>
        <v>0</v>
      </c>
      <c r="AD24" s="524">
        <f>'Cash-flow PLAN'!AD90</f>
        <v>0</v>
      </c>
      <c r="AE24" s="524">
        <f>'Cash-flow PLAN'!AE90</f>
        <v>0</v>
      </c>
      <c r="AF24" s="524">
        <f>'Cash-flow PLAN'!AF90</f>
        <v>0</v>
      </c>
      <c r="AG24" s="524">
        <f>'Cash-flow PLAN'!AG90</f>
        <v>0</v>
      </c>
      <c r="AH24" s="524">
        <f>'Cash-flow PLAN'!AH90</f>
        <v>0</v>
      </c>
      <c r="AI24" s="524">
        <f>'Cash-flow PLAN'!AI90</f>
        <v>0</v>
      </c>
      <c r="AJ24" s="524">
        <f>'Cash-flow PLAN'!AJ90</f>
        <v>0</v>
      </c>
      <c r="AK24" s="524">
        <f>'Cash-flow PLAN'!AK90</f>
        <v>0</v>
      </c>
      <c r="AL24" s="524">
        <f>'Cash-flow PLAN'!AL90</f>
        <v>0</v>
      </c>
      <c r="AM24" s="524">
        <f>'Cash-flow PLAN'!AM90</f>
        <v>0</v>
      </c>
      <c r="AN24" s="524">
        <f>'Cash-flow PLAN'!AN90</f>
        <v>0</v>
      </c>
      <c r="AO24" s="524">
        <f>'Cash-flow PLAN'!AO90</f>
        <v>0</v>
      </c>
      <c r="AP24" s="524">
        <f>'Cash-flow PLAN'!AP90</f>
        <v>0</v>
      </c>
      <c r="AQ24" s="524">
        <f>'Cash-flow PLAN'!AQ90</f>
        <v>0</v>
      </c>
      <c r="AR24" s="524">
        <f>'Cash-flow PLAN'!AR90</f>
        <v>0</v>
      </c>
      <c r="AS24" s="524">
        <f>'Cash-flow PLAN'!AS90</f>
        <v>0</v>
      </c>
      <c r="AT24" s="524">
        <f>'Cash-flow PLAN'!AT90</f>
        <v>0</v>
      </c>
      <c r="AU24" s="524">
        <f>'Cash-flow PLAN'!AU90</f>
        <v>0</v>
      </c>
      <c r="AV24" s="524">
        <f>'Cash-flow PLAN'!AV90</f>
        <v>0</v>
      </c>
      <c r="AW24" s="524">
        <f>'Cash-flow PLAN'!AW90</f>
        <v>0</v>
      </c>
      <c r="AX24" s="524">
        <f>'Cash-flow PLAN'!AX90</f>
        <v>0</v>
      </c>
      <c r="AY24" s="524">
        <f>'Cash-flow PLAN'!AY90</f>
        <v>0</v>
      </c>
      <c r="AZ24" s="524">
        <f>'Cash-flow PLAN'!AZ90</f>
        <v>0</v>
      </c>
      <c r="BA24" s="524">
        <f>'Cash-flow PLAN'!BA90</f>
        <v>0</v>
      </c>
      <c r="BB24" s="524">
        <f>'Cash-flow PLAN'!BB90</f>
        <v>0</v>
      </c>
      <c r="BC24" s="524">
        <f>'Cash-flow PLAN'!BC90</f>
        <v>0</v>
      </c>
      <c r="BD24" s="524">
        <f>'Cash-flow PLAN'!BD90</f>
        <v>0</v>
      </c>
      <c r="BE24" s="524">
        <f>'Cash-flow PLAN'!BE90</f>
        <v>0</v>
      </c>
      <c r="BF24" s="524">
        <f>'Cash-flow PLAN'!BF90</f>
        <v>0</v>
      </c>
      <c r="BG24" s="524">
        <f>'Cash-flow PLAN'!BG90</f>
        <v>0</v>
      </c>
      <c r="BH24" s="524">
        <f>'Cash-flow PLAN'!BH90</f>
        <v>0</v>
      </c>
      <c r="BI24" s="524">
        <f>'Cash-flow PLAN'!BI90</f>
        <v>0</v>
      </c>
      <c r="BJ24" s="524">
        <f>'Cash-flow PLAN'!BJ90</f>
        <v>0</v>
      </c>
      <c r="BK24" s="524">
        <f>'Cash-flow PLAN'!BK90</f>
        <v>0</v>
      </c>
      <c r="BL24" s="524">
        <f>'Cash-flow PLAN'!BL90</f>
        <v>0</v>
      </c>
      <c r="BM24" s="524">
        <f>'Cash-flow PLAN'!BM90</f>
        <v>0</v>
      </c>
      <c r="BN24" s="524">
        <f>'Cash-flow PLAN'!BN90</f>
        <v>0</v>
      </c>
      <c r="BO24" s="524">
        <f>'Cash-flow PLAN'!BO90</f>
        <v>0</v>
      </c>
      <c r="BP24" s="524">
        <f>'Cash-flow PLAN'!BP90</f>
        <v>0</v>
      </c>
      <c r="BQ24" s="524">
        <f>'Cash-flow PLAN'!BQ90</f>
        <v>0</v>
      </c>
      <c r="BR24" s="524">
        <f>'Cash-flow PLAN'!BR90</f>
        <v>0</v>
      </c>
      <c r="BS24" s="524">
        <f>'Cash-flow PLAN'!BS90</f>
        <v>0</v>
      </c>
      <c r="BT24" s="524">
        <f>'Cash-flow PLAN'!BT90</f>
        <v>0</v>
      </c>
      <c r="BU24" s="524">
        <f>'Cash-flow PLAN'!BU90</f>
        <v>0</v>
      </c>
      <c r="BV24" s="524">
        <f>'Cash-flow PLAN'!BV90</f>
        <v>0</v>
      </c>
      <c r="BW24" s="524">
        <f>'Cash-flow PLAN'!BW90</f>
        <v>0</v>
      </c>
      <c r="BX24" s="524">
        <f>'Cash-flow PLAN'!BX90</f>
        <v>0</v>
      </c>
      <c r="BY24" s="520"/>
      <c r="BZ24" s="520"/>
      <c r="CA24" s="520"/>
      <c r="CB24" s="520"/>
      <c r="CC24" s="520"/>
      <c r="CD24" s="520"/>
      <c r="CE24" s="520"/>
      <c r="CF24" s="520"/>
      <c r="CG24" s="520"/>
      <c r="CH24" s="520"/>
      <c r="CI24" s="520"/>
      <c r="CJ24" s="249"/>
      <c r="CK24" s="398">
        <f t="shared" si="3"/>
        <v>-3100000</v>
      </c>
      <c r="CL24" s="610"/>
      <c r="CM24" s="512"/>
    </row>
    <row r="25" spans="1:91">
      <c r="A25" s="512"/>
      <c r="B25" s="517"/>
      <c r="C25" s="249" t="s">
        <v>283</v>
      </c>
      <c r="D25" s="250" t="s">
        <v>223</v>
      </c>
      <c r="E25" s="524">
        <f>'Cash-flow PLAN'!E91</f>
        <v>0</v>
      </c>
      <c r="F25" s="524">
        <f>'Cash-flow PLAN'!F91</f>
        <v>0</v>
      </c>
      <c r="G25" s="524">
        <f>'Cash-flow PLAN'!G91</f>
        <v>0</v>
      </c>
      <c r="H25" s="524">
        <f>'Cash-flow PLAN'!H91</f>
        <v>0</v>
      </c>
      <c r="I25" s="524">
        <f>'Cash-flow PLAN'!I91</f>
        <v>0</v>
      </c>
      <c r="J25" s="524">
        <f>'Cash-flow PLAN'!J91</f>
        <v>0</v>
      </c>
      <c r="K25" s="524">
        <f>'Cash-flow PLAN'!K91</f>
        <v>0</v>
      </c>
      <c r="L25" s="524">
        <f>'Cash-flow PLAN'!L91</f>
        <v>0</v>
      </c>
      <c r="M25" s="524">
        <f>'Cash-flow PLAN'!M91</f>
        <v>0</v>
      </c>
      <c r="N25" s="524">
        <f>'Cash-flow PLAN'!N91</f>
        <v>0</v>
      </c>
      <c r="O25" s="524">
        <f>'Cash-flow PLAN'!O91</f>
        <v>0</v>
      </c>
      <c r="P25" s="524">
        <f>'Cash-flow PLAN'!P91</f>
        <v>0</v>
      </c>
      <c r="Q25" s="524">
        <f>'Cash-flow PLAN'!Q91</f>
        <v>0</v>
      </c>
      <c r="R25" s="524">
        <f>'Cash-flow PLAN'!R91</f>
        <v>0</v>
      </c>
      <c r="S25" s="524">
        <f>'Cash-flow PLAN'!S91</f>
        <v>0</v>
      </c>
      <c r="T25" s="524">
        <f>'Cash-flow PLAN'!T91</f>
        <v>0</v>
      </c>
      <c r="U25" s="524">
        <f>'Cash-flow PLAN'!U91</f>
        <v>0</v>
      </c>
      <c r="V25" s="524">
        <f>'Cash-flow PLAN'!V91</f>
        <v>0</v>
      </c>
      <c r="W25" s="524">
        <f>'Cash-flow PLAN'!W91</f>
        <v>0</v>
      </c>
      <c r="X25" s="524">
        <f>'Cash-flow PLAN'!X91</f>
        <v>0</v>
      </c>
      <c r="Y25" s="524">
        <f>'Cash-flow PLAN'!Y91</f>
        <v>0</v>
      </c>
      <c r="Z25" s="524">
        <f>'Cash-flow PLAN'!Z91</f>
        <v>0</v>
      </c>
      <c r="AA25" s="524">
        <f>'Cash-flow PLAN'!AA91</f>
        <v>0</v>
      </c>
      <c r="AB25" s="524">
        <f>'Cash-flow PLAN'!AB91</f>
        <v>0</v>
      </c>
      <c r="AC25" s="524">
        <f>'Cash-flow PLAN'!AC91</f>
        <v>0</v>
      </c>
      <c r="AD25" s="524">
        <f>'Cash-flow PLAN'!AD91</f>
        <v>0</v>
      </c>
      <c r="AE25" s="524">
        <f>'Cash-flow PLAN'!AE91</f>
        <v>0</v>
      </c>
      <c r="AF25" s="524">
        <f>'Cash-flow PLAN'!AF91</f>
        <v>0</v>
      </c>
      <c r="AG25" s="524">
        <f>'Cash-flow PLAN'!AG91</f>
        <v>0</v>
      </c>
      <c r="AH25" s="524">
        <f>'Cash-flow PLAN'!AH91</f>
        <v>0</v>
      </c>
      <c r="AI25" s="524">
        <f>'Cash-flow PLAN'!AI91</f>
        <v>0</v>
      </c>
      <c r="AJ25" s="524">
        <f>'Cash-flow PLAN'!AJ91</f>
        <v>0</v>
      </c>
      <c r="AK25" s="524">
        <f>'Cash-flow PLAN'!AK91</f>
        <v>0</v>
      </c>
      <c r="AL25" s="524">
        <f>'Cash-flow PLAN'!AL91</f>
        <v>0</v>
      </c>
      <c r="AM25" s="524">
        <f>'Cash-flow PLAN'!AM91</f>
        <v>0</v>
      </c>
      <c r="AN25" s="524">
        <f>'Cash-flow PLAN'!AN91</f>
        <v>0</v>
      </c>
      <c r="AO25" s="524">
        <f>'Cash-flow PLAN'!AO91</f>
        <v>0</v>
      </c>
      <c r="AP25" s="524">
        <f>'Cash-flow PLAN'!AP91</f>
        <v>0</v>
      </c>
      <c r="AQ25" s="524">
        <f>'Cash-flow PLAN'!AQ91</f>
        <v>0</v>
      </c>
      <c r="AR25" s="524">
        <f>'Cash-flow PLAN'!AR91</f>
        <v>0</v>
      </c>
      <c r="AS25" s="524">
        <f>'Cash-flow PLAN'!AS91</f>
        <v>0</v>
      </c>
      <c r="AT25" s="524">
        <f>'Cash-flow PLAN'!AT91</f>
        <v>0</v>
      </c>
      <c r="AU25" s="524">
        <f>'Cash-flow PLAN'!AU91</f>
        <v>0</v>
      </c>
      <c r="AV25" s="524">
        <f>'Cash-flow PLAN'!AV91</f>
        <v>0</v>
      </c>
      <c r="AW25" s="524">
        <f>'Cash-flow PLAN'!AW91</f>
        <v>0</v>
      </c>
      <c r="AX25" s="524">
        <f>'Cash-flow PLAN'!AX91</f>
        <v>0</v>
      </c>
      <c r="AY25" s="524">
        <f>'Cash-flow PLAN'!AY91</f>
        <v>0</v>
      </c>
      <c r="AZ25" s="524">
        <f>'Cash-flow PLAN'!AZ91</f>
        <v>0</v>
      </c>
      <c r="BA25" s="524">
        <f>'Cash-flow PLAN'!BA91</f>
        <v>0</v>
      </c>
      <c r="BB25" s="524">
        <f>'Cash-flow PLAN'!BB91</f>
        <v>0</v>
      </c>
      <c r="BC25" s="524">
        <f>'Cash-flow PLAN'!BC91</f>
        <v>0</v>
      </c>
      <c r="BD25" s="524">
        <f>'Cash-flow PLAN'!BD91</f>
        <v>0</v>
      </c>
      <c r="BE25" s="524">
        <f>'Cash-flow PLAN'!BE91</f>
        <v>0</v>
      </c>
      <c r="BF25" s="524">
        <f>'Cash-flow PLAN'!BF91</f>
        <v>0</v>
      </c>
      <c r="BG25" s="524">
        <f>'Cash-flow PLAN'!BG91</f>
        <v>0</v>
      </c>
      <c r="BH25" s="524">
        <f>'Cash-flow PLAN'!BH91</f>
        <v>0</v>
      </c>
      <c r="BI25" s="524">
        <f>'Cash-flow PLAN'!BI91</f>
        <v>0</v>
      </c>
      <c r="BJ25" s="524">
        <f>'Cash-flow PLAN'!BJ91</f>
        <v>0</v>
      </c>
      <c r="BK25" s="524">
        <f>'Cash-flow PLAN'!BK91</f>
        <v>0</v>
      </c>
      <c r="BL25" s="524">
        <f>'Cash-flow PLAN'!BL91</f>
        <v>0</v>
      </c>
      <c r="BM25" s="524">
        <f>'Cash-flow PLAN'!BM91</f>
        <v>0</v>
      </c>
      <c r="BN25" s="524">
        <f>'Cash-flow PLAN'!BN91</f>
        <v>0</v>
      </c>
      <c r="BO25" s="524">
        <f>'Cash-flow PLAN'!BO91</f>
        <v>0</v>
      </c>
      <c r="BP25" s="524">
        <f>'Cash-flow PLAN'!BP91</f>
        <v>0</v>
      </c>
      <c r="BQ25" s="524">
        <f>'Cash-flow PLAN'!BQ91</f>
        <v>0</v>
      </c>
      <c r="BR25" s="524">
        <f>'Cash-flow PLAN'!BR91</f>
        <v>0</v>
      </c>
      <c r="BS25" s="524">
        <f>'Cash-flow PLAN'!BS91</f>
        <v>0</v>
      </c>
      <c r="BT25" s="524">
        <f>'Cash-flow PLAN'!BT91</f>
        <v>0</v>
      </c>
      <c r="BU25" s="524">
        <f>'Cash-flow PLAN'!BU91</f>
        <v>0</v>
      </c>
      <c r="BV25" s="524">
        <f>'Cash-flow PLAN'!BV91</f>
        <v>0</v>
      </c>
      <c r="BW25" s="524">
        <f>'Cash-flow PLAN'!BW91</f>
        <v>0</v>
      </c>
      <c r="BX25" s="524">
        <f>'Cash-flow PLAN'!BX91</f>
        <v>0</v>
      </c>
      <c r="BY25" s="520"/>
      <c r="BZ25" s="520"/>
      <c r="CA25" s="520"/>
      <c r="CB25" s="520"/>
      <c r="CC25" s="520"/>
      <c r="CD25" s="520"/>
      <c r="CE25" s="520"/>
      <c r="CF25" s="520"/>
      <c r="CG25" s="520"/>
      <c r="CH25" s="520"/>
      <c r="CI25" s="520"/>
      <c r="CJ25" s="249"/>
      <c r="CK25" s="398">
        <f t="shared" si="3"/>
        <v>0</v>
      </c>
      <c r="CL25" s="610"/>
      <c r="CM25" s="512"/>
    </row>
    <row r="26" spans="1:91">
      <c r="A26" s="512"/>
      <c r="B26" s="517"/>
      <c r="C26" s="249" t="s">
        <v>349</v>
      </c>
      <c r="D26" s="250" t="s">
        <v>223</v>
      </c>
      <c r="E26" s="524">
        <f>'Cash-flow PLAN'!E92</f>
        <v>0</v>
      </c>
      <c r="F26" s="524">
        <f>'Cash-flow PLAN'!F92</f>
        <v>0</v>
      </c>
      <c r="G26" s="524">
        <f>'Cash-flow PLAN'!G92</f>
        <v>0</v>
      </c>
      <c r="H26" s="524">
        <f>'Cash-flow PLAN'!H92</f>
        <v>0</v>
      </c>
      <c r="I26" s="524">
        <f>'Cash-flow PLAN'!I92</f>
        <v>0</v>
      </c>
      <c r="J26" s="524">
        <f>'Cash-flow PLAN'!J92</f>
        <v>0</v>
      </c>
      <c r="K26" s="524">
        <f>'Cash-flow PLAN'!K92</f>
        <v>0</v>
      </c>
      <c r="L26" s="524">
        <f>'Cash-flow PLAN'!L92</f>
        <v>0</v>
      </c>
      <c r="M26" s="524">
        <f>'Cash-flow PLAN'!M92</f>
        <v>0</v>
      </c>
      <c r="N26" s="524">
        <f>'Cash-flow PLAN'!N92</f>
        <v>0</v>
      </c>
      <c r="O26" s="524">
        <f>'Cash-flow PLAN'!O92</f>
        <v>0</v>
      </c>
      <c r="P26" s="524">
        <f>'Cash-flow PLAN'!P92</f>
        <v>0</v>
      </c>
      <c r="Q26" s="524">
        <f>'Cash-flow PLAN'!Q92</f>
        <v>0</v>
      </c>
      <c r="R26" s="524">
        <f>'Cash-flow PLAN'!R92</f>
        <v>0</v>
      </c>
      <c r="S26" s="524">
        <f>'Cash-flow PLAN'!S92</f>
        <v>0</v>
      </c>
      <c r="T26" s="524">
        <f>'Cash-flow PLAN'!T92</f>
        <v>0</v>
      </c>
      <c r="U26" s="524">
        <f>'Cash-flow PLAN'!U92</f>
        <v>0</v>
      </c>
      <c r="V26" s="524">
        <f>'Cash-flow PLAN'!V92</f>
        <v>0</v>
      </c>
      <c r="W26" s="524">
        <f>'Cash-flow PLAN'!W92</f>
        <v>0</v>
      </c>
      <c r="X26" s="524">
        <f>'Cash-flow PLAN'!X92</f>
        <v>0</v>
      </c>
      <c r="Y26" s="524">
        <f>'Cash-flow PLAN'!Y92</f>
        <v>0</v>
      </c>
      <c r="Z26" s="524">
        <f>'Cash-flow PLAN'!Z92</f>
        <v>0</v>
      </c>
      <c r="AA26" s="524">
        <f>'Cash-flow PLAN'!AA92</f>
        <v>0</v>
      </c>
      <c r="AB26" s="524">
        <f>'Cash-flow PLAN'!AB92</f>
        <v>0</v>
      </c>
      <c r="AC26" s="524">
        <f>'Cash-flow PLAN'!AC92</f>
        <v>0</v>
      </c>
      <c r="AD26" s="524">
        <f>'Cash-flow PLAN'!AD92</f>
        <v>0</v>
      </c>
      <c r="AE26" s="524">
        <f>'Cash-flow PLAN'!AE92</f>
        <v>0</v>
      </c>
      <c r="AF26" s="524">
        <f>'Cash-flow PLAN'!AF92</f>
        <v>0</v>
      </c>
      <c r="AG26" s="524">
        <f>'Cash-flow PLAN'!AG92</f>
        <v>0</v>
      </c>
      <c r="AH26" s="524">
        <f>'Cash-flow PLAN'!AH92</f>
        <v>0</v>
      </c>
      <c r="AI26" s="524">
        <f>'Cash-flow PLAN'!AI92</f>
        <v>0</v>
      </c>
      <c r="AJ26" s="524">
        <f>'Cash-flow PLAN'!AJ92</f>
        <v>0</v>
      </c>
      <c r="AK26" s="524">
        <f>'Cash-flow PLAN'!AK92</f>
        <v>0</v>
      </c>
      <c r="AL26" s="524">
        <f>'Cash-flow PLAN'!AL92</f>
        <v>0</v>
      </c>
      <c r="AM26" s="524">
        <f>'Cash-flow PLAN'!AM92</f>
        <v>0</v>
      </c>
      <c r="AN26" s="524">
        <f>'Cash-flow PLAN'!AN92</f>
        <v>0</v>
      </c>
      <c r="AO26" s="524">
        <f>'Cash-flow PLAN'!AO92</f>
        <v>0</v>
      </c>
      <c r="AP26" s="524">
        <f>'Cash-flow PLAN'!AP92</f>
        <v>0</v>
      </c>
      <c r="AQ26" s="524">
        <f>'Cash-flow PLAN'!AQ92</f>
        <v>0</v>
      </c>
      <c r="AR26" s="524">
        <f>'Cash-flow PLAN'!AR92</f>
        <v>0</v>
      </c>
      <c r="AS26" s="524">
        <f>'Cash-flow PLAN'!AS92</f>
        <v>0</v>
      </c>
      <c r="AT26" s="524">
        <f>'Cash-flow PLAN'!AT92</f>
        <v>0</v>
      </c>
      <c r="AU26" s="524">
        <f>'Cash-flow PLAN'!AU92</f>
        <v>0</v>
      </c>
      <c r="AV26" s="524">
        <f>'Cash-flow PLAN'!AV92</f>
        <v>0</v>
      </c>
      <c r="AW26" s="524">
        <f>'Cash-flow PLAN'!AW92</f>
        <v>0</v>
      </c>
      <c r="AX26" s="524">
        <f>'Cash-flow PLAN'!AX92</f>
        <v>0</v>
      </c>
      <c r="AY26" s="524">
        <f>'Cash-flow PLAN'!AY92</f>
        <v>0</v>
      </c>
      <c r="AZ26" s="524">
        <f>'Cash-flow PLAN'!AZ92</f>
        <v>0</v>
      </c>
      <c r="BA26" s="524">
        <f>'Cash-flow PLAN'!BA92</f>
        <v>0</v>
      </c>
      <c r="BB26" s="524">
        <f>'Cash-flow PLAN'!BB92</f>
        <v>0</v>
      </c>
      <c r="BC26" s="524">
        <f>'Cash-flow PLAN'!BC92</f>
        <v>0</v>
      </c>
      <c r="BD26" s="524">
        <f>'Cash-flow PLAN'!BD92</f>
        <v>0</v>
      </c>
      <c r="BE26" s="524">
        <f>'Cash-flow PLAN'!BE92</f>
        <v>0</v>
      </c>
      <c r="BF26" s="524">
        <f>'Cash-flow PLAN'!BF92</f>
        <v>0</v>
      </c>
      <c r="BG26" s="524">
        <f>'Cash-flow PLAN'!BG92</f>
        <v>0</v>
      </c>
      <c r="BH26" s="524">
        <f>'Cash-flow PLAN'!BH92</f>
        <v>0</v>
      </c>
      <c r="BI26" s="524">
        <f>'Cash-flow PLAN'!BI92</f>
        <v>0</v>
      </c>
      <c r="BJ26" s="524">
        <f>'Cash-flow PLAN'!BJ92</f>
        <v>0</v>
      </c>
      <c r="BK26" s="524">
        <f>'Cash-flow PLAN'!BK92</f>
        <v>0</v>
      </c>
      <c r="BL26" s="524">
        <f>'Cash-flow PLAN'!BL92</f>
        <v>0</v>
      </c>
      <c r="BM26" s="524">
        <f>'Cash-flow PLAN'!BM92</f>
        <v>0</v>
      </c>
      <c r="BN26" s="524">
        <f>'Cash-flow PLAN'!BN92</f>
        <v>0</v>
      </c>
      <c r="BO26" s="524">
        <f>'Cash-flow PLAN'!BO92</f>
        <v>0</v>
      </c>
      <c r="BP26" s="524">
        <f>'Cash-flow PLAN'!BP92</f>
        <v>0</v>
      </c>
      <c r="BQ26" s="524">
        <f>'Cash-flow PLAN'!BQ92</f>
        <v>0</v>
      </c>
      <c r="BR26" s="524">
        <f>'Cash-flow PLAN'!BR92</f>
        <v>0</v>
      </c>
      <c r="BS26" s="524">
        <f>'Cash-flow PLAN'!BS92</f>
        <v>0</v>
      </c>
      <c r="BT26" s="524">
        <f>'Cash-flow PLAN'!BT92</f>
        <v>0</v>
      </c>
      <c r="BU26" s="524">
        <f>'Cash-flow PLAN'!BU92</f>
        <v>0</v>
      </c>
      <c r="BV26" s="524">
        <f>'Cash-flow PLAN'!BV92</f>
        <v>0</v>
      </c>
      <c r="BW26" s="524">
        <f>'Cash-flow PLAN'!BW92</f>
        <v>0</v>
      </c>
      <c r="BX26" s="524">
        <f>'Cash-flow PLAN'!BX92</f>
        <v>0</v>
      </c>
      <c r="BY26" s="520"/>
      <c r="BZ26" s="520"/>
      <c r="CA26" s="520"/>
      <c r="CB26" s="520"/>
      <c r="CC26" s="520"/>
      <c r="CD26" s="520"/>
      <c r="CE26" s="520"/>
      <c r="CF26" s="520"/>
      <c r="CG26" s="520"/>
      <c r="CH26" s="520"/>
      <c r="CI26" s="520"/>
      <c r="CJ26" s="249"/>
      <c r="CK26" s="398">
        <f t="shared" si="3"/>
        <v>0</v>
      </c>
      <c r="CL26" s="610"/>
      <c r="CM26" s="512"/>
    </row>
    <row r="27" spans="1:91">
      <c r="A27" s="512"/>
      <c r="B27" s="517"/>
      <c r="C27" s="249" t="s">
        <v>350</v>
      </c>
      <c r="D27" s="250" t="s">
        <v>223</v>
      </c>
      <c r="E27" s="519"/>
      <c r="F27" s="519"/>
      <c r="G27" s="519"/>
      <c r="H27" s="519"/>
      <c r="I27" s="519"/>
      <c r="J27" s="519"/>
      <c r="K27" s="519"/>
      <c r="L27" s="519"/>
      <c r="M27" s="519"/>
      <c r="N27" s="519"/>
      <c r="O27" s="519"/>
      <c r="P27" s="519"/>
      <c r="Q27" s="519"/>
      <c r="R27" s="519"/>
      <c r="S27" s="519"/>
      <c r="T27" s="519"/>
      <c r="U27" s="519"/>
      <c r="V27" s="519"/>
      <c r="W27" s="519"/>
      <c r="X27" s="519"/>
      <c r="Y27" s="519"/>
      <c r="Z27" s="519"/>
      <c r="AA27" s="519"/>
      <c r="AB27" s="519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520"/>
      <c r="AO27" s="520"/>
      <c r="AP27" s="520"/>
      <c r="AQ27" s="520"/>
      <c r="AR27" s="520"/>
      <c r="AS27" s="520"/>
      <c r="AT27" s="520"/>
      <c r="AU27" s="520"/>
      <c r="AV27" s="520"/>
      <c r="AW27" s="520"/>
      <c r="AX27" s="520"/>
      <c r="AY27" s="520"/>
      <c r="AZ27" s="520"/>
      <c r="BA27" s="520"/>
      <c r="BB27" s="520"/>
      <c r="BC27" s="520"/>
      <c r="BD27" s="520"/>
      <c r="BE27" s="520"/>
      <c r="BF27" s="520"/>
      <c r="BG27" s="520"/>
      <c r="BH27" s="520"/>
      <c r="BI27" s="520"/>
      <c r="BJ27" s="520"/>
      <c r="BK27" s="520"/>
      <c r="BL27" s="520"/>
      <c r="BM27" s="520"/>
      <c r="BN27" s="520"/>
      <c r="BO27" s="520"/>
      <c r="BP27" s="520"/>
      <c r="BQ27" s="520"/>
      <c r="BR27" s="520"/>
      <c r="BS27" s="520"/>
      <c r="BT27" s="520"/>
      <c r="BU27" s="520"/>
      <c r="BV27" s="520"/>
      <c r="BW27" s="520"/>
      <c r="BX27" s="520"/>
      <c r="BY27" s="520"/>
      <c r="BZ27" s="520"/>
      <c r="CA27" s="520"/>
      <c r="CB27" s="520"/>
      <c r="CC27" s="520"/>
      <c r="CD27" s="520"/>
      <c r="CE27" s="520"/>
      <c r="CF27" s="520"/>
      <c r="CG27" s="520"/>
      <c r="CH27" s="520"/>
      <c r="CI27" s="520"/>
      <c r="CJ27" s="249"/>
      <c r="CK27" s="398">
        <f t="shared" si="3"/>
        <v>0</v>
      </c>
      <c r="CL27" s="610"/>
      <c r="CM27" s="512"/>
    </row>
    <row r="28" spans="1:91">
      <c r="A28" s="512"/>
      <c r="B28" s="517"/>
      <c r="C28" s="249" t="s">
        <v>351</v>
      </c>
      <c r="D28" s="250" t="s">
        <v>223</v>
      </c>
      <c r="E28" s="519"/>
      <c r="F28" s="519"/>
      <c r="G28" s="519"/>
      <c r="H28" s="519"/>
      <c r="I28" s="519"/>
      <c r="J28" s="519"/>
      <c r="K28" s="519"/>
      <c r="L28" s="519"/>
      <c r="M28" s="519"/>
      <c r="N28" s="519"/>
      <c r="O28" s="519"/>
      <c r="P28" s="519"/>
      <c r="Q28" s="519"/>
      <c r="R28" s="519"/>
      <c r="S28" s="519"/>
      <c r="T28" s="519"/>
      <c r="U28" s="519"/>
      <c r="V28" s="519"/>
      <c r="W28" s="519"/>
      <c r="X28" s="519"/>
      <c r="Y28" s="519"/>
      <c r="Z28" s="519"/>
      <c r="AA28" s="519"/>
      <c r="AB28" s="519"/>
      <c r="AC28" s="520"/>
      <c r="AD28" s="520"/>
      <c r="AE28" s="520"/>
      <c r="AF28" s="520"/>
      <c r="AG28" s="520"/>
      <c r="AH28" s="520"/>
      <c r="AI28" s="520"/>
      <c r="AJ28" s="520"/>
      <c r="AK28" s="520"/>
      <c r="AL28" s="520"/>
      <c r="AM28" s="520"/>
      <c r="AN28" s="520"/>
      <c r="AO28" s="520"/>
      <c r="AP28" s="520"/>
      <c r="AQ28" s="520"/>
      <c r="AR28" s="520"/>
      <c r="AS28" s="520"/>
      <c r="AT28" s="520"/>
      <c r="AU28" s="520"/>
      <c r="AV28" s="520"/>
      <c r="AW28" s="520"/>
      <c r="AX28" s="520"/>
      <c r="AY28" s="520"/>
      <c r="AZ28" s="520"/>
      <c r="BA28" s="520"/>
      <c r="BB28" s="520"/>
      <c r="BC28" s="520"/>
      <c r="BD28" s="520"/>
      <c r="BE28" s="520"/>
      <c r="BF28" s="520"/>
      <c r="BG28" s="520"/>
      <c r="BH28" s="520"/>
      <c r="BI28" s="520"/>
      <c r="BJ28" s="520"/>
      <c r="BK28" s="520"/>
      <c r="BL28" s="520"/>
      <c r="BM28" s="520"/>
      <c r="BN28" s="520"/>
      <c r="BO28" s="520"/>
      <c r="BP28" s="520"/>
      <c r="BQ28" s="520"/>
      <c r="BR28" s="520"/>
      <c r="BS28" s="520"/>
      <c r="BT28" s="520"/>
      <c r="BU28" s="520"/>
      <c r="BV28" s="520"/>
      <c r="BW28" s="520"/>
      <c r="BX28" s="520"/>
      <c r="BY28" s="520"/>
      <c r="BZ28" s="520"/>
      <c r="CA28" s="520"/>
      <c r="CB28" s="520"/>
      <c r="CC28" s="520"/>
      <c r="CD28" s="520"/>
      <c r="CE28" s="520"/>
      <c r="CF28" s="520"/>
      <c r="CG28" s="520"/>
      <c r="CH28" s="520"/>
      <c r="CI28" s="520"/>
      <c r="CJ28" s="249"/>
      <c r="CK28" s="398">
        <f t="shared" si="3"/>
        <v>0</v>
      </c>
      <c r="CL28" s="610"/>
      <c r="CM28" s="512"/>
    </row>
    <row r="29" spans="1:91">
      <c r="A29" s="512"/>
      <c r="B29" s="517"/>
      <c r="C29" s="249" t="s">
        <v>352</v>
      </c>
      <c r="D29" s="250" t="s">
        <v>223</v>
      </c>
      <c r="E29" s="519"/>
      <c r="F29" s="519"/>
      <c r="G29" s="519"/>
      <c r="H29" s="519"/>
      <c r="I29" s="519"/>
      <c r="J29" s="519"/>
      <c r="K29" s="519"/>
      <c r="L29" s="519"/>
      <c r="M29" s="519"/>
      <c r="N29" s="519"/>
      <c r="O29" s="519"/>
      <c r="P29" s="519"/>
      <c r="Q29" s="519"/>
      <c r="R29" s="519"/>
      <c r="S29" s="519"/>
      <c r="T29" s="519"/>
      <c r="U29" s="519"/>
      <c r="V29" s="519"/>
      <c r="W29" s="519"/>
      <c r="X29" s="519"/>
      <c r="Y29" s="519"/>
      <c r="Z29" s="519"/>
      <c r="AA29" s="519"/>
      <c r="AB29" s="519"/>
      <c r="AC29" s="520"/>
      <c r="AD29" s="520"/>
      <c r="AE29" s="520"/>
      <c r="AF29" s="520"/>
      <c r="AG29" s="520"/>
      <c r="AH29" s="520"/>
      <c r="AI29" s="520"/>
      <c r="AJ29" s="520"/>
      <c r="AK29" s="520"/>
      <c r="AL29" s="520"/>
      <c r="AM29" s="520"/>
      <c r="AN29" s="520"/>
      <c r="AO29" s="520"/>
      <c r="AP29" s="520"/>
      <c r="AQ29" s="520"/>
      <c r="AR29" s="520"/>
      <c r="AS29" s="520"/>
      <c r="AT29" s="520"/>
      <c r="AU29" s="520"/>
      <c r="AV29" s="520"/>
      <c r="AW29" s="520"/>
      <c r="AX29" s="520"/>
      <c r="AY29" s="520"/>
      <c r="AZ29" s="520"/>
      <c r="BA29" s="520"/>
      <c r="BB29" s="520"/>
      <c r="BC29" s="520"/>
      <c r="BD29" s="520"/>
      <c r="BE29" s="520"/>
      <c r="BF29" s="520"/>
      <c r="BG29" s="520"/>
      <c r="BH29" s="520"/>
      <c r="BI29" s="520"/>
      <c r="BJ29" s="520"/>
      <c r="BK29" s="520"/>
      <c r="BL29" s="520"/>
      <c r="BM29" s="520"/>
      <c r="BN29" s="520"/>
      <c r="BO29" s="520"/>
      <c r="BP29" s="520"/>
      <c r="BQ29" s="520"/>
      <c r="BR29" s="520"/>
      <c r="BS29" s="520"/>
      <c r="BT29" s="520"/>
      <c r="BU29" s="520"/>
      <c r="BV29" s="520"/>
      <c r="BW29" s="520"/>
      <c r="BX29" s="520"/>
      <c r="BY29" s="520"/>
      <c r="BZ29" s="520"/>
      <c r="CA29" s="520"/>
      <c r="CB29" s="520"/>
      <c r="CC29" s="520"/>
      <c r="CD29" s="520"/>
      <c r="CE29" s="520"/>
      <c r="CF29" s="520"/>
      <c r="CG29" s="520"/>
      <c r="CH29" s="520"/>
      <c r="CI29" s="520"/>
      <c r="CJ29" s="249"/>
      <c r="CK29" s="398">
        <f t="shared" si="3"/>
        <v>0</v>
      </c>
      <c r="CL29" s="610"/>
      <c r="CM29" s="512"/>
    </row>
    <row r="30" spans="1:91">
      <c r="A30" s="512"/>
      <c r="B30" s="521"/>
      <c r="C30" s="392" t="s">
        <v>353</v>
      </c>
      <c r="D30" s="399" t="s">
        <v>223</v>
      </c>
      <c r="E30" s="525"/>
      <c r="F30" s="525"/>
      <c r="G30" s="525"/>
      <c r="H30" s="525"/>
      <c r="I30" s="525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25"/>
      <c r="AC30" s="523"/>
      <c r="AD30" s="523"/>
      <c r="AE30" s="523"/>
      <c r="AF30" s="523"/>
      <c r="AG30" s="523"/>
      <c r="AH30" s="523"/>
      <c r="AI30" s="523"/>
      <c r="AJ30" s="523"/>
      <c r="AK30" s="523"/>
      <c r="AL30" s="523"/>
      <c r="AM30" s="523"/>
      <c r="AN30" s="523"/>
      <c r="AO30" s="523"/>
      <c r="AP30" s="523"/>
      <c r="AQ30" s="523"/>
      <c r="AR30" s="523"/>
      <c r="AS30" s="523"/>
      <c r="AT30" s="523"/>
      <c r="AU30" s="523"/>
      <c r="AV30" s="523"/>
      <c r="AW30" s="523"/>
      <c r="AX30" s="523"/>
      <c r="AY30" s="523"/>
      <c r="AZ30" s="523"/>
      <c r="BA30" s="523"/>
      <c r="BB30" s="523"/>
      <c r="BC30" s="523"/>
      <c r="BD30" s="523"/>
      <c r="BE30" s="523"/>
      <c r="BF30" s="523"/>
      <c r="BG30" s="523"/>
      <c r="BH30" s="523"/>
      <c r="BI30" s="523"/>
      <c r="BJ30" s="523"/>
      <c r="BK30" s="523"/>
      <c r="BL30" s="523"/>
      <c r="BM30" s="523"/>
      <c r="BN30" s="523"/>
      <c r="BO30" s="523"/>
      <c r="BP30" s="523"/>
      <c r="BQ30" s="523"/>
      <c r="BR30" s="523"/>
      <c r="BS30" s="523"/>
      <c r="BT30" s="523"/>
      <c r="BU30" s="523"/>
      <c r="BV30" s="523"/>
      <c r="BW30" s="523"/>
      <c r="BX30" s="523"/>
      <c r="BY30" s="523"/>
      <c r="BZ30" s="523"/>
      <c r="CA30" s="523"/>
      <c r="CB30" s="523"/>
      <c r="CC30" s="523"/>
      <c r="CD30" s="523"/>
      <c r="CE30" s="523"/>
      <c r="CF30" s="523"/>
      <c r="CG30" s="523"/>
      <c r="CH30" s="523"/>
      <c r="CI30" s="523"/>
      <c r="CJ30" s="392"/>
      <c r="CK30" s="394">
        <f t="shared" si="3"/>
        <v>0</v>
      </c>
      <c r="CL30" s="614"/>
      <c r="CM30" s="512"/>
    </row>
    <row r="33" spans="2:88" ht="15.95">
      <c r="B33" s="582" t="s">
        <v>354</v>
      </c>
      <c r="C33" s="592"/>
      <c r="D33" s="400"/>
      <c r="E33" s="401">
        <f t="shared" ref="E33:BW33" si="4">SUM(E3:E10)+SUM(E13:E20)+SUM(E23:E30)</f>
        <v>0</v>
      </c>
      <c r="F33" s="401">
        <f t="shared" si="4"/>
        <v>0</v>
      </c>
      <c r="G33" s="401">
        <f t="shared" si="4"/>
        <v>0</v>
      </c>
      <c r="H33" s="401">
        <f t="shared" si="4"/>
        <v>16365002</v>
      </c>
      <c r="I33" s="401">
        <f t="shared" si="4"/>
        <v>1000000</v>
      </c>
      <c r="J33" s="401">
        <f t="shared" si="4"/>
        <v>0</v>
      </c>
      <c r="K33" s="401">
        <f t="shared" si="4"/>
        <v>0</v>
      </c>
      <c r="L33" s="401">
        <f t="shared" si="4"/>
        <v>0</v>
      </c>
      <c r="M33" s="401">
        <f t="shared" si="4"/>
        <v>0</v>
      </c>
      <c r="N33" s="401">
        <f t="shared" si="4"/>
        <v>0</v>
      </c>
      <c r="O33" s="401">
        <f t="shared" si="4"/>
        <v>3000000</v>
      </c>
      <c r="P33" s="401">
        <f t="shared" si="4"/>
        <v>2100000</v>
      </c>
      <c r="Q33" s="401">
        <f t="shared" si="4"/>
        <v>0</v>
      </c>
      <c r="R33" s="401">
        <f t="shared" si="4"/>
        <v>0</v>
      </c>
      <c r="S33" s="401">
        <f t="shared" si="4"/>
        <v>0</v>
      </c>
      <c r="T33" s="401">
        <f t="shared" si="4"/>
        <v>-22465002</v>
      </c>
      <c r="U33" s="401">
        <f t="shared" si="4"/>
        <v>0</v>
      </c>
      <c r="V33" s="401">
        <f t="shared" si="4"/>
        <v>0</v>
      </c>
      <c r="W33" s="401">
        <f t="shared" si="4"/>
        <v>0</v>
      </c>
      <c r="X33" s="401">
        <f t="shared" si="4"/>
        <v>0</v>
      </c>
      <c r="Y33" s="401">
        <f t="shared" si="4"/>
        <v>0</v>
      </c>
      <c r="Z33" s="401">
        <f t="shared" si="4"/>
        <v>0</v>
      </c>
      <c r="AA33" s="401">
        <f t="shared" si="4"/>
        <v>0</v>
      </c>
      <c r="AB33" s="401">
        <f t="shared" si="4"/>
        <v>0</v>
      </c>
      <c r="AC33" s="401">
        <f t="shared" si="4"/>
        <v>0</v>
      </c>
      <c r="AD33" s="401">
        <f t="shared" si="4"/>
        <v>0</v>
      </c>
      <c r="AE33" s="401">
        <f t="shared" si="4"/>
        <v>0</v>
      </c>
      <c r="AF33" s="401">
        <f t="shared" si="4"/>
        <v>0</v>
      </c>
      <c r="AG33" s="401">
        <f t="shared" si="4"/>
        <v>0</v>
      </c>
      <c r="AH33" s="401">
        <f t="shared" si="4"/>
        <v>0</v>
      </c>
      <c r="AI33" s="401">
        <f t="shared" si="4"/>
        <v>0</v>
      </c>
      <c r="AJ33" s="401">
        <f t="shared" si="4"/>
        <v>0</v>
      </c>
      <c r="AK33" s="401">
        <f t="shared" si="4"/>
        <v>0</v>
      </c>
      <c r="AL33" s="401">
        <f t="shared" si="4"/>
        <v>0</v>
      </c>
      <c r="AM33" s="401">
        <f t="shared" si="4"/>
        <v>0</v>
      </c>
      <c r="AN33" s="401">
        <f t="shared" si="4"/>
        <v>0</v>
      </c>
      <c r="AO33" s="401">
        <f t="shared" si="4"/>
        <v>0</v>
      </c>
      <c r="AP33" s="401">
        <f t="shared" si="4"/>
        <v>0</v>
      </c>
      <c r="AQ33" s="401">
        <f t="shared" si="4"/>
        <v>0</v>
      </c>
      <c r="AR33" s="401">
        <f t="shared" si="4"/>
        <v>0</v>
      </c>
      <c r="AS33" s="401">
        <f t="shared" si="4"/>
        <v>0</v>
      </c>
      <c r="AT33" s="401">
        <f t="shared" si="4"/>
        <v>0</v>
      </c>
      <c r="AU33" s="401">
        <f t="shared" si="4"/>
        <v>0</v>
      </c>
      <c r="AV33" s="401">
        <f t="shared" si="4"/>
        <v>0</v>
      </c>
      <c r="AW33" s="401">
        <f t="shared" si="4"/>
        <v>0</v>
      </c>
      <c r="AX33" s="401">
        <f t="shared" si="4"/>
        <v>0</v>
      </c>
      <c r="AY33" s="401">
        <f t="shared" si="4"/>
        <v>0</v>
      </c>
      <c r="AZ33" s="401">
        <f t="shared" si="4"/>
        <v>0</v>
      </c>
      <c r="BA33" s="401">
        <f t="shared" si="4"/>
        <v>0</v>
      </c>
      <c r="BB33" s="401">
        <f t="shared" si="4"/>
        <v>0</v>
      </c>
      <c r="BC33" s="401">
        <f t="shared" si="4"/>
        <v>0</v>
      </c>
      <c r="BD33" s="401">
        <f t="shared" si="4"/>
        <v>0</v>
      </c>
      <c r="BE33" s="401">
        <f t="shared" si="4"/>
        <v>0</v>
      </c>
      <c r="BF33" s="401">
        <f t="shared" si="4"/>
        <v>0</v>
      </c>
      <c r="BG33" s="401">
        <f t="shared" si="4"/>
        <v>0</v>
      </c>
      <c r="BH33" s="401">
        <f t="shared" si="4"/>
        <v>0</v>
      </c>
      <c r="BI33" s="401">
        <f t="shared" si="4"/>
        <v>0</v>
      </c>
      <c r="BJ33" s="401">
        <f t="shared" si="4"/>
        <v>0</v>
      </c>
      <c r="BK33" s="401">
        <f t="shared" si="4"/>
        <v>0</v>
      </c>
      <c r="BL33" s="401">
        <f t="shared" si="4"/>
        <v>0</v>
      </c>
      <c r="BM33" s="401">
        <f t="shared" si="4"/>
        <v>0</v>
      </c>
      <c r="BN33" s="401">
        <f t="shared" si="4"/>
        <v>0</v>
      </c>
      <c r="BO33" s="401">
        <f t="shared" si="4"/>
        <v>0</v>
      </c>
      <c r="BP33" s="401">
        <f t="shared" si="4"/>
        <v>0</v>
      </c>
      <c r="BQ33" s="401">
        <f t="shared" si="4"/>
        <v>0</v>
      </c>
      <c r="BR33" s="401">
        <f t="shared" si="4"/>
        <v>0</v>
      </c>
      <c r="BS33" s="401">
        <f t="shared" si="4"/>
        <v>0</v>
      </c>
      <c r="BT33" s="401">
        <f t="shared" si="4"/>
        <v>0</v>
      </c>
      <c r="BU33" s="401">
        <f t="shared" si="4"/>
        <v>0</v>
      </c>
      <c r="BV33" s="401">
        <f t="shared" si="4"/>
        <v>0</v>
      </c>
      <c r="BW33" s="401">
        <f t="shared" si="4"/>
        <v>0</v>
      </c>
      <c r="BX33" s="401">
        <f>SUM(BX3:BX10)-SUM(BX13:BX20)+SUM(BX23:BX30)</f>
        <v>0</v>
      </c>
      <c r="BY33" s="401">
        <f t="shared" ref="BY33:CJ33" si="5">SUM(BY3:BY10)+SUM(BY13:BY20)+SUM(BY23:BY30)</f>
        <v>0</v>
      </c>
      <c r="BZ33" s="401">
        <f t="shared" si="5"/>
        <v>0</v>
      </c>
      <c r="CA33" s="401">
        <f t="shared" si="5"/>
        <v>0</v>
      </c>
      <c r="CB33" s="401">
        <f t="shared" si="5"/>
        <v>61195006</v>
      </c>
      <c r="CC33" s="401">
        <f t="shared" si="5"/>
        <v>128715673</v>
      </c>
      <c r="CD33" s="401">
        <f t="shared" si="5"/>
        <v>0</v>
      </c>
      <c r="CE33" s="401">
        <f t="shared" si="5"/>
        <v>0</v>
      </c>
      <c r="CF33" s="401">
        <f t="shared" si="5"/>
        <v>0</v>
      </c>
      <c r="CG33" s="401">
        <f t="shared" si="5"/>
        <v>0</v>
      </c>
      <c r="CH33" s="401">
        <f t="shared" si="5"/>
        <v>0</v>
      </c>
      <c r="CI33" s="401">
        <f t="shared" si="5"/>
        <v>0</v>
      </c>
      <c r="CJ33" s="402" t="e" vm="2">
        <f t="shared" si="5"/>
        <v>#VALUE!</v>
      </c>
    </row>
    <row r="34" spans="2:88" ht="14.1"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  <c r="AD34" s="403"/>
      <c r="AE34" s="403"/>
      <c r="AF34" s="403"/>
      <c r="AG34" s="403"/>
      <c r="AH34" s="403"/>
      <c r="AI34" s="403"/>
      <c r="AJ34" s="403"/>
      <c r="AK34" s="403"/>
      <c r="AL34" s="403"/>
      <c r="AM34" s="403"/>
      <c r="AN34" s="403"/>
      <c r="AO34" s="403"/>
      <c r="AP34" s="403"/>
      <c r="AQ34" s="403"/>
      <c r="AR34" s="403"/>
      <c r="AS34" s="403"/>
      <c r="AT34" s="403"/>
      <c r="AU34" s="403"/>
      <c r="AV34" s="403"/>
      <c r="AW34" s="403"/>
      <c r="AX34" s="403"/>
      <c r="AY34" s="403"/>
      <c r="AZ34" s="403"/>
      <c r="BA34" s="403"/>
      <c r="BB34" s="403"/>
      <c r="BC34" s="403"/>
      <c r="BD34" s="403"/>
      <c r="BE34" s="403"/>
      <c r="BF34" s="403"/>
      <c r="BG34" s="403"/>
      <c r="BH34" s="403"/>
      <c r="BI34" s="403"/>
      <c r="BJ34" s="403"/>
      <c r="BK34" s="403"/>
      <c r="BL34" s="403"/>
      <c r="BM34" s="403"/>
      <c r="BN34" s="403"/>
      <c r="BO34" s="403"/>
      <c r="BP34" s="403"/>
      <c r="BQ34" s="403"/>
      <c r="BR34" s="403"/>
      <c r="BS34" s="403"/>
      <c r="BT34" s="403"/>
      <c r="BU34" s="403"/>
      <c r="BV34" s="403"/>
      <c r="BW34" s="403"/>
      <c r="BX34" s="403"/>
      <c r="BY34" s="403"/>
      <c r="BZ34" s="403"/>
      <c r="CA34" s="403"/>
      <c r="CB34" s="403"/>
      <c r="CC34" s="403"/>
      <c r="CD34" s="403"/>
      <c r="CE34" s="403"/>
      <c r="CF34" s="403"/>
      <c r="CG34" s="403"/>
      <c r="CH34" s="403"/>
      <c r="CI34" s="403"/>
      <c r="CJ34" s="403"/>
    </row>
    <row r="35" spans="2:88" ht="22.5" customHeight="1">
      <c r="B35" s="583" t="s">
        <v>355</v>
      </c>
      <c r="C35" s="592"/>
      <c r="D35" s="404"/>
      <c r="E35" s="405">
        <f>E33</f>
        <v>0</v>
      </c>
      <c r="F35" s="405">
        <f t="shared" ref="F35:CJ35" si="6">E35+F33</f>
        <v>0</v>
      </c>
      <c r="G35" s="405">
        <f t="shared" si="6"/>
        <v>0</v>
      </c>
      <c r="H35" s="405">
        <f t="shared" si="6"/>
        <v>16365002</v>
      </c>
      <c r="I35" s="405">
        <f t="shared" si="6"/>
        <v>17365002</v>
      </c>
      <c r="J35" s="405">
        <f t="shared" si="6"/>
        <v>17365002</v>
      </c>
      <c r="K35" s="405">
        <f t="shared" si="6"/>
        <v>17365002</v>
      </c>
      <c r="L35" s="405">
        <f t="shared" si="6"/>
        <v>17365002</v>
      </c>
      <c r="M35" s="405">
        <f t="shared" si="6"/>
        <v>17365002</v>
      </c>
      <c r="N35" s="405">
        <f t="shared" si="6"/>
        <v>17365002</v>
      </c>
      <c r="O35" s="405">
        <f t="shared" si="6"/>
        <v>20365002</v>
      </c>
      <c r="P35" s="405">
        <f t="shared" si="6"/>
        <v>22465002</v>
      </c>
      <c r="Q35" s="405">
        <f t="shared" si="6"/>
        <v>22465002</v>
      </c>
      <c r="R35" s="405">
        <f t="shared" si="6"/>
        <v>22465002</v>
      </c>
      <c r="S35" s="405">
        <f t="shared" si="6"/>
        <v>22465002</v>
      </c>
      <c r="T35" s="405">
        <f t="shared" si="6"/>
        <v>0</v>
      </c>
      <c r="U35" s="405">
        <f t="shared" si="6"/>
        <v>0</v>
      </c>
      <c r="V35" s="405">
        <f t="shared" si="6"/>
        <v>0</v>
      </c>
      <c r="W35" s="405">
        <f t="shared" si="6"/>
        <v>0</v>
      </c>
      <c r="X35" s="405">
        <f t="shared" si="6"/>
        <v>0</v>
      </c>
      <c r="Y35" s="405">
        <f t="shared" si="6"/>
        <v>0</v>
      </c>
      <c r="Z35" s="405">
        <f t="shared" si="6"/>
        <v>0</v>
      </c>
      <c r="AA35" s="405">
        <f t="shared" si="6"/>
        <v>0</v>
      </c>
      <c r="AB35" s="405">
        <f t="shared" si="6"/>
        <v>0</v>
      </c>
      <c r="AC35" s="405">
        <f t="shared" si="6"/>
        <v>0</v>
      </c>
      <c r="AD35" s="405">
        <f t="shared" si="6"/>
        <v>0</v>
      </c>
      <c r="AE35" s="405">
        <f t="shared" si="6"/>
        <v>0</v>
      </c>
      <c r="AF35" s="405">
        <f t="shared" si="6"/>
        <v>0</v>
      </c>
      <c r="AG35" s="405">
        <f t="shared" si="6"/>
        <v>0</v>
      </c>
      <c r="AH35" s="405">
        <f t="shared" si="6"/>
        <v>0</v>
      </c>
      <c r="AI35" s="405">
        <f t="shared" si="6"/>
        <v>0</v>
      </c>
      <c r="AJ35" s="405">
        <f t="shared" si="6"/>
        <v>0</v>
      </c>
      <c r="AK35" s="405">
        <f t="shared" si="6"/>
        <v>0</v>
      </c>
      <c r="AL35" s="405">
        <f t="shared" si="6"/>
        <v>0</v>
      </c>
      <c r="AM35" s="405">
        <f t="shared" si="6"/>
        <v>0</v>
      </c>
      <c r="AN35" s="405">
        <f t="shared" si="6"/>
        <v>0</v>
      </c>
      <c r="AO35" s="405">
        <f t="shared" si="6"/>
        <v>0</v>
      </c>
      <c r="AP35" s="405">
        <f t="shared" si="6"/>
        <v>0</v>
      </c>
      <c r="AQ35" s="405">
        <f t="shared" si="6"/>
        <v>0</v>
      </c>
      <c r="AR35" s="405">
        <f t="shared" si="6"/>
        <v>0</v>
      </c>
      <c r="AS35" s="405">
        <f t="shared" si="6"/>
        <v>0</v>
      </c>
      <c r="AT35" s="405">
        <f t="shared" si="6"/>
        <v>0</v>
      </c>
      <c r="AU35" s="405">
        <f t="shared" si="6"/>
        <v>0</v>
      </c>
      <c r="AV35" s="405">
        <f t="shared" si="6"/>
        <v>0</v>
      </c>
      <c r="AW35" s="405">
        <f t="shared" si="6"/>
        <v>0</v>
      </c>
      <c r="AX35" s="405">
        <f t="shared" si="6"/>
        <v>0</v>
      </c>
      <c r="AY35" s="405">
        <f t="shared" si="6"/>
        <v>0</v>
      </c>
      <c r="AZ35" s="405">
        <f t="shared" si="6"/>
        <v>0</v>
      </c>
      <c r="BA35" s="405">
        <f t="shared" si="6"/>
        <v>0</v>
      </c>
      <c r="BB35" s="405">
        <f t="shared" si="6"/>
        <v>0</v>
      </c>
      <c r="BC35" s="405">
        <f t="shared" si="6"/>
        <v>0</v>
      </c>
      <c r="BD35" s="405">
        <f t="shared" si="6"/>
        <v>0</v>
      </c>
      <c r="BE35" s="405">
        <f t="shared" si="6"/>
        <v>0</v>
      </c>
      <c r="BF35" s="405">
        <f t="shared" si="6"/>
        <v>0</v>
      </c>
      <c r="BG35" s="405">
        <f t="shared" si="6"/>
        <v>0</v>
      </c>
      <c r="BH35" s="405">
        <f t="shared" si="6"/>
        <v>0</v>
      </c>
      <c r="BI35" s="405">
        <f t="shared" si="6"/>
        <v>0</v>
      </c>
      <c r="BJ35" s="405">
        <f t="shared" si="6"/>
        <v>0</v>
      </c>
      <c r="BK35" s="405">
        <f t="shared" si="6"/>
        <v>0</v>
      </c>
      <c r="BL35" s="405">
        <f t="shared" si="6"/>
        <v>0</v>
      </c>
      <c r="BM35" s="405">
        <f t="shared" si="6"/>
        <v>0</v>
      </c>
      <c r="BN35" s="405">
        <f t="shared" si="6"/>
        <v>0</v>
      </c>
      <c r="BO35" s="405">
        <f t="shared" si="6"/>
        <v>0</v>
      </c>
      <c r="BP35" s="405">
        <f t="shared" si="6"/>
        <v>0</v>
      </c>
      <c r="BQ35" s="405">
        <f t="shared" si="6"/>
        <v>0</v>
      </c>
      <c r="BR35" s="405">
        <f t="shared" si="6"/>
        <v>0</v>
      </c>
      <c r="BS35" s="405">
        <f t="shared" si="6"/>
        <v>0</v>
      </c>
      <c r="BT35" s="405">
        <f t="shared" si="6"/>
        <v>0</v>
      </c>
      <c r="BU35" s="405">
        <f t="shared" si="6"/>
        <v>0</v>
      </c>
      <c r="BV35" s="405">
        <f t="shared" si="6"/>
        <v>0</v>
      </c>
      <c r="BW35" s="405">
        <f t="shared" si="6"/>
        <v>0</v>
      </c>
      <c r="BX35" s="405">
        <f t="shared" si="6"/>
        <v>0</v>
      </c>
      <c r="BY35" s="405">
        <f t="shared" si="6"/>
        <v>0</v>
      </c>
      <c r="BZ35" s="405">
        <f t="shared" si="6"/>
        <v>0</v>
      </c>
      <c r="CA35" s="405">
        <f t="shared" si="6"/>
        <v>0</v>
      </c>
      <c r="CB35" s="405">
        <f t="shared" si="6"/>
        <v>61195006</v>
      </c>
      <c r="CC35" s="405">
        <f t="shared" si="6"/>
        <v>189910679</v>
      </c>
      <c r="CD35" s="405">
        <f t="shared" si="6"/>
        <v>189910679</v>
      </c>
      <c r="CE35" s="405">
        <f t="shared" si="6"/>
        <v>189910679</v>
      </c>
      <c r="CF35" s="405">
        <f t="shared" si="6"/>
        <v>189910679</v>
      </c>
      <c r="CG35" s="405">
        <f t="shared" si="6"/>
        <v>189910679</v>
      </c>
      <c r="CH35" s="405">
        <f t="shared" si="6"/>
        <v>189910679</v>
      </c>
      <c r="CI35" s="405">
        <f t="shared" si="6"/>
        <v>189910679</v>
      </c>
      <c r="CJ35" s="406" t="e" vm="2">
        <f t="shared" si="6"/>
        <v>#VALUE!</v>
      </c>
    </row>
  </sheetData>
  <mergeCells count="14">
    <mergeCell ref="B33:C33"/>
    <mergeCell ref="B35:C35"/>
    <mergeCell ref="E1:P1"/>
    <mergeCell ref="Q1:AB1"/>
    <mergeCell ref="AC1:AN1"/>
    <mergeCell ref="B3:B6"/>
    <mergeCell ref="BY1:CJ1"/>
    <mergeCell ref="CL3:CL6"/>
    <mergeCell ref="CL13:CL20"/>
    <mergeCell ref="CL23:CL30"/>
    <mergeCell ref="B7:B10"/>
    <mergeCell ref="AO1:AZ1"/>
    <mergeCell ref="BA1:BL1"/>
    <mergeCell ref="BM1:BX1"/>
  </mergeCells>
  <conditionalFormatting sqref="E35:CN35">
    <cfRule type="cellIs" dxfId="6" priority="1" operator="lessThan">
      <formula>0</formula>
    </cfRule>
  </conditionalFormatting>
  <pageMargins left="0" right="0" top="0" bottom="0" header="0" footer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B5"/>
  <sheetViews>
    <sheetView workbookViewId="0"/>
  </sheetViews>
  <sheetFormatPr defaultColWidth="12.625" defaultRowHeight="15" customHeight="1"/>
  <sheetData>
    <row r="5" spans="2:2" ht="15" customHeight="1">
      <c r="B5" s="329">
        <f>-'Cash-flow FAKT (Report)'!N99</f>
        <v>51071399.972000003</v>
      </c>
    </row>
  </sheetData>
  <pageMargins left="0" right="0" top="0" bottom="0" header="0" footer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2:K9"/>
  <sheetViews>
    <sheetView workbookViewId="0"/>
  </sheetViews>
  <sheetFormatPr defaultColWidth="12.625" defaultRowHeight="15" customHeight="1"/>
  <cols>
    <col min="1" max="1" width="25.125" customWidth="1"/>
    <col min="4" max="4" width="13.375" customWidth="1"/>
  </cols>
  <sheetData>
    <row r="2" spans="1:11" ht="14.1">
      <c r="A2" s="407" t="s">
        <v>356</v>
      </c>
    </row>
    <row r="3" spans="1:11" ht="57" customHeight="1">
      <c r="A3" s="408"/>
      <c r="B3" s="409" t="s">
        <v>357</v>
      </c>
      <c r="C3" s="409" t="s">
        <v>160</v>
      </c>
      <c r="D3" s="409" t="s">
        <v>161</v>
      </c>
      <c r="E3" s="409" t="s">
        <v>162</v>
      </c>
      <c r="F3" s="409" t="s">
        <v>173</v>
      </c>
      <c r="G3" s="409" t="s">
        <v>174</v>
      </c>
      <c r="H3" s="409" t="s">
        <v>175</v>
      </c>
      <c r="I3" s="409" t="s">
        <v>358</v>
      </c>
    </row>
    <row r="4" spans="1:11">
      <c r="A4" s="410" t="s">
        <v>359</v>
      </c>
      <c r="B4" s="411">
        <v>2000</v>
      </c>
      <c r="C4" s="411">
        <v>54000</v>
      </c>
      <c r="D4" s="411">
        <v>155000</v>
      </c>
      <c r="E4" s="411">
        <v>155000</v>
      </c>
      <c r="F4" s="411">
        <v>195000</v>
      </c>
      <c r="G4" s="411">
        <v>245000</v>
      </c>
      <c r="H4" s="411">
        <v>22700</v>
      </c>
      <c r="I4" s="411">
        <v>18960</v>
      </c>
    </row>
    <row r="5" spans="1:11">
      <c r="A5" s="410" t="s">
        <v>360</v>
      </c>
      <c r="B5" s="411">
        <v>4000</v>
      </c>
      <c r="C5" s="411">
        <v>54000</v>
      </c>
      <c r="D5" s="411">
        <v>175000</v>
      </c>
      <c r="E5" s="411">
        <v>175000</v>
      </c>
      <c r="F5" s="411">
        <v>195000</v>
      </c>
      <c r="G5" s="411">
        <v>295000</v>
      </c>
      <c r="H5" s="411">
        <v>27000</v>
      </c>
      <c r="I5" s="411">
        <v>18960</v>
      </c>
    </row>
    <row r="6" spans="1:11">
      <c r="A6" s="410" t="s">
        <v>361</v>
      </c>
      <c r="B6" s="411">
        <v>6000</v>
      </c>
      <c r="C6" s="411">
        <v>54000</v>
      </c>
      <c r="D6" s="411">
        <v>185000</v>
      </c>
      <c r="E6" s="411">
        <v>185000</v>
      </c>
      <c r="F6" s="411">
        <v>195000</v>
      </c>
      <c r="G6" s="411">
        <v>295000</v>
      </c>
      <c r="H6" s="411">
        <v>27000</v>
      </c>
      <c r="I6" s="411">
        <v>22700</v>
      </c>
    </row>
    <row r="7" spans="1:11">
      <c r="A7" s="410" t="s">
        <v>362</v>
      </c>
      <c r="B7" s="411"/>
      <c r="C7" s="411">
        <v>54000</v>
      </c>
      <c r="D7" s="411">
        <v>205000</v>
      </c>
      <c r="E7" s="411">
        <v>205000</v>
      </c>
      <c r="F7" s="411">
        <v>195000</v>
      </c>
      <c r="G7" s="411">
        <v>350000</v>
      </c>
      <c r="H7" s="411">
        <v>35000</v>
      </c>
      <c r="I7" s="411">
        <v>29500</v>
      </c>
    </row>
    <row r="9" spans="1:11" ht="14.1">
      <c r="A9" s="615"/>
      <c r="B9" s="588"/>
      <c r="C9" s="588"/>
      <c r="D9" s="588"/>
      <c r="E9" s="588"/>
      <c r="F9" s="588"/>
      <c r="G9" s="588"/>
      <c r="H9" s="588"/>
      <c r="I9" s="588"/>
      <c r="J9" s="588"/>
      <c r="K9" s="588"/>
    </row>
  </sheetData>
  <mergeCells count="1">
    <mergeCell ref="A9:K9"/>
  </mergeCells>
  <pageMargins left="0" right="0" top="0" bottom="0" header="0" footer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FF00"/>
    <outlinePr summaryBelow="0" summaryRight="0"/>
  </sheetPr>
  <dimension ref="A1:EH200"/>
  <sheetViews>
    <sheetView workbookViewId="0">
      <pane xSplit="3" ySplit="4" topLeftCell="D5" activePane="bottomRight" state="frozen"/>
      <selection pane="bottomRight" activeCell="D5" sqref="D5"/>
      <selection pane="bottomLeft" activeCell="A5" sqref="A5"/>
      <selection pane="topRight" activeCell="D1" sqref="D1"/>
    </sheetView>
  </sheetViews>
  <sheetFormatPr defaultColWidth="12.625" defaultRowHeight="15" customHeight="1" outlineLevelRow="2" outlineLevelCol="2"/>
  <cols>
    <col min="1" max="1" width="2.375" customWidth="1"/>
    <col min="3" max="3" width="40.125" customWidth="1"/>
    <col min="4" max="4" width="12.625" outlineLevel="1"/>
    <col min="5" max="5" width="10.875" customWidth="1" outlineLevel="1"/>
    <col min="6" max="16" width="10.875" customWidth="1" outlineLevel="2"/>
    <col min="17" max="17" width="10.875" customWidth="1" outlineLevel="1"/>
    <col min="18" max="20" width="10.875" customWidth="1" outlineLevel="2"/>
    <col min="21" max="21" width="9.125" customWidth="1" outlineLevel="2"/>
    <col min="22" max="28" width="12.625" customWidth="1" outlineLevel="2"/>
    <col min="29" max="29" width="9.875" customWidth="1" outlineLevel="1" collapsed="1"/>
    <col min="30" max="40" width="6.5" hidden="1" customWidth="1" outlineLevel="2"/>
    <col min="41" max="41" width="6.5" customWidth="1" outlineLevel="1" collapsed="1"/>
    <col min="42" max="52" width="6.5" hidden="1" customWidth="1" outlineLevel="2"/>
    <col min="53" max="53" width="6.5" customWidth="1" outlineLevel="1" collapsed="1"/>
    <col min="54" max="64" width="6.5" hidden="1" customWidth="1" outlineLevel="2"/>
    <col min="65" max="65" width="6.5" customWidth="1" outlineLevel="1" collapsed="1"/>
    <col min="66" max="76" width="6.5" hidden="1" customWidth="1" outlineLevel="2"/>
    <col min="79" max="79" width="12.625" collapsed="1"/>
    <col min="80" max="82" width="12.625" hidden="1" outlineLevel="1"/>
  </cols>
  <sheetData>
    <row r="1" spans="1:138">
      <c r="A1" s="222"/>
      <c r="B1" s="357" t="s">
        <v>199</v>
      </c>
      <c r="C1" s="358">
        <v>45688</v>
      </c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</row>
    <row r="2" spans="1:138">
      <c r="A2" s="505"/>
      <c r="B2" s="567" t="s">
        <v>200</v>
      </c>
      <c r="C2" s="597"/>
      <c r="D2" s="505"/>
      <c r="E2" s="559">
        <v>45292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9"/>
      <c r="Q2" s="558">
        <v>2025</v>
      </c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9"/>
      <c r="AC2" s="558">
        <v>2026</v>
      </c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9"/>
      <c r="AO2" s="559">
        <v>46388</v>
      </c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9"/>
      <c r="BA2" s="559">
        <v>46753</v>
      </c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9"/>
      <c r="BM2" s="559">
        <v>47119</v>
      </c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9"/>
      <c r="BY2" s="560" t="s">
        <v>201</v>
      </c>
      <c r="BZ2" s="597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</row>
    <row r="3" spans="1:138">
      <c r="A3" s="505"/>
      <c r="B3" s="588"/>
      <c r="C3" s="597"/>
      <c r="D3" s="505"/>
      <c r="E3" s="226" t="str">
        <f>IFERROR(VLOOKUP(TEXT(E4,"mm.yyyy"),HMG!$B$2:$C$1001, 2, FALSE),"")</f>
        <v>zapis KS</v>
      </c>
      <c r="F3" s="226" t="str">
        <f>IFERROR(VLOOKUP(TEXT(F4,"mm.yyyy"),HMG!$B$2:$C$1001, 2, FALSE),"")</f>
        <v/>
      </c>
      <c r="G3" s="226" t="str">
        <f>IFERROR(VLOOKUP(TEXT(G4,"mm.yyyy"),HMG!$B$2:$C$1001, 2, FALSE),"")</f>
        <v/>
      </c>
      <c r="H3" s="226" t="str">
        <f>IFERROR(VLOOKUP(TEXT(H4,"mm.yyyy"),HMG!$B$2:$C$1001, 2, FALSE),"")</f>
        <v/>
      </c>
      <c r="I3" s="226" t="str">
        <f>IFERROR(VLOOKUP(TEXT(I4,"mm.yyyy"),HMG!$B$2:$C$1001, 2, FALSE),"")</f>
        <v/>
      </c>
      <c r="J3" s="226" t="str">
        <f>IFERROR(VLOOKUP(TEXT(J4,"mm.yyyy"),HMG!$B$2:$C$1001, 2, FALSE),"")</f>
        <v/>
      </c>
      <c r="K3" s="226" t="str">
        <f>IFERROR(VLOOKUP(TEXT(K4,"mm.yyyy"),HMG!$B$2:$C$1001, 2, FALSE),"")</f>
        <v/>
      </c>
      <c r="L3" s="226" t="str">
        <f>IFERROR(VLOOKUP(TEXT(L4,"mm.yyyy"),HMG!$B$2:$C$1001, 2, FALSE),"")</f>
        <v/>
      </c>
      <c r="M3" s="226" t="str">
        <f>IFERROR(VLOOKUP(TEXT(M4,"mm.yyyy"),HMG!$B$2:$C$1001, 2, FALSE),"")</f>
        <v/>
      </c>
      <c r="N3" s="226" t="str">
        <f>IFERROR(VLOOKUP(TEXT(N4,"mm.yyyy"),HMG!$B$2:$C$1001, 2, FALSE),"")</f>
        <v/>
      </c>
      <c r="O3" s="226" t="str">
        <f>IFERROR(VLOOKUP(TEXT(O4,"mm.yyyy"),HMG!$B$2:$C$1001, 2, FALSE),"")</f>
        <v/>
      </c>
      <c r="P3" s="226" t="str">
        <f>IFERROR(VLOOKUP(TEXT(P4,"mm.yyyy"),HMG!$B$2:$C$1001, 2, FALSE),"")</f>
        <v/>
      </c>
      <c r="Q3" s="226" t="str">
        <f>IFERROR(VLOOKUP(TEXT(Q4,"mm.yyyy"),HMG!$B$2:$C$1001, 2, FALSE),"")</f>
        <v>zapis KS</v>
      </c>
      <c r="R3" s="226" t="str">
        <f>IFERROR(VLOOKUP(TEXT(R4,"mm.yyyy"),HMG!$B$2:$C$1001, 2, FALSE),"")</f>
        <v/>
      </c>
      <c r="S3" s="226" t="str">
        <f>IFERROR(VLOOKUP(TEXT(S4,"mm.yyyy"),HMG!$B$2:$C$1001, 2, FALSE),"")</f>
        <v/>
      </c>
      <c r="T3" s="226" t="str">
        <f>IFERROR(VLOOKUP(TEXT(T4,"mm.yyyy"),HMG!$B$2:$C$1001, 2, FALSE),"")</f>
        <v/>
      </c>
      <c r="U3" s="226" t="str">
        <f>IFERROR(VLOOKUP(TEXT(U4,"mm.yyyy"),HMG!$B$2:$C$1001, 2, FALSE),"")</f>
        <v/>
      </c>
      <c r="V3" s="226" t="str">
        <f>IFERROR(VLOOKUP(TEXT(V4,"mm.yyyy"),HMG!$B$2:$C$1001, 2, FALSE),"")</f>
        <v/>
      </c>
      <c r="W3" s="226" t="str">
        <f>IFERROR(VLOOKUP(TEXT(W4,"mm.yyyy"),HMG!$B$2:$C$1001, 2, FALSE),"")</f>
        <v/>
      </c>
      <c r="X3" s="226" t="str">
        <f>IFERROR(VLOOKUP(TEXT(X4,"mm.yyyy"),HMG!$B$2:$C$1001, 2, FALSE),"")</f>
        <v/>
      </c>
      <c r="Y3" s="226" t="str">
        <f>IFERROR(VLOOKUP(TEXT(Y4,"mm.yyyy"),HMG!$B$2:$C$1001, 2, FALSE),"")</f>
        <v/>
      </c>
      <c r="Z3" s="226" t="str">
        <f>IFERROR(VLOOKUP(TEXT(Z4,"mm.yyyy"),HMG!$B$2:$C$1001, 2, FALSE),"")</f>
        <v/>
      </c>
      <c r="AA3" s="226" t="str">
        <f>IFERROR(VLOOKUP(TEXT(AA4,"mm.yyyy"),HMG!$B$2:$C$1001, 2, FALSE),"")</f>
        <v/>
      </c>
      <c r="AB3" s="226" t="str">
        <f>IFERROR(VLOOKUP(TEXT(AB4,"mm.yyyy"),HMG!$B$2:$C$1001, 2, FALSE),"")</f>
        <v/>
      </c>
      <c r="AC3" s="226" t="str">
        <f>IFERROR(VLOOKUP(TEXT(AC4,"mm.yyyy"),HMG!$B$2:$C$1001, 2, FALSE),"")</f>
        <v>zapis KS</v>
      </c>
      <c r="AD3" s="226" t="str">
        <f>IFERROR(VLOOKUP(TEXT(AD4,"mm.yyyy"),HMG!$B$2:$C$1001, 2, FALSE),"")</f>
        <v/>
      </c>
      <c r="AE3" s="226" t="str">
        <f>IFERROR(VLOOKUP(TEXT(AE4,"mm.yyyy"),HMG!$B$2:$C$1001, 2, FALSE),"")</f>
        <v/>
      </c>
      <c r="AF3" s="226" t="str">
        <f>IFERROR(VLOOKUP(TEXT(AF4,"mm.yyyy"),HMG!$B$2:$C$1001, 2, FALSE),"")</f>
        <v/>
      </c>
      <c r="AG3" s="226" t="str">
        <f>IFERROR(VLOOKUP(TEXT(AG4,"mm.yyyy"),HMG!$B$2:$C$1001, 2, FALSE),"")</f>
        <v/>
      </c>
      <c r="AH3" s="226" t="str">
        <f>IFERROR(VLOOKUP(TEXT(AH4,"mm.yyyy"),HMG!$B$2:$C$1001, 2, FALSE),"")</f>
        <v/>
      </c>
      <c r="AI3" s="226" t="str">
        <f>IFERROR(VLOOKUP(TEXT(AI4,"mm.yyyy"),HMG!$B$2:$C$1001, 2, FALSE),"")</f>
        <v/>
      </c>
      <c r="AJ3" s="226" t="str">
        <f>IFERROR(VLOOKUP(TEXT(AJ4,"mm.yyyy"),HMG!$B$2:$C$1001, 2, FALSE),"")</f>
        <v/>
      </c>
      <c r="AK3" s="226" t="str">
        <f>IFERROR(VLOOKUP(TEXT(AK4,"mm.yyyy"),HMG!$B$2:$C$1001, 2, FALSE),"")</f>
        <v/>
      </c>
      <c r="AL3" s="226" t="str">
        <f>IFERROR(VLOOKUP(TEXT(AL4,"mm.yyyy"),HMG!$B$2:$C$1001, 2, FALSE),"")</f>
        <v/>
      </c>
      <c r="AM3" s="226" t="str">
        <f>IFERROR(VLOOKUP(TEXT(AM4,"mm.yyyy"),HMG!$B$2:$C$1001, 2, FALSE),"")</f>
        <v/>
      </c>
      <c r="AN3" s="226" t="str">
        <f>IFERROR(VLOOKUP(TEXT(AN4,"mm.yyyy"),HMG!$B$2:$C$1001, 2, FALSE),"")</f>
        <v/>
      </c>
      <c r="AO3" s="226" t="str">
        <f>IFERROR(VLOOKUP(TEXT(AO4,"mm.yyyy"),HMG!$B$2:$C$1001, 2, FALSE),"")</f>
        <v>zapis KS</v>
      </c>
      <c r="AP3" s="226" t="str">
        <f>IFERROR(VLOOKUP(TEXT(AP4,"mm.yyyy"),HMG!$B$2:$C$1001, 2, FALSE),"")</f>
        <v/>
      </c>
      <c r="AQ3" s="226" t="str">
        <f>IFERROR(VLOOKUP(TEXT(AQ4,"mm.yyyy"),HMG!$B$2:$C$1001, 2, FALSE),"")</f>
        <v/>
      </c>
      <c r="AR3" s="226" t="str">
        <f>IFERROR(VLOOKUP(TEXT(AR4,"mm.yyyy"),HMG!$B$2:$C$1001, 2, FALSE),"")</f>
        <v/>
      </c>
      <c r="AS3" s="226" t="str">
        <f>IFERROR(VLOOKUP(TEXT(AS4,"mm.yyyy"),HMG!$B$2:$C$1001, 2, FALSE),"")</f>
        <v/>
      </c>
      <c r="AT3" s="226" t="str">
        <f>IFERROR(VLOOKUP(TEXT(AT4,"mm.yyyy"),HMG!$B$2:$C$1001, 2, FALSE),"")</f>
        <v/>
      </c>
      <c r="AU3" s="226" t="str">
        <f>IFERROR(VLOOKUP(TEXT(AU4,"mm.yyyy"),HMG!$B$2:$C$1001, 2, FALSE),"")</f>
        <v/>
      </c>
      <c r="AV3" s="226" t="str">
        <f>IFERROR(VLOOKUP(TEXT(AV4,"mm.yyyy"),HMG!$B$2:$C$1001, 2, FALSE),"")</f>
        <v/>
      </c>
      <c r="AW3" s="226" t="str">
        <f>IFERROR(VLOOKUP(TEXT(AW4,"mm.yyyy"),HMG!$B$2:$C$1001, 2, FALSE),"")</f>
        <v/>
      </c>
      <c r="AX3" s="226" t="str">
        <f>IFERROR(VLOOKUP(TEXT(AX4,"mm.yyyy"),HMG!$B$2:$C$1001, 2, FALSE),"")</f>
        <v/>
      </c>
      <c r="AY3" s="226" t="str">
        <f>IFERROR(VLOOKUP(TEXT(AY4,"mm.yyyy"),HMG!$B$2:$C$1001, 2, FALSE),"")</f>
        <v/>
      </c>
      <c r="AZ3" s="226" t="str">
        <f>IFERROR(VLOOKUP(TEXT(AZ4,"mm.yyyy"),HMG!$B$2:$C$1001, 2, FALSE),"")</f>
        <v/>
      </c>
      <c r="BA3" s="226" t="str">
        <f>IFERROR(VLOOKUP(TEXT(BA4,"mm.yyyy"),HMG!$B$2:$C$1001, 2, FALSE),"")</f>
        <v>zapis KS</v>
      </c>
      <c r="BB3" s="226" t="str">
        <f>IFERROR(VLOOKUP(TEXT(BB4,"mm.yyyy"),HMG!$B$2:$C$1001, 2, FALSE),"")</f>
        <v/>
      </c>
      <c r="BC3" s="226" t="str">
        <f>IFERROR(VLOOKUP(TEXT(BC4,"mm.yyyy"),HMG!$B$2:$C$1001, 2, FALSE),"")</f>
        <v/>
      </c>
      <c r="BD3" s="226" t="str">
        <f>IFERROR(VLOOKUP(TEXT(BD4,"mm.yyyy"),HMG!$B$2:$C$1001, 2, FALSE),"")</f>
        <v/>
      </c>
      <c r="BE3" s="226" t="str">
        <f>IFERROR(VLOOKUP(TEXT(BE4,"mm.yyyy"),HMG!$B$2:$C$1001, 2, FALSE),"")</f>
        <v/>
      </c>
      <c r="BF3" s="226" t="str">
        <f>IFERROR(VLOOKUP(TEXT(BF4,"mm.yyyy"),HMG!$B$2:$C$1001, 2, FALSE),"")</f>
        <v/>
      </c>
      <c r="BG3" s="226" t="str">
        <f>IFERROR(VLOOKUP(TEXT(BG4,"mm.yyyy"),HMG!$B$2:$C$1001, 2, FALSE),"")</f>
        <v/>
      </c>
      <c r="BH3" s="226" t="str">
        <f>IFERROR(VLOOKUP(TEXT(BH4,"mm.yyyy"),HMG!$B$2:$C$1001, 2, FALSE),"")</f>
        <v/>
      </c>
      <c r="BI3" s="226" t="str">
        <f>IFERROR(VLOOKUP(TEXT(BI4,"mm.yyyy"),HMG!$B$2:$C$1001, 2, FALSE),"")</f>
        <v/>
      </c>
      <c r="BJ3" s="226" t="str">
        <f>IFERROR(VLOOKUP(TEXT(BJ4,"mm.yyyy"),HMG!$B$2:$C$1001, 2, FALSE),"")</f>
        <v/>
      </c>
      <c r="BK3" s="226" t="str">
        <f>IFERROR(VLOOKUP(TEXT(BK4,"mm.yyyy"),HMG!$B$2:$C$1001, 2, FALSE),"")</f>
        <v/>
      </c>
      <c r="BL3" s="226" t="str">
        <f>IFERROR(VLOOKUP(TEXT(BL4,"mm.yyyy"),HMG!$B$2:$C$1001, 2, FALSE),"")</f>
        <v/>
      </c>
      <c r="BM3" s="226" t="str">
        <f>IFERROR(VLOOKUP(TEXT(BM4,"mm.yyyy"),HMG!$B$2:$C$1001, 2, FALSE),"")</f>
        <v>zapis KS</v>
      </c>
      <c r="BN3" s="226" t="str">
        <f>IFERROR(VLOOKUP(TEXT(BN4,"mm.yyyy"),HMG!$B$2:$C$1001, 2, FALSE),"")</f>
        <v/>
      </c>
      <c r="BO3" s="226" t="str">
        <f>IFERROR(VLOOKUP(TEXT(BO4,"mm.yyyy"),HMG!$B$2:$C$1001, 2, FALSE),"")</f>
        <v/>
      </c>
      <c r="BP3" s="226" t="str">
        <f>IFERROR(VLOOKUP(TEXT(BP4,"mm.yyyy"),HMG!$B$2:$C$1001, 2, FALSE),"")</f>
        <v/>
      </c>
      <c r="BQ3" s="226" t="str">
        <f>IFERROR(VLOOKUP(TEXT(BQ4,"mm.yyyy"),HMG!$B$2:$C$1001, 2, FALSE),"")</f>
        <v/>
      </c>
      <c r="BR3" s="226" t="str">
        <f>IFERROR(VLOOKUP(TEXT(BR4,"mm.yyyy"),HMG!$B$2:$C$1001, 2, FALSE),"")</f>
        <v/>
      </c>
      <c r="BS3" s="226" t="str">
        <f>IFERROR(VLOOKUP(TEXT(BS4,"mm.yyyy"),HMG!$B$2:$C$1001, 2, FALSE),"")</f>
        <v/>
      </c>
      <c r="BT3" s="226" t="str">
        <f>IFERROR(VLOOKUP(TEXT(BT4,"mm.yyyy"),HMG!$B$2:$C$1001, 2, FALSE),"")</f>
        <v/>
      </c>
      <c r="BU3" s="226" t="str">
        <f>IFERROR(VLOOKUP(TEXT(BU4,"mm.yyyy"),HMG!$B$2:$C$1001, 2, FALSE),"")</f>
        <v/>
      </c>
      <c r="BV3" s="226" t="str">
        <f>IFERROR(VLOOKUP(TEXT(BV4,"mm.yyyy"),HMG!$B$2:$C$1001, 2, FALSE),"")</f>
        <v/>
      </c>
      <c r="BW3" s="226" t="str">
        <f>IFERROR(VLOOKUP(TEXT(BW4,"mm.yyyy"),HMG!$B$2:$C$1001, 2, FALSE),"")</f>
        <v/>
      </c>
      <c r="BX3" s="226" t="str">
        <f>IFERROR(VLOOKUP(TEXT(BX4,"mm.yyyy"),HMG!$B$2:$C$1001, 2, FALSE),"")</f>
        <v/>
      </c>
      <c r="BY3" s="588"/>
      <c r="BZ3" s="597"/>
      <c r="CA3" s="222"/>
      <c r="CB3" s="222" t="s">
        <v>202</v>
      </c>
      <c r="CC3" s="222" t="s">
        <v>203</v>
      </c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2"/>
      <c r="CV3" s="222"/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</row>
    <row r="4" spans="1:138">
      <c r="A4" s="505"/>
      <c r="B4" s="591"/>
      <c r="C4" s="592"/>
      <c r="D4" s="506"/>
      <c r="E4" s="227">
        <v>45292</v>
      </c>
      <c r="F4" s="227">
        <v>45323</v>
      </c>
      <c r="G4" s="227">
        <v>45352</v>
      </c>
      <c r="H4" s="227">
        <v>45383</v>
      </c>
      <c r="I4" s="227">
        <v>45413</v>
      </c>
      <c r="J4" s="227">
        <v>45444</v>
      </c>
      <c r="K4" s="227">
        <v>45474</v>
      </c>
      <c r="L4" s="227">
        <v>45505</v>
      </c>
      <c r="M4" s="227">
        <v>45536</v>
      </c>
      <c r="N4" s="227">
        <v>45566</v>
      </c>
      <c r="O4" s="227">
        <v>45597</v>
      </c>
      <c r="P4" s="412">
        <v>45627</v>
      </c>
      <c r="Q4" s="227">
        <v>45658</v>
      </c>
      <c r="R4" s="227">
        <v>45689</v>
      </c>
      <c r="S4" s="227">
        <v>45717</v>
      </c>
      <c r="T4" s="227">
        <v>45748</v>
      </c>
      <c r="U4" s="227">
        <v>45778</v>
      </c>
      <c r="V4" s="227">
        <v>45809</v>
      </c>
      <c r="W4" s="227">
        <v>45839</v>
      </c>
      <c r="X4" s="227">
        <v>45870</v>
      </c>
      <c r="Y4" s="227">
        <v>45901</v>
      </c>
      <c r="Z4" s="227">
        <v>45931</v>
      </c>
      <c r="AA4" s="227">
        <v>45962</v>
      </c>
      <c r="AB4" s="227">
        <v>45992</v>
      </c>
      <c r="AC4" s="227">
        <v>46023</v>
      </c>
      <c r="AD4" s="227">
        <v>46054</v>
      </c>
      <c r="AE4" s="227">
        <v>46082</v>
      </c>
      <c r="AF4" s="227">
        <v>46113</v>
      </c>
      <c r="AG4" s="227">
        <v>46143</v>
      </c>
      <c r="AH4" s="227">
        <v>46174</v>
      </c>
      <c r="AI4" s="227">
        <v>46204</v>
      </c>
      <c r="AJ4" s="227">
        <v>46235</v>
      </c>
      <c r="AK4" s="227">
        <v>46266</v>
      </c>
      <c r="AL4" s="227">
        <v>46296</v>
      </c>
      <c r="AM4" s="227">
        <v>46327</v>
      </c>
      <c r="AN4" s="227">
        <v>46357</v>
      </c>
      <c r="AO4" s="227">
        <v>46388</v>
      </c>
      <c r="AP4" s="227">
        <v>46419</v>
      </c>
      <c r="AQ4" s="227">
        <v>46447</v>
      </c>
      <c r="AR4" s="227">
        <v>46478</v>
      </c>
      <c r="AS4" s="227">
        <v>46508</v>
      </c>
      <c r="AT4" s="227">
        <v>46539</v>
      </c>
      <c r="AU4" s="227">
        <v>46569</v>
      </c>
      <c r="AV4" s="227">
        <v>46600</v>
      </c>
      <c r="AW4" s="227">
        <v>46631</v>
      </c>
      <c r="AX4" s="227">
        <v>46661</v>
      </c>
      <c r="AY4" s="227">
        <v>46692</v>
      </c>
      <c r="AZ4" s="227">
        <v>46722</v>
      </c>
      <c r="BA4" s="227">
        <v>46753</v>
      </c>
      <c r="BB4" s="227">
        <v>46784</v>
      </c>
      <c r="BC4" s="227">
        <v>46813</v>
      </c>
      <c r="BD4" s="227">
        <v>46844</v>
      </c>
      <c r="BE4" s="227">
        <v>46874</v>
      </c>
      <c r="BF4" s="227">
        <v>46905</v>
      </c>
      <c r="BG4" s="227">
        <v>46935</v>
      </c>
      <c r="BH4" s="227">
        <v>46966</v>
      </c>
      <c r="BI4" s="227">
        <v>46997</v>
      </c>
      <c r="BJ4" s="227">
        <v>47027</v>
      </c>
      <c r="BK4" s="227">
        <v>47058</v>
      </c>
      <c r="BL4" s="227">
        <v>47088</v>
      </c>
      <c r="BM4" s="227">
        <v>47119</v>
      </c>
      <c r="BN4" s="227">
        <v>47150</v>
      </c>
      <c r="BO4" s="227">
        <v>47178</v>
      </c>
      <c r="BP4" s="227">
        <v>47209</v>
      </c>
      <c r="BQ4" s="227">
        <v>47239</v>
      </c>
      <c r="BR4" s="227">
        <v>47270</v>
      </c>
      <c r="BS4" s="227">
        <v>47300</v>
      </c>
      <c r="BT4" s="227">
        <v>47331</v>
      </c>
      <c r="BU4" s="227">
        <v>47362</v>
      </c>
      <c r="BV4" s="227">
        <v>47392</v>
      </c>
      <c r="BW4" s="227">
        <v>47423</v>
      </c>
      <c r="BX4" s="227">
        <v>47453</v>
      </c>
      <c r="BY4" s="591"/>
      <c r="BZ4" s="592"/>
      <c r="CA4" s="222"/>
      <c r="CB4" s="222" t="s">
        <v>63</v>
      </c>
      <c r="CC4" s="222"/>
      <c r="CD4" s="222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2"/>
      <c r="CV4" s="222"/>
      <c r="CW4" s="222"/>
      <c r="CX4" s="222"/>
      <c r="CY4" s="222"/>
      <c r="CZ4" s="222"/>
      <c r="DA4" s="222"/>
      <c r="DB4" s="222"/>
      <c r="DC4" s="222"/>
      <c r="DD4" s="222"/>
      <c r="DE4" s="222"/>
      <c r="DF4" s="222"/>
      <c r="DG4" s="222"/>
      <c r="DH4" s="222"/>
      <c r="DI4" s="222"/>
      <c r="DJ4" s="222"/>
      <c r="DK4" s="222"/>
      <c r="DL4" s="222"/>
      <c r="DM4" s="222"/>
      <c r="DN4" s="222"/>
      <c r="DO4" s="222"/>
      <c r="DP4" s="222"/>
      <c r="DQ4" s="222"/>
      <c r="DR4" s="222"/>
      <c r="DS4" s="222"/>
      <c r="DT4" s="222"/>
      <c r="DU4" s="222"/>
      <c r="DV4" s="222"/>
      <c r="DW4" s="222"/>
      <c r="DX4" s="222"/>
      <c r="DY4" s="222"/>
      <c r="DZ4" s="222"/>
      <c r="EA4" s="222"/>
      <c r="EB4" s="222"/>
      <c r="EC4" s="222"/>
      <c r="ED4" s="222"/>
      <c r="EE4" s="222"/>
      <c r="EF4" s="222"/>
      <c r="EG4" s="222"/>
      <c r="EH4" s="222"/>
    </row>
    <row r="5" spans="1:138">
      <c r="A5" s="505"/>
      <c r="B5" s="568" t="s">
        <v>204</v>
      </c>
      <c r="C5" s="228" t="s">
        <v>205</v>
      </c>
      <c r="D5" s="229" t="s">
        <v>206</v>
      </c>
      <c r="E5" s="230"/>
      <c r="F5" s="231"/>
      <c r="G5" s="231"/>
      <c r="H5" s="231">
        <f>16365002</f>
        <v>16365002</v>
      </c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2"/>
      <c r="BY5" s="233">
        <f t="shared" ref="BY5:BY15" si="0">SUM(E5:BX5)</f>
        <v>16365002</v>
      </c>
      <c r="BZ5" s="561">
        <f>SUM(BY5:BY8)</f>
        <v>41190002</v>
      </c>
      <c r="CA5" s="222"/>
      <c r="CB5" s="233">
        <f t="shared" ref="CB5:CB15" si="1">SUM(H5:CA5)</f>
        <v>73920006</v>
      </c>
      <c r="CC5" s="561">
        <f>SUM(CB5:CB8)</f>
        <v>184890673</v>
      </c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</row>
    <row r="6" spans="1:138">
      <c r="A6" s="505"/>
      <c r="B6" s="600"/>
      <c r="C6" s="228" t="s">
        <v>207</v>
      </c>
      <c r="D6" s="229" t="s">
        <v>206</v>
      </c>
      <c r="E6" s="231"/>
      <c r="F6" s="231"/>
      <c r="G6" s="231"/>
      <c r="H6" s="231"/>
      <c r="I6" s="231"/>
      <c r="J6" s="231"/>
      <c r="K6" s="231">
        <v>885000</v>
      </c>
      <c r="L6" s="231">
        <f>1640000+300000</f>
        <v>1940000</v>
      </c>
      <c r="M6" s="231">
        <f>4260000</f>
        <v>4260000</v>
      </c>
      <c r="N6" s="231"/>
      <c r="O6" s="231">
        <f>50000+270000</f>
        <v>320000</v>
      </c>
      <c r="P6" s="231">
        <v>320000</v>
      </c>
      <c r="Q6" s="231"/>
      <c r="R6" s="231">
        <v>1500000</v>
      </c>
      <c r="S6" s="231">
        <v>2300000</v>
      </c>
      <c r="T6" s="231">
        <v>7300000</v>
      </c>
      <c r="U6" s="231">
        <v>5000000</v>
      </c>
      <c r="V6" s="231">
        <v>1000000</v>
      </c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28"/>
      <c r="BY6" s="233">
        <f t="shared" si="0"/>
        <v>24825000</v>
      </c>
      <c r="BZ6" s="597"/>
      <c r="CA6" s="222">
        <f>9870667</f>
        <v>9870667</v>
      </c>
      <c r="CB6" s="233">
        <f t="shared" si="1"/>
        <v>59520667</v>
      </c>
      <c r="CC6" s="597"/>
      <c r="CD6" s="222"/>
      <c r="CE6" s="222"/>
      <c r="CF6" s="230">
        <f>SUM(Rentroll!$M$2:$M$4)</f>
        <v>613130.50199999986</v>
      </c>
      <c r="CG6" s="222"/>
      <c r="CH6" s="222">
        <f>SUM(Rentroll!$M$2:$M$4)</f>
        <v>613130.50199999986</v>
      </c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</row>
    <row r="7" spans="1:138">
      <c r="A7" s="505"/>
      <c r="B7" s="600"/>
      <c r="C7" s="234" t="s">
        <v>208</v>
      </c>
      <c r="D7" s="229" t="s">
        <v>206</v>
      </c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28"/>
      <c r="BY7" s="233">
        <f t="shared" si="0"/>
        <v>0</v>
      </c>
      <c r="BZ7" s="597"/>
      <c r="CA7" s="222">
        <f>2100000*24.5</f>
        <v>51450000</v>
      </c>
      <c r="CB7" s="233">
        <f t="shared" si="1"/>
        <v>51450000</v>
      </c>
      <c r="CC7" s="597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</row>
    <row r="8" spans="1:138">
      <c r="A8" s="505"/>
      <c r="B8" s="601"/>
      <c r="C8" s="234" t="s">
        <v>209</v>
      </c>
      <c r="D8" s="235" t="s">
        <v>206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4"/>
      <c r="BY8" s="237">
        <f t="shared" si="0"/>
        <v>0</v>
      </c>
      <c r="BZ8" s="592"/>
      <c r="CA8" s="222"/>
      <c r="CB8" s="237">
        <f t="shared" si="1"/>
        <v>0</v>
      </c>
      <c r="CC8" s="592"/>
      <c r="CD8" s="222"/>
      <c r="CE8" s="222"/>
      <c r="CF8" s="238">
        <f>AA101/BZ5</f>
        <v>0.66847155452425788</v>
      </c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</row>
    <row r="9" spans="1:138">
      <c r="A9" s="505"/>
      <c r="B9" s="568" t="s">
        <v>210</v>
      </c>
      <c r="C9" s="232" t="s">
        <v>211</v>
      </c>
      <c r="D9" s="229" t="s">
        <v>206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>
        <f t="shared" ref="U9:Y9" si="2">-U61</f>
        <v>10200</v>
      </c>
      <c r="V9" s="230">
        <f t="shared" si="2"/>
        <v>30600</v>
      </c>
      <c r="W9" s="230">
        <f t="shared" si="2"/>
        <v>61200</v>
      </c>
      <c r="X9" s="230">
        <f t="shared" si="2"/>
        <v>92310</v>
      </c>
      <c r="Y9" s="230">
        <f t="shared" si="2"/>
        <v>124440</v>
      </c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2"/>
      <c r="BY9" s="233">
        <f t="shared" si="0"/>
        <v>318750</v>
      </c>
      <c r="BZ9" s="561">
        <f>SUM(BY9:BY11)</f>
        <v>76041181.330000013</v>
      </c>
      <c r="CA9" s="222"/>
      <c r="CB9" s="233">
        <f t="shared" si="1"/>
        <v>76678681.330000013</v>
      </c>
      <c r="CC9" s="561">
        <f>SUM(CB9:CB11)</f>
        <v>228123543.99000001</v>
      </c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</row>
    <row r="10" spans="1:138">
      <c r="A10" s="505"/>
      <c r="B10" s="600"/>
      <c r="C10" s="232" t="s">
        <v>212</v>
      </c>
      <c r="D10" s="229" t="s">
        <v>206</v>
      </c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>
        <v>2000000</v>
      </c>
      <c r="V10" s="231">
        <v>4000000</v>
      </c>
      <c r="W10" s="231">
        <v>6000000</v>
      </c>
      <c r="X10" s="231">
        <f>24400000/4</f>
        <v>6100000</v>
      </c>
      <c r="Y10" s="231">
        <v>6300000</v>
      </c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28"/>
      <c r="BY10" s="233">
        <f t="shared" si="0"/>
        <v>24400000</v>
      </c>
      <c r="BZ10" s="597"/>
      <c r="CA10" s="222"/>
      <c r="CB10" s="233">
        <f t="shared" si="1"/>
        <v>48800000</v>
      </c>
      <c r="CC10" s="597"/>
      <c r="CD10" s="222"/>
      <c r="CE10" s="222">
        <f>BY5+BY11</f>
        <v>67687433.330000013</v>
      </c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</row>
    <row r="11" spans="1:138">
      <c r="A11" s="505"/>
      <c r="B11" s="599"/>
      <c r="C11" s="234" t="s">
        <v>213</v>
      </c>
      <c r="D11" s="235" t="s">
        <v>206</v>
      </c>
      <c r="E11" s="236"/>
      <c r="F11" s="236"/>
      <c r="G11" s="236"/>
      <c r="H11" s="236"/>
      <c r="I11" s="236"/>
      <c r="J11" s="236"/>
      <c r="K11" s="236"/>
      <c r="L11" s="236"/>
      <c r="M11" s="236">
        <f>6449487.53+48944.52</f>
        <v>6498432.0499999998</v>
      </c>
      <c r="N11" s="236">
        <f>19937831.95</f>
        <v>19937831.949999999</v>
      </c>
      <c r="O11" s="236">
        <f>133478.48+9278006.75</f>
        <v>9411485.2300000004</v>
      </c>
      <c r="P11" s="236">
        <f>186701+7000000+5138503.39+219819.11</f>
        <v>12545023.5</v>
      </c>
      <c r="Q11" s="236">
        <f>2929658.6</f>
        <v>2929658.6</v>
      </c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9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4"/>
      <c r="BY11" s="237">
        <f t="shared" si="0"/>
        <v>51322431.330000006</v>
      </c>
      <c r="BZ11" s="602"/>
      <c r="CA11" s="241"/>
      <c r="CB11" s="237">
        <f t="shared" si="1"/>
        <v>102644862.66000001</v>
      </c>
      <c r="CC11" s="602"/>
      <c r="CD11" s="241"/>
      <c r="CE11" s="241">
        <f>BY11/CE10</f>
        <v>0.7582268791281408</v>
      </c>
      <c r="CF11" s="241">
        <f>BY11/2100000</f>
        <v>24.439253014285718</v>
      </c>
      <c r="CG11" s="241"/>
      <c r="CH11" s="241" t="e">
        <f ca="1">su</f>
        <v>#NAME?</v>
      </c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</row>
    <row r="12" spans="1:138">
      <c r="A12" s="505"/>
      <c r="B12" s="568" t="s">
        <v>214</v>
      </c>
      <c r="C12" s="228" t="s">
        <v>215</v>
      </c>
      <c r="D12" s="229" t="s">
        <v>206</v>
      </c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>
        <f>SUM(Rentroll!$M$2:$M$10)</f>
        <v>1065607.4044666667</v>
      </c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2"/>
      <c r="BY12" s="233">
        <f t="shared" si="0"/>
        <v>1065607.4044666667</v>
      </c>
      <c r="BZ12" s="561">
        <f>SUM(BY12:BY15)</f>
        <v>150897048.94724181</v>
      </c>
      <c r="CA12" s="222"/>
      <c r="CB12" s="233">
        <f t="shared" si="1"/>
        <v>153028263.75617516</v>
      </c>
      <c r="CC12" s="561">
        <f>SUM(CB12:CB15)</f>
        <v>452691146.84172547</v>
      </c>
      <c r="CD12" s="222"/>
      <c r="CE12" s="238">
        <f>BY5/CE10</f>
        <v>0.24177312087185915</v>
      </c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</row>
    <row r="13" spans="1:138">
      <c r="A13" s="505"/>
      <c r="B13" s="600"/>
      <c r="C13" s="228" t="s">
        <v>216</v>
      </c>
      <c r="D13" s="229" t="s">
        <v>206</v>
      </c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>
        <f>Businessplan_prodej!J25</f>
        <v>138882598.15999994</v>
      </c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2"/>
      <c r="BY13" s="233">
        <f t="shared" si="0"/>
        <v>138882598.15999994</v>
      </c>
      <c r="BZ13" s="597"/>
      <c r="CA13" s="222"/>
      <c r="CB13" s="233">
        <f t="shared" si="1"/>
        <v>277765196.31999987</v>
      </c>
      <c r="CC13" s="597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</row>
    <row r="14" spans="1:138">
      <c r="A14" s="505"/>
      <c r="B14" s="600"/>
      <c r="C14" s="228" t="s">
        <v>7</v>
      </c>
      <c r="D14" s="229" t="s">
        <v>217</v>
      </c>
      <c r="E14" s="231"/>
      <c r="F14" s="231"/>
      <c r="G14" s="231"/>
      <c r="H14" s="231"/>
      <c r="I14" s="231">
        <v>6227</v>
      </c>
      <c r="J14" s="231">
        <v>14588</v>
      </c>
      <c r="K14" s="231">
        <f>457468</f>
        <v>457468</v>
      </c>
      <c r="L14" s="231">
        <v>57517</v>
      </c>
      <c r="M14" s="231">
        <f>60362</f>
        <v>60362</v>
      </c>
      <c r="N14" s="231">
        <v>56101</v>
      </c>
      <c r="O14" s="231">
        <f>59696</f>
        <v>59696</v>
      </c>
      <c r="P14" s="231">
        <f>60211</f>
        <v>60211</v>
      </c>
      <c r="Q14" s="231">
        <f>49860-602</f>
        <v>49258</v>
      </c>
      <c r="R14" s="231">
        <f>IF(P12&gt;0,-(SUM(Rentroll!$H$2:$H$4)+Rentroll!$K$2),0)-(SUM(P23,P37)-SUM(P23,P37)/1.21)</f>
        <v>72438.165371900832</v>
      </c>
      <c r="S14" s="231">
        <f>IF(Q12&gt;0,-(SUM(Rentroll!$H$2:$H$4)+Rentroll!$K$2),0)-(SUM(Q23,Q37)-SUM(Q23,Q37)/1.21)</f>
        <v>59416.00619008264</v>
      </c>
      <c r="T14" s="231">
        <f>IF(R12&gt;0,-(SUM(Rentroll!$H$2:$H$4)+Rentroll!$K$2),0)-(SUM(R23,R37)-SUM(R23,R37)/1.21)</f>
        <v>198458.07805785118</v>
      </c>
      <c r="U14" s="231">
        <f>IF(S12&gt;0,-(SUM(Rentroll!$H$2:$H$4)+Rentroll!$K$2),0)-(SUM(S23,S37)-SUM(S23,S37)/1.21)</f>
        <v>246694.55666776863</v>
      </c>
      <c r="V14" s="231">
        <f>IF(T12&gt;0,-(SUM(Rentroll!$H$2:$H$4)+Rentroll!$K$2),0)-(SUM(T23,T37)-SUM(T23,T37)/1.21)</f>
        <v>58525.585537190083</v>
      </c>
      <c r="W14" s="231">
        <f>IF(U12&gt;0,-(SUM(Rentroll!$H$2:$H$4)+Rentroll!$K$2),0)-(SUM(U23,U37)-SUM(U23,U37)/1.21)</f>
        <v>53414.962190082646</v>
      </c>
      <c r="X14" s="231">
        <f>IF(V12&gt;0,-(SUM(Rentroll!$H$2:$H$4)+Rentroll!$K$2),0)-(SUM(V23,V37)-SUM(V23,V37)/1.21)</f>
        <v>53414.962190082646</v>
      </c>
      <c r="Y14" s="231">
        <f>IF(W12&gt;0,-(SUM(Rentroll!$H$2:$H$4)+Rentroll!$K$2),0)-(SUM(W23,W37)-SUM(W23,W37)/1.21)</f>
        <v>64754.962190082646</v>
      </c>
      <c r="Z14" s="231">
        <f>IF(X12&gt;0,-(SUM(Rentroll!$H$2:$H$4)+Rentroll!$K$2),0)-(SUM(X23,X37)-SUM(X23,X37)/1.21)</f>
        <v>53414.962190082646</v>
      </c>
      <c r="AA14" s="231">
        <f>IF(Y12&gt;0,-(SUM(Rentroll!$H$2:$H$4)+Rentroll!$K$2),0)-(SUM(Y23,Y37)-SUM(Y23,Y37)/1.21)</f>
        <v>72314.962190082646</v>
      </c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28"/>
      <c r="BY14" s="233">
        <f t="shared" si="0"/>
        <v>1754275.2027752069</v>
      </c>
      <c r="BZ14" s="597"/>
      <c r="CA14" s="222"/>
      <c r="CB14" s="233">
        <f t="shared" si="1"/>
        <v>3508550.4055504138</v>
      </c>
      <c r="CC14" s="597"/>
      <c r="CD14" s="222"/>
      <c r="CE14" s="222">
        <f>51450000</f>
        <v>51450000</v>
      </c>
      <c r="CF14" s="222">
        <f>BY11/24.5</f>
        <v>2094793.1155102043</v>
      </c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</row>
    <row r="15" spans="1:138">
      <c r="A15" s="505"/>
      <c r="B15" s="599"/>
      <c r="C15" s="234" t="s">
        <v>218</v>
      </c>
      <c r="D15" s="235" t="s">
        <v>217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>
        <f>17343.33+17343.33+1835.52</f>
        <v>36522.18</v>
      </c>
      <c r="Q15" s="236">
        <f>9100000+2904+5142</f>
        <v>9108046</v>
      </c>
      <c r="R15" s="236"/>
      <c r="S15" s="236"/>
      <c r="T15" s="236"/>
      <c r="U15" s="236"/>
      <c r="V15" s="236"/>
      <c r="W15" s="236"/>
      <c r="X15" s="236"/>
      <c r="Y15" s="236"/>
      <c r="Z15" s="236"/>
      <c r="AA15" s="236">
        <f>-Businessplan_prodej!F36</f>
        <v>50000</v>
      </c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4"/>
      <c r="BY15" s="237">
        <f t="shared" si="0"/>
        <v>9194568.1799999997</v>
      </c>
      <c r="BZ15" s="602"/>
      <c r="CA15" s="222"/>
      <c r="CB15" s="237">
        <f t="shared" si="1"/>
        <v>18389136.359999999</v>
      </c>
      <c r="CC15" s="602"/>
      <c r="CD15" s="222"/>
      <c r="CE15" s="222">
        <f>CE14/24.5</f>
        <v>2100000</v>
      </c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</row>
    <row r="16" spans="1:138" ht="15.95">
      <c r="A16" s="505"/>
      <c r="B16" s="569" t="s">
        <v>219</v>
      </c>
      <c r="C16" s="592"/>
      <c r="D16" s="242"/>
      <c r="E16" s="243">
        <f t="shared" ref="E16:BX16" si="3">SUM(E5:E15)</f>
        <v>0</v>
      </c>
      <c r="F16" s="243">
        <f t="shared" si="3"/>
        <v>0</v>
      </c>
      <c r="G16" s="243">
        <f t="shared" si="3"/>
        <v>0</v>
      </c>
      <c r="H16" s="243">
        <f t="shared" si="3"/>
        <v>16365002</v>
      </c>
      <c r="I16" s="243">
        <f t="shared" si="3"/>
        <v>6227</v>
      </c>
      <c r="J16" s="243">
        <f t="shared" si="3"/>
        <v>14588</v>
      </c>
      <c r="K16" s="243">
        <f t="shared" si="3"/>
        <v>1342468</v>
      </c>
      <c r="L16" s="243">
        <f t="shared" si="3"/>
        <v>1997517</v>
      </c>
      <c r="M16" s="243">
        <f t="shared" si="3"/>
        <v>10818794.050000001</v>
      </c>
      <c r="N16" s="243">
        <f t="shared" si="3"/>
        <v>19993932.949999999</v>
      </c>
      <c r="O16" s="243">
        <f t="shared" si="3"/>
        <v>9791181.2300000004</v>
      </c>
      <c r="P16" s="243">
        <f t="shared" si="3"/>
        <v>12961756.68</v>
      </c>
      <c r="Q16" s="243">
        <f t="shared" si="3"/>
        <v>12086962.6</v>
      </c>
      <c r="R16" s="243">
        <f t="shared" si="3"/>
        <v>1572438.1653719009</v>
      </c>
      <c r="S16" s="243">
        <f t="shared" si="3"/>
        <v>2359416.0061900825</v>
      </c>
      <c r="T16" s="243">
        <f t="shared" si="3"/>
        <v>7498458.0780578516</v>
      </c>
      <c r="U16" s="243">
        <f t="shared" si="3"/>
        <v>7256894.5566677684</v>
      </c>
      <c r="V16" s="243">
        <f t="shared" si="3"/>
        <v>5089125.5855371896</v>
      </c>
      <c r="W16" s="243">
        <f t="shared" si="3"/>
        <v>6114614.9621900823</v>
      </c>
      <c r="X16" s="243">
        <f t="shared" si="3"/>
        <v>6245724.9621900823</v>
      </c>
      <c r="Y16" s="243">
        <f t="shared" si="3"/>
        <v>6489194.9621900823</v>
      </c>
      <c r="Z16" s="243">
        <f t="shared" si="3"/>
        <v>53414.962190082646</v>
      </c>
      <c r="AA16" s="243">
        <f t="shared" si="3"/>
        <v>140070520.52665669</v>
      </c>
      <c r="AB16" s="243">
        <f t="shared" si="3"/>
        <v>0</v>
      </c>
      <c r="AC16" s="243">
        <f t="shared" si="3"/>
        <v>0</v>
      </c>
      <c r="AD16" s="243">
        <f t="shared" si="3"/>
        <v>0</v>
      </c>
      <c r="AE16" s="243">
        <f t="shared" si="3"/>
        <v>0</v>
      </c>
      <c r="AF16" s="243">
        <f t="shared" si="3"/>
        <v>0</v>
      </c>
      <c r="AG16" s="243">
        <f t="shared" si="3"/>
        <v>0</v>
      </c>
      <c r="AH16" s="243">
        <f t="shared" si="3"/>
        <v>0</v>
      </c>
      <c r="AI16" s="243">
        <f t="shared" si="3"/>
        <v>0</v>
      </c>
      <c r="AJ16" s="243">
        <f t="shared" si="3"/>
        <v>0</v>
      </c>
      <c r="AK16" s="243">
        <f t="shared" si="3"/>
        <v>0</v>
      </c>
      <c r="AL16" s="243">
        <f t="shared" si="3"/>
        <v>0</v>
      </c>
      <c r="AM16" s="243">
        <f t="shared" si="3"/>
        <v>0</v>
      </c>
      <c r="AN16" s="243">
        <f t="shared" si="3"/>
        <v>0</v>
      </c>
      <c r="AO16" s="243">
        <f t="shared" si="3"/>
        <v>0</v>
      </c>
      <c r="AP16" s="243">
        <f t="shared" si="3"/>
        <v>0</v>
      </c>
      <c r="AQ16" s="243">
        <f t="shared" si="3"/>
        <v>0</v>
      </c>
      <c r="AR16" s="243">
        <f t="shared" si="3"/>
        <v>0</v>
      </c>
      <c r="AS16" s="243">
        <f t="shared" si="3"/>
        <v>0</v>
      </c>
      <c r="AT16" s="243">
        <f t="shared" si="3"/>
        <v>0</v>
      </c>
      <c r="AU16" s="243">
        <f t="shared" si="3"/>
        <v>0</v>
      </c>
      <c r="AV16" s="243">
        <f t="shared" si="3"/>
        <v>0</v>
      </c>
      <c r="AW16" s="243">
        <f t="shared" si="3"/>
        <v>0</v>
      </c>
      <c r="AX16" s="243">
        <f t="shared" si="3"/>
        <v>0</v>
      </c>
      <c r="AY16" s="243">
        <f t="shared" si="3"/>
        <v>0</v>
      </c>
      <c r="AZ16" s="243">
        <f t="shared" si="3"/>
        <v>0</v>
      </c>
      <c r="BA16" s="243">
        <f t="shared" si="3"/>
        <v>0</v>
      </c>
      <c r="BB16" s="243">
        <f t="shared" si="3"/>
        <v>0</v>
      </c>
      <c r="BC16" s="243">
        <f t="shared" si="3"/>
        <v>0</v>
      </c>
      <c r="BD16" s="243">
        <f t="shared" si="3"/>
        <v>0</v>
      </c>
      <c r="BE16" s="243">
        <f t="shared" si="3"/>
        <v>0</v>
      </c>
      <c r="BF16" s="243">
        <f t="shared" si="3"/>
        <v>0</v>
      </c>
      <c r="BG16" s="243">
        <f t="shared" si="3"/>
        <v>0</v>
      </c>
      <c r="BH16" s="243">
        <f t="shared" si="3"/>
        <v>0</v>
      </c>
      <c r="BI16" s="243">
        <f t="shared" si="3"/>
        <v>0</v>
      </c>
      <c r="BJ16" s="243">
        <f t="shared" si="3"/>
        <v>0</v>
      </c>
      <c r="BK16" s="243">
        <f t="shared" si="3"/>
        <v>0</v>
      </c>
      <c r="BL16" s="243">
        <f t="shared" si="3"/>
        <v>0</v>
      </c>
      <c r="BM16" s="243">
        <f t="shared" si="3"/>
        <v>0</v>
      </c>
      <c r="BN16" s="243">
        <f t="shared" si="3"/>
        <v>0</v>
      </c>
      <c r="BO16" s="243">
        <f t="shared" si="3"/>
        <v>0</v>
      </c>
      <c r="BP16" s="243">
        <f t="shared" si="3"/>
        <v>0</v>
      </c>
      <c r="BQ16" s="243">
        <f t="shared" si="3"/>
        <v>0</v>
      </c>
      <c r="BR16" s="243">
        <f t="shared" si="3"/>
        <v>0</v>
      </c>
      <c r="BS16" s="243">
        <f t="shared" si="3"/>
        <v>0</v>
      </c>
      <c r="BT16" s="243">
        <f t="shared" si="3"/>
        <v>0</v>
      </c>
      <c r="BU16" s="243">
        <f t="shared" si="3"/>
        <v>0</v>
      </c>
      <c r="BV16" s="243">
        <f t="shared" si="3"/>
        <v>0</v>
      </c>
      <c r="BW16" s="243">
        <f t="shared" si="3"/>
        <v>0</v>
      </c>
      <c r="BX16" s="243">
        <f t="shared" si="3"/>
        <v>0</v>
      </c>
      <c r="BY16" s="563">
        <f>BZ5+BZ9+BZ12</f>
        <v>268128232.27724183</v>
      </c>
      <c r="BZ16" s="592"/>
      <c r="CA16" s="222"/>
      <c r="CB16" s="563">
        <f>CC5+CC9+CC12</f>
        <v>865705363.83172548</v>
      </c>
      <c r="CC16" s="59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</row>
    <row r="17" spans="1:138" ht="15.95" collapsed="1">
      <c r="A17" s="505"/>
      <c r="B17" s="570" t="s">
        <v>220</v>
      </c>
      <c r="C17" s="244" t="s">
        <v>221</v>
      </c>
      <c r="D17" s="245"/>
      <c r="E17" s="246">
        <f t="shared" ref="E17:BY17" si="4">SUM(E18:E22)</f>
        <v>0</v>
      </c>
      <c r="F17" s="246">
        <f t="shared" si="4"/>
        <v>0</v>
      </c>
      <c r="G17" s="246">
        <f t="shared" si="4"/>
        <v>0</v>
      </c>
      <c r="H17" s="246">
        <f t="shared" si="4"/>
        <v>-10620712</v>
      </c>
      <c r="I17" s="246">
        <f t="shared" si="4"/>
        <v>0</v>
      </c>
      <c r="J17" s="246">
        <f t="shared" si="4"/>
        <v>-808333</v>
      </c>
      <c r="K17" s="246">
        <f t="shared" si="4"/>
        <v>0</v>
      </c>
      <c r="L17" s="246">
        <f t="shared" si="4"/>
        <v>0</v>
      </c>
      <c r="M17" s="246">
        <f t="shared" si="4"/>
        <v>0</v>
      </c>
      <c r="N17" s="246">
        <f t="shared" si="4"/>
        <v>0</v>
      </c>
      <c r="O17" s="246">
        <f t="shared" si="4"/>
        <v>0</v>
      </c>
      <c r="P17" s="246">
        <f t="shared" si="4"/>
        <v>0</v>
      </c>
      <c r="Q17" s="246">
        <f t="shared" si="4"/>
        <v>0</v>
      </c>
      <c r="R17" s="246">
        <f t="shared" si="4"/>
        <v>0</v>
      </c>
      <c r="S17" s="246">
        <f t="shared" si="4"/>
        <v>0</v>
      </c>
      <c r="T17" s="246">
        <f t="shared" si="4"/>
        <v>0</v>
      </c>
      <c r="U17" s="246">
        <f t="shared" si="4"/>
        <v>0</v>
      </c>
      <c r="V17" s="246">
        <f t="shared" si="4"/>
        <v>0</v>
      </c>
      <c r="W17" s="246">
        <f t="shared" si="4"/>
        <v>0</v>
      </c>
      <c r="X17" s="246">
        <f t="shared" si="4"/>
        <v>0</v>
      </c>
      <c r="Y17" s="246">
        <f t="shared" si="4"/>
        <v>0</v>
      </c>
      <c r="Z17" s="246">
        <f t="shared" si="4"/>
        <v>0</v>
      </c>
      <c r="AA17" s="246">
        <f t="shared" si="4"/>
        <v>0</v>
      </c>
      <c r="AB17" s="246">
        <f t="shared" si="4"/>
        <v>0</v>
      </c>
      <c r="AC17" s="246">
        <f t="shared" si="4"/>
        <v>0</v>
      </c>
      <c r="AD17" s="246">
        <f t="shared" si="4"/>
        <v>0</v>
      </c>
      <c r="AE17" s="246">
        <f t="shared" si="4"/>
        <v>0</v>
      </c>
      <c r="AF17" s="246">
        <f t="shared" si="4"/>
        <v>0</v>
      </c>
      <c r="AG17" s="246">
        <f t="shared" si="4"/>
        <v>0</v>
      </c>
      <c r="AH17" s="246">
        <f t="shared" si="4"/>
        <v>0</v>
      </c>
      <c r="AI17" s="246">
        <f t="shared" si="4"/>
        <v>0</v>
      </c>
      <c r="AJ17" s="246">
        <f t="shared" si="4"/>
        <v>0</v>
      </c>
      <c r="AK17" s="246">
        <f t="shared" si="4"/>
        <v>0</v>
      </c>
      <c r="AL17" s="246">
        <f t="shared" si="4"/>
        <v>0</v>
      </c>
      <c r="AM17" s="246">
        <f t="shared" si="4"/>
        <v>0</v>
      </c>
      <c r="AN17" s="246">
        <f t="shared" si="4"/>
        <v>0</v>
      </c>
      <c r="AO17" s="246">
        <f t="shared" si="4"/>
        <v>0</v>
      </c>
      <c r="AP17" s="246">
        <f t="shared" si="4"/>
        <v>0</v>
      </c>
      <c r="AQ17" s="246">
        <f t="shared" si="4"/>
        <v>0</v>
      </c>
      <c r="AR17" s="246">
        <f t="shared" si="4"/>
        <v>0</v>
      </c>
      <c r="AS17" s="246">
        <f t="shared" si="4"/>
        <v>0</v>
      </c>
      <c r="AT17" s="246">
        <f t="shared" si="4"/>
        <v>0</v>
      </c>
      <c r="AU17" s="246">
        <f t="shared" si="4"/>
        <v>0</v>
      </c>
      <c r="AV17" s="246">
        <f t="shared" si="4"/>
        <v>0</v>
      </c>
      <c r="AW17" s="246">
        <f t="shared" si="4"/>
        <v>0</v>
      </c>
      <c r="AX17" s="246">
        <f t="shared" si="4"/>
        <v>0</v>
      </c>
      <c r="AY17" s="246">
        <f t="shared" si="4"/>
        <v>0</v>
      </c>
      <c r="AZ17" s="246">
        <f t="shared" si="4"/>
        <v>0</v>
      </c>
      <c r="BA17" s="246">
        <f t="shared" si="4"/>
        <v>0</v>
      </c>
      <c r="BB17" s="246">
        <f t="shared" si="4"/>
        <v>0</v>
      </c>
      <c r="BC17" s="246">
        <f t="shared" si="4"/>
        <v>0</v>
      </c>
      <c r="BD17" s="246">
        <f t="shared" si="4"/>
        <v>0</v>
      </c>
      <c r="BE17" s="246">
        <f t="shared" si="4"/>
        <v>0</v>
      </c>
      <c r="BF17" s="246">
        <f t="shared" si="4"/>
        <v>0</v>
      </c>
      <c r="BG17" s="246">
        <f t="shared" si="4"/>
        <v>0</v>
      </c>
      <c r="BH17" s="246">
        <f t="shared" si="4"/>
        <v>0</v>
      </c>
      <c r="BI17" s="246">
        <f t="shared" si="4"/>
        <v>0</v>
      </c>
      <c r="BJ17" s="246">
        <f t="shared" si="4"/>
        <v>0</v>
      </c>
      <c r="BK17" s="246">
        <f t="shared" si="4"/>
        <v>0</v>
      </c>
      <c r="BL17" s="246">
        <f t="shared" si="4"/>
        <v>0</v>
      </c>
      <c r="BM17" s="246">
        <f t="shared" si="4"/>
        <v>0</v>
      </c>
      <c r="BN17" s="246">
        <f t="shared" si="4"/>
        <v>0</v>
      </c>
      <c r="BO17" s="246">
        <f t="shared" si="4"/>
        <v>0</v>
      </c>
      <c r="BP17" s="246">
        <f t="shared" si="4"/>
        <v>0</v>
      </c>
      <c r="BQ17" s="246">
        <f t="shared" si="4"/>
        <v>0</v>
      </c>
      <c r="BR17" s="246">
        <f t="shared" si="4"/>
        <v>0</v>
      </c>
      <c r="BS17" s="246">
        <f t="shared" si="4"/>
        <v>0</v>
      </c>
      <c r="BT17" s="246">
        <f t="shared" si="4"/>
        <v>0</v>
      </c>
      <c r="BU17" s="246">
        <f t="shared" si="4"/>
        <v>0</v>
      </c>
      <c r="BV17" s="246">
        <f t="shared" si="4"/>
        <v>0</v>
      </c>
      <c r="BW17" s="246">
        <f t="shared" si="4"/>
        <v>0</v>
      </c>
      <c r="BX17" s="246">
        <f t="shared" si="4"/>
        <v>0</v>
      </c>
      <c r="BY17" s="247">
        <f t="shared" si="4"/>
        <v>-11429045</v>
      </c>
      <c r="BZ17" s="562">
        <f>BY17+BY23+BY26+BY34+BY37+BY49+BY55+BY63+BY87</f>
        <v>-124483159.21944454</v>
      </c>
      <c r="CA17" s="222"/>
      <c r="CB17" s="248"/>
      <c r="CC17" s="56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</row>
    <row r="18" spans="1:138" ht="15.95" hidden="1" outlineLevel="1">
      <c r="A18" s="505"/>
      <c r="B18" s="600"/>
      <c r="C18" s="249" t="s">
        <v>222</v>
      </c>
      <c r="D18" s="250" t="s">
        <v>223</v>
      </c>
      <c r="E18" s="251"/>
      <c r="F18" s="251"/>
      <c r="G18" s="251"/>
      <c r="H18" s="252">
        <f>-8458812-2161900</f>
        <v>-10620712</v>
      </c>
      <c r="I18" s="252"/>
      <c r="J18" s="252">
        <f>-657296-151037</f>
        <v>-808333</v>
      </c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3">
        <f t="shared" ref="BY18:BY22" si="5">SUM(E18:BX18)</f>
        <v>-11429045</v>
      </c>
      <c r="BZ18" s="597"/>
      <c r="CA18" s="222"/>
      <c r="CB18" s="248"/>
      <c r="CC18" s="597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</row>
    <row r="19" spans="1:138" ht="15.95" hidden="1" outlineLevel="1">
      <c r="A19" s="505"/>
      <c r="B19" s="600"/>
      <c r="C19" s="249" t="s">
        <v>224</v>
      </c>
      <c r="D19" s="250" t="s">
        <v>223</v>
      </c>
      <c r="E19" s="251"/>
      <c r="F19" s="251"/>
      <c r="G19" s="251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3">
        <f t="shared" si="5"/>
        <v>0</v>
      </c>
      <c r="BZ19" s="597"/>
      <c r="CA19" s="222"/>
      <c r="CB19" s="248"/>
      <c r="CC19" s="597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</row>
    <row r="20" spans="1:138" ht="15.95" hidden="1" outlineLevel="1">
      <c r="A20" s="505"/>
      <c r="B20" s="600"/>
      <c r="C20" s="249" t="s">
        <v>225</v>
      </c>
      <c r="D20" s="250" t="s">
        <v>223</v>
      </c>
      <c r="E20" s="251"/>
      <c r="F20" s="251"/>
      <c r="G20" s="251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3">
        <f t="shared" si="5"/>
        <v>0</v>
      </c>
      <c r="BZ20" s="597"/>
      <c r="CA20" s="222"/>
      <c r="CB20" s="248"/>
      <c r="CC20" s="597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</row>
    <row r="21" spans="1:138" ht="15.95" hidden="1" outlineLevel="1">
      <c r="A21" s="505"/>
      <c r="B21" s="600"/>
      <c r="C21" s="249" t="s">
        <v>226</v>
      </c>
      <c r="D21" s="250" t="s">
        <v>223</v>
      </c>
      <c r="E21" s="251"/>
      <c r="F21" s="251"/>
      <c r="G21" s="251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3">
        <f t="shared" si="5"/>
        <v>0</v>
      </c>
      <c r="BZ21" s="597"/>
      <c r="CA21" s="222"/>
      <c r="CB21" s="248"/>
      <c r="CC21" s="597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</row>
    <row r="22" spans="1:138" ht="15.95" hidden="1" outlineLevel="1">
      <c r="A22" s="505"/>
      <c r="B22" s="600"/>
      <c r="C22" s="249" t="s">
        <v>227</v>
      </c>
      <c r="D22" s="254" t="s">
        <v>223</v>
      </c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3">
        <f t="shared" si="5"/>
        <v>0</v>
      </c>
      <c r="BZ22" s="597"/>
      <c r="CA22" s="222"/>
      <c r="CB22" s="248"/>
      <c r="CC22" s="597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</row>
    <row r="23" spans="1:138" ht="15.95" collapsed="1">
      <c r="A23" s="505"/>
      <c r="B23" s="600"/>
      <c r="C23" s="244" t="s">
        <v>228</v>
      </c>
      <c r="D23" s="245"/>
      <c r="E23" s="246">
        <f t="shared" ref="E23:BY23" si="6">SUM(E24:E25)</f>
        <v>0</v>
      </c>
      <c r="F23" s="246">
        <f t="shared" si="6"/>
        <v>0</v>
      </c>
      <c r="G23" s="246">
        <f t="shared" si="6"/>
        <v>0</v>
      </c>
      <c r="H23" s="246">
        <f t="shared" si="6"/>
        <v>0</v>
      </c>
      <c r="I23" s="246">
        <f t="shared" si="6"/>
        <v>-366025</v>
      </c>
      <c r="J23" s="246">
        <f t="shared" si="6"/>
        <v>0</v>
      </c>
      <c r="K23" s="246">
        <f t="shared" si="6"/>
        <v>0</v>
      </c>
      <c r="L23" s="246">
        <f t="shared" si="6"/>
        <v>-15913.92</v>
      </c>
      <c r="M23" s="246">
        <f t="shared" si="6"/>
        <v>0</v>
      </c>
      <c r="N23" s="246">
        <f t="shared" si="6"/>
        <v>0</v>
      </c>
      <c r="O23" s="246">
        <f t="shared" si="6"/>
        <v>0</v>
      </c>
      <c r="P23" s="246">
        <f t="shared" si="6"/>
        <v>0</v>
      </c>
      <c r="Q23" s="246">
        <f t="shared" si="6"/>
        <v>-36051</v>
      </c>
      <c r="R23" s="246">
        <f t="shared" si="6"/>
        <v>-393250</v>
      </c>
      <c r="S23" s="246">
        <f t="shared" si="6"/>
        <v>-576274.6</v>
      </c>
      <c r="T23" s="246">
        <f t="shared" si="6"/>
        <v>0</v>
      </c>
      <c r="U23" s="246">
        <f t="shared" si="6"/>
        <v>0</v>
      </c>
      <c r="V23" s="246">
        <f t="shared" si="6"/>
        <v>0</v>
      </c>
      <c r="W23" s="246">
        <f t="shared" si="6"/>
        <v>0</v>
      </c>
      <c r="X23" s="246">
        <f t="shared" si="6"/>
        <v>0</v>
      </c>
      <c r="Y23" s="246">
        <f t="shared" si="6"/>
        <v>0</v>
      </c>
      <c r="Z23" s="246">
        <f t="shared" si="6"/>
        <v>0</v>
      </c>
      <c r="AA23" s="246">
        <f t="shared" si="6"/>
        <v>0</v>
      </c>
      <c r="AB23" s="246">
        <f t="shared" si="6"/>
        <v>0</v>
      </c>
      <c r="AC23" s="246">
        <f t="shared" si="6"/>
        <v>0</v>
      </c>
      <c r="AD23" s="246">
        <f t="shared" si="6"/>
        <v>0</v>
      </c>
      <c r="AE23" s="246">
        <f t="shared" si="6"/>
        <v>0</v>
      </c>
      <c r="AF23" s="246">
        <f t="shared" si="6"/>
        <v>0</v>
      </c>
      <c r="AG23" s="246">
        <f t="shared" si="6"/>
        <v>0</v>
      </c>
      <c r="AH23" s="246">
        <f t="shared" si="6"/>
        <v>0</v>
      </c>
      <c r="AI23" s="246">
        <f t="shared" si="6"/>
        <v>0</v>
      </c>
      <c r="AJ23" s="246">
        <f t="shared" si="6"/>
        <v>0</v>
      </c>
      <c r="AK23" s="246">
        <f t="shared" si="6"/>
        <v>0</v>
      </c>
      <c r="AL23" s="246">
        <f t="shared" si="6"/>
        <v>0</v>
      </c>
      <c r="AM23" s="246">
        <f t="shared" si="6"/>
        <v>0</v>
      </c>
      <c r="AN23" s="246">
        <f t="shared" si="6"/>
        <v>0</v>
      </c>
      <c r="AO23" s="246">
        <f t="shared" si="6"/>
        <v>0</v>
      </c>
      <c r="AP23" s="246">
        <f t="shared" si="6"/>
        <v>0</v>
      </c>
      <c r="AQ23" s="246">
        <f t="shared" si="6"/>
        <v>0</v>
      </c>
      <c r="AR23" s="246">
        <f t="shared" si="6"/>
        <v>0</v>
      </c>
      <c r="AS23" s="246">
        <f t="shared" si="6"/>
        <v>0</v>
      </c>
      <c r="AT23" s="246">
        <f t="shared" si="6"/>
        <v>0</v>
      </c>
      <c r="AU23" s="246">
        <f t="shared" si="6"/>
        <v>0</v>
      </c>
      <c r="AV23" s="246">
        <f t="shared" si="6"/>
        <v>0</v>
      </c>
      <c r="AW23" s="246">
        <f t="shared" si="6"/>
        <v>0</v>
      </c>
      <c r="AX23" s="246">
        <f t="shared" si="6"/>
        <v>0</v>
      </c>
      <c r="AY23" s="246">
        <f t="shared" si="6"/>
        <v>0</v>
      </c>
      <c r="AZ23" s="246">
        <f t="shared" si="6"/>
        <v>0</v>
      </c>
      <c r="BA23" s="246">
        <f t="shared" si="6"/>
        <v>0</v>
      </c>
      <c r="BB23" s="246">
        <f t="shared" si="6"/>
        <v>0</v>
      </c>
      <c r="BC23" s="246">
        <f t="shared" si="6"/>
        <v>0</v>
      </c>
      <c r="BD23" s="246">
        <f t="shared" si="6"/>
        <v>0</v>
      </c>
      <c r="BE23" s="246">
        <f t="shared" si="6"/>
        <v>0</v>
      </c>
      <c r="BF23" s="246">
        <f t="shared" si="6"/>
        <v>0</v>
      </c>
      <c r="BG23" s="246">
        <f t="shared" si="6"/>
        <v>0</v>
      </c>
      <c r="BH23" s="246">
        <f t="shared" si="6"/>
        <v>0</v>
      </c>
      <c r="BI23" s="246">
        <f t="shared" si="6"/>
        <v>0</v>
      </c>
      <c r="BJ23" s="246">
        <f t="shared" si="6"/>
        <v>0</v>
      </c>
      <c r="BK23" s="246">
        <f t="shared" si="6"/>
        <v>0</v>
      </c>
      <c r="BL23" s="246">
        <f t="shared" si="6"/>
        <v>0</v>
      </c>
      <c r="BM23" s="246">
        <f t="shared" si="6"/>
        <v>0</v>
      </c>
      <c r="BN23" s="246">
        <f t="shared" si="6"/>
        <v>0</v>
      </c>
      <c r="BO23" s="246">
        <f t="shared" si="6"/>
        <v>0</v>
      </c>
      <c r="BP23" s="246">
        <f t="shared" si="6"/>
        <v>0</v>
      </c>
      <c r="BQ23" s="246">
        <f t="shared" si="6"/>
        <v>0</v>
      </c>
      <c r="BR23" s="246">
        <f t="shared" si="6"/>
        <v>0</v>
      </c>
      <c r="BS23" s="246">
        <f t="shared" si="6"/>
        <v>0</v>
      </c>
      <c r="BT23" s="246">
        <f t="shared" si="6"/>
        <v>0</v>
      </c>
      <c r="BU23" s="246">
        <f t="shared" si="6"/>
        <v>0</v>
      </c>
      <c r="BV23" s="246">
        <f t="shared" si="6"/>
        <v>0</v>
      </c>
      <c r="BW23" s="246">
        <f t="shared" si="6"/>
        <v>0</v>
      </c>
      <c r="BX23" s="246">
        <f t="shared" si="6"/>
        <v>0</v>
      </c>
      <c r="BY23" s="247">
        <f t="shared" si="6"/>
        <v>-1387514.52</v>
      </c>
      <c r="BZ23" s="597"/>
      <c r="CA23" s="222">
        <f>BY23/1.21</f>
        <v>-1146706.2148760331</v>
      </c>
      <c r="CB23" s="248"/>
      <c r="CC23" s="597"/>
      <c r="CD23" s="222"/>
      <c r="CE23" s="222">
        <f>7000000*1.21</f>
        <v>8470000</v>
      </c>
      <c r="CF23" s="222"/>
      <c r="CG23" s="222">
        <f>BY5</f>
        <v>16365002</v>
      </c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</row>
    <row r="24" spans="1:138" ht="15.95" hidden="1" outlineLevel="1">
      <c r="A24" s="505"/>
      <c r="B24" s="600"/>
      <c r="C24" s="249" t="s">
        <v>229</v>
      </c>
      <c r="D24" s="254" t="s">
        <v>223</v>
      </c>
      <c r="E24" s="255"/>
      <c r="F24" s="255"/>
      <c r="G24" s="255"/>
      <c r="H24" s="256"/>
      <c r="I24" s="256">
        <f>-302500*1.21</f>
        <v>-366025</v>
      </c>
      <c r="J24" s="256"/>
      <c r="K24" s="256"/>
      <c r="L24" s="256">
        <f>-15913.92</f>
        <v>-15913.92</v>
      </c>
      <c r="M24" s="256"/>
      <c r="N24" s="256"/>
      <c r="O24" s="256"/>
      <c r="P24" s="256"/>
      <c r="Q24" s="256">
        <f>-36051</f>
        <v>-36051</v>
      </c>
      <c r="R24" s="256">
        <f>-Businessplan_prodej!$F$21*0.5*1.21</f>
        <v>-393250</v>
      </c>
      <c r="S24" s="256">
        <f>-Businessplan_prodej!$F$21*0.5*1.21</f>
        <v>-393250</v>
      </c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7">
        <f t="shared" ref="BY24:BY25" si="7">SUM(E24:BX24)</f>
        <v>-1204489.92</v>
      </c>
      <c r="BZ24" s="597"/>
      <c r="CA24" s="222"/>
      <c r="CB24" s="248"/>
      <c r="CC24" s="597"/>
      <c r="CD24" s="222"/>
      <c r="CE24" s="222"/>
      <c r="CF24" s="222"/>
      <c r="CG24" s="238">
        <f>0.11</f>
        <v>0.11</v>
      </c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</row>
    <row r="25" spans="1:138" ht="15.95" hidden="1" outlineLevel="1">
      <c r="A25" s="505"/>
      <c r="B25" s="600"/>
      <c r="C25" s="249" t="s">
        <v>230</v>
      </c>
      <c r="D25" s="254" t="s">
        <v>223</v>
      </c>
      <c r="E25" s="255"/>
      <c r="F25" s="255"/>
      <c r="G25" s="255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>
        <f>-Businessplan_prodej!$F$22*1.21</f>
        <v>-183024.6</v>
      </c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7">
        <f t="shared" si="7"/>
        <v>-183024.6</v>
      </c>
      <c r="BZ25" s="597"/>
      <c r="CA25" s="222"/>
      <c r="CB25" s="248"/>
      <c r="CC25" s="597"/>
      <c r="CD25" s="222"/>
      <c r="CE25" s="222"/>
      <c r="CF25" s="222"/>
      <c r="CG25" s="258">
        <v>45590</v>
      </c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</row>
    <row r="26" spans="1:138" ht="15.95" collapsed="1">
      <c r="A26" s="505"/>
      <c r="B26" s="600"/>
      <c r="C26" s="244" t="s">
        <v>231</v>
      </c>
      <c r="D26" s="245"/>
      <c r="E26" s="246">
        <f t="shared" ref="E26:BX26" si="8">SUM(E27:E33)</f>
        <v>0</v>
      </c>
      <c r="F26" s="246">
        <f t="shared" si="8"/>
        <v>0</v>
      </c>
      <c r="G26" s="246">
        <f t="shared" si="8"/>
        <v>0</v>
      </c>
      <c r="H26" s="246">
        <f t="shared" si="8"/>
        <v>-2420</v>
      </c>
      <c r="I26" s="246">
        <f t="shared" si="8"/>
        <v>-1081909</v>
      </c>
      <c r="J26" s="246">
        <f t="shared" si="8"/>
        <v>0</v>
      </c>
      <c r="K26" s="246">
        <f t="shared" si="8"/>
        <v>0</v>
      </c>
      <c r="L26" s="246">
        <f t="shared" si="8"/>
        <v>-4688041</v>
      </c>
      <c r="M26" s="246">
        <f t="shared" si="8"/>
        <v>-10044501.530000001</v>
      </c>
      <c r="N26" s="246">
        <f t="shared" si="8"/>
        <v>-19919080.57</v>
      </c>
      <c r="O26" s="246">
        <f t="shared" si="8"/>
        <v>-9000862.4199999999</v>
      </c>
      <c r="P26" s="246">
        <f t="shared" si="8"/>
        <v>-12065344.113</v>
      </c>
      <c r="Q26" s="246">
        <f t="shared" si="8"/>
        <v>-2929659.3669999987</v>
      </c>
      <c r="R26" s="246">
        <f t="shared" si="8"/>
        <v>-1500000</v>
      </c>
      <c r="S26" s="246">
        <f t="shared" si="8"/>
        <v>0</v>
      </c>
      <c r="T26" s="246">
        <f t="shared" si="8"/>
        <v>-5234766.666666666</v>
      </c>
      <c r="U26" s="246">
        <f t="shared" si="8"/>
        <v>-4366266.666666666</v>
      </c>
      <c r="V26" s="246">
        <f t="shared" si="8"/>
        <v>-4366266.666666666</v>
      </c>
      <c r="W26" s="246">
        <f t="shared" si="8"/>
        <v>-4366266.666666666</v>
      </c>
      <c r="X26" s="246">
        <f t="shared" si="8"/>
        <v>-4366266.666666666</v>
      </c>
      <c r="Y26" s="246">
        <f t="shared" si="8"/>
        <v>-4366266.666666666</v>
      </c>
      <c r="Z26" s="246">
        <f t="shared" si="8"/>
        <v>0</v>
      </c>
      <c r="AA26" s="246">
        <f t="shared" si="8"/>
        <v>0</v>
      </c>
      <c r="AB26" s="246">
        <f t="shared" si="8"/>
        <v>0</v>
      </c>
      <c r="AC26" s="246">
        <f t="shared" si="8"/>
        <v>0</v>
      </c>
      <c r="AD26" s="246">
        <f t="shared" si="8"/>
        <v>0</v>
      </c>
      <c r="AE26" s="246">
        <f t="shared" si="8"/>
        <v>0</v>
      </c>
      <c r="AF26" s="246">
        <f t="shared" si="8"/>
        <v>0</v>
      </c>
      <c r="AG26" s="246">
        <f t="shared" si="8"/>
        <v>0</v>
      </c>
      <c r="AH26" s="246">
        <f t="shared" si="8"/>
        <v>0</v>
      </c>
      <c r="AI26" s="246">
        <f t="shared" si="8"/>
        <v>0</v>
      </c>
      <c r="AJ26" s="246">
        <f t="shared" si="8"/>
        <v>0</v>
      </c>
      <c r="AK26" s="246">
        <f t="shared" si="8"/>
        <v>0</v>
      </c>
      <c r="AL26" s="246">
        <f t="shared" si="8"/>
        <v>0</v>
      </c>
      <c r="AM26" s="246">
        <f t="shared" si="8"/>
        <v>0</v>
      </c>
      <c r="AN26" s="246">
        <f t="shared" si="8"/>
        <v>0</v>
      </c>
      <c r="AO26" s="246">
        <f t="shared" si="8"/>
        <v>0</v>
      </c>
      <c r="AP26" s="246">
        <f t="shared" si="8"/>
        <v>0</v>
      </c>
      <c r="AQ26" s="246">
        <f t="shared" si="8"/>
        <v>0</v>
      </c>
      <c r="AR26" s="246">
        <f t="shared" si="8"/>
        <v>0</v>
      </c>
      <c r="AS26" s="246">
        <f t="shared" si="8"/>
        <v>0</v>
      </c>
      <c r="AT26" s="246">
        <f t="shared" si="8"/>
        <v>0</v>
      </c>
      <c r="AU26" s="246">
        <f t="shared" si="8"/>
        <v>0</v>
      </c>
      <c r="AV26" s="246">
        <f t="shared" si="8"/>
        <v>0</v>
      </c>
      <c r="AW26" s="246">
        <f t="shared" si="8"/>
        <v>0</v>
      </c>
      <c r="AX26" s="246">
        <f t="shared" si="8"/>
        <v>0</v>
      </c>
      <c r="AY26" s="246">
        <f t="shared" si="8"/>
        <v>0</v>
      </c>
      <c r="AZ26" s="246">
        <f t="shared" si="8"/>
        <v>0</v>
      </c>
      <c r="BA26" s="246">
        <f t="shared" si="8"/>
        <v>0</v>
      </c>
      <c r="BB26" s="246">
        <f t="shared" si="8"/>
        <v>0</v>
      </c>
      <c r="BC26" s="246">
        <f t="shared" si="8"/>
        <v>0</v>
      </c>
      <c r="BD26" s="246">
        <f t="shared" si="8"/>
        <v>0</v>
      </c>
      <c r="BE26" s="246">
        <f t="shared" si="8"/>
        <v>0</v>
      </c>
      <c r="BF26" s="246">
        <f t="shared" si="8"/>
        <v>0</v>
      </c>
      <c r="BG26" s="246">
        <f t="shared" si="8"/>
        <v>0</v>
      </c>
      <c r="BH26" s="246">
        <f t="shared" si="8"/>
        <v>0</v>
      </c>
      <c r="BI26" s="246">
        <f t="shared" si="8"/>
        <v>0</v>
      </c>
      <c r="BJ26" s="246">
        <f t="shared" si="8"/>
        <v>0</v>
      </c>
      <c r="BK26" s="246">
        <f t="shared" si="8"/>
        <v>0</v>
      </c>
      <c r="BL26" s="246">
        <f t="shared" si="8"/>
        <v>0</v>
      </c>
      <c r="BM26" s="246">
        <f t="shared" si="8"/>
        <v>0</v>
      </c>
      <c r="BN26" s="246">
        <f t="shared" si="8"/>
        <v>0</v>
      </c>
      <c r="BO26" s="246">
        <f t="shared" si="8"/>
        <v>0</v>
      </c>
      <c r="BP26" s="246">
        <f t="shared" si="8"/>
        <v>0</v>
      </c>
      <c r="BQ26" s="246">
        <f t="shared" si="8"/>
        <v>0</v>
      </c>
      <c r="BR26" s="246">
        <f t="shared" si="8"/>
        <v>0</v>
      </c>
      <c r="BS26" s="246">
        <f t="shared" si="8"/>
        <v>0</v>
      </c>
      <c r="BT26" s="246">
        <f t="shared" si="8"/>
        <v>0</v>
      </c>
      <c r="BU26" s="246">
        <f t="shared" si="8"/>
        <v>0</v>
      </c>
      <c r="BV26" s="246">
        <f t="shared" si="8"/>
        <v>0</v>
      </c>
      <c r="BW26" s="246">
        <f t="shared" si="8"/>
        <v>0</v>
      </c>
      <c r="BX26" s="246">
        <f t="shared" si="8"/>
        <v>0</v>
      </c>
      <c r="BY26" s="248">
        <f>SUM(BY27:BY33)</f>
        <v>-88297918.000000015</v>
      </c>
      <c r="BZ26" s="597"/>
      <c r="CA26" s="222"/>
      <c r="CB26" s="248"/>
      <c r="CC26" s="597"/>
      <c r="CD26" s="222"/>
      <c r="CE26" s="238">
        <f>SUM(R6:V6)/SUM(W9:Z10)</f>
        <v>0.91551803061899195</v>
      </c>
      <c r="CF26" s="222"/>
      <c r="CG26" s="258">
        <v>45991</v>
      </c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</row>
    <row r="27" spans="1:138" ht="15.95" hidden="1" outlineLevel="1">
      <c r="A27" s="505"/>
      <c r="B27" s="600"/>
      <c r="C27" s="249" t="s">
        <v>232</v>
      </c>
      <c r="D27" s="250" t="s">
        <v>223</v>
      </c>
      <c r="E27" s="251"/>
      <c r="F27" s="251"/>
      <c r="G27" s="251"/>
      <c r="H27" s="252"/>
      <c r="I27" s="252"/>
      <c r="J27" s="252"/>
      <c r="K27" s="252"/>
      <c r="L27" s="252">
        <f>-4688041</f>
        <v>-4688041</v>
      </c>
      <c r="M27" s="252">
        <f>-3615000-6429501.53</f>
        <v>-10044501.530000001</v>
      </c>
      <c r="N27" s="252">
        <f>-19909473.57</f>
        <v>-19909473.57</v>
      </c>
      <c r="O27" s="252">
        <f>-8977222.42</f>
        <v>-8977222.4199999999</v>
      </c>
      <c r="P27" s="252">
        <f>-10127350.57*0.9-2929658.6</f>
        <v>-12044274.113</v>
      </c>
      <c r="Q27" s="252">
        <f>-(58593172+SUM($L$27:P27))</f>
        <v>-2929659.3669999987</v>
      </c>
      <c r="R27" s="252">
        <f>-1500000</f>
        <v>-1500000</v>
      </c>
      <c r="S27" s="252"/>
      <c r="T27" s="252">
        <f>-(Businessplan_prodej!$F$31)/6</f>
        <v>-3947666.6666666665</v>
      </c>
      <c r="U27" s="252">
        <f>-(Businessplan_prodej!$F$31)/6</f>
        <v>-3947666.6666666665</v>
      </c>
      <c r="V27" s="252">
        <f>-(Businessplan_prodej!$F$31)/6</f>
        <v>-3947666.6666666665</v>
      </c>
      <c r="W27" s="252">
        <f>-(Businessplan_prodej!$F$31)/6</f>
        <v>-3947666.6666666665</v>
      </c>
      <c r="X27" s="252">
        <f>-(Businessplan_prodej!$F$31)/6</f>
        <v>-3947666.6666666665</v>
      </c>
      <c r="Y27" s="252">
        <f>-(Businessplan_prodej!$F$31)/6</f>
        <v>-3947666.6666666665</v>
      </c>
      <c r="Z27" s="252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60"/>
      <c r="BY27" s="261">
        <f t="shared" ref="BY27:BY33" si="9">SUM(E27:BX27)</f>
        <v>-83779172.000000015</v>
      </c>
      <c r="BZ27" s="597"/>
      <c r="CA27" s="222"/>
      <c r="CB27" s="248"/>
      <c r="CC27" s="597"/>
      <c r="CD27" s="222"/>
      <c r="CE27" s="222"/>
      <c r="CF27" s="222"/>
      <c r="CG27" s="222">
        <f>CG26-CG25</f>
        <v>401</v>
      </c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</row>
    <row r="28" spans="1:138" ht="15.95" hidden="1" outlineLevel="1">
      <c r="A28" s="505"/>
      <c r="B28" s="600"/>
      <c r="C28" s="249" t="s">
        <v>233</v>
      </c>
      <c r="D28" s="250" t="s">
        <v>223</v>
      </c>
      <c r="E28" s="251"/>
      <c r="F28" s="251"/>
      <c r="G28" s="251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60"/>
      <c r="BY28" s="262">
        <f t="shared" si="9"/>
        <v>0</v>
      </c>
      <c r="BZ28" s="597"/>
      <c r="CA28" s="222"/>
      <c r="CB28" s="248"/>
      <c r="CC28" s="597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</row>
    <row r="29" spans="1:138" ht="15.95" hidden="1" outlineLevel="1">
      <c r="A29" s="505"/>
      <c r="B29" s="600"/>
      <c r="C29" s="249" t="s">
        <v>234</v>
      </c>
      <c r="D29" s="250" t="s">
        <v>223</v>
      </c>
      <c r="E29" s="251"/>
      <c r="F29" s="251"/>
      <c r="G29" s="251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60"/>
      <c r="BY29" s="262">
        <f t="shared" si="9"/>
        <v>0</v>
      </c>
      <c r="BZ29" s="597"/>
      <c r="CA29" s="222"/>
      <c r="CB29" s="248"/>
      <c r="CC29" s="597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</row>
    <row r="30" spans="1:138" ht="15.95" hidden="1" outlineLevel="1">
      <c r="A30" s="505"/>
      <c r="B30" s="600"/>
      <c r="C30" s="249" t="s">
        <v>235</v>
      </c>
      <c r="D30" s="250" t="s">
        <v>223</v>
      </c>
      <c r="E30" s="251"/>
      <c r="F30" s="251"/>
      <c r="G30" s="251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>
        <f>-Businessplan_prodej!$F$37*0.5</f>
        <v>0</v>
      </c>
      <c r="T30" s="252">
        <f>-Businessplan_prodej!$F$37*0.3</f>
        <v>0</v>
      </c>
      <c r="U30" s="252">
        <f>-Businessplan_prodej!$F$37*0.2</f>
        <v>0</v>
      </c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60"/>
      <c r="BY30" s="262">
        <f t="shared" si="9"/>
        <v>0</v>
      </c>
      <c r="BZ30" s="597"/>
      <c r="CA30" s="222"/>
      <c r="CB30" s="248"/>
      <c r="CC30" s="597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</row>
    <row r="31" spans="1:138" ht="15.95" hidden="1" outlineLevel="1">
      <c r="A31" s="505"/>
      <c r="B31" s="600"/>
      <c r="C31" s="249" t="s">
        <v>236</v>
      </c>
      <c r="D31" s="250" t="s">
        <v>223</v>
      </c>
      <c r="E31" s="251"/>
      <c r="F31" s="251"/>
      <c r="G31" s="251"/>
      <c r="H31" s="252">
        <f>-2420</f>
        <v>-2420</v>
      </c>
      <c r="I31" s="252"/>
      <c r="J31" s="252"/>
      <c r="K31" s="252"/>
      <c r="L31" s="252"/>
      <c r="M31" s="252"/>
      <c r="N31" s="252">
        <f>-500-9107</f>
        <v>-9607</v>
      </c>
      <c r="O31" s="252">
        <f>-18750-2420-2470</f>
        <v>-23640</v>
      </c>
      <c r="P31" s="252">
        <f>-500-20570</f>
        <v>-21070</v>
      </c>
      <c r="Q31" s="252"/>
      <c r="R31" s="252"/>
      <c r="S31" s="252"/>
      <c r="T31" s="252">
        <f>-Businessplan_prodej!$F$38/6</f>
        <v>-21666.666666666668</v>
      </c>
      <c r="U31" s="252">
        <f>-Businessplan_prodej!$F$38/6</f>
        <v>-21666.666666666668</v>
      </c>
      <c r="V31" s="252">
        <f>-Businessplan_prodej!$F$38/6</f>
        <v>-21666.666666666668</v>
      </c>
      <c r="W31" s="252">
        <f>-Businessplan_prodej!$F$38/6</f>
        <v>-21666.666666666668</v>
      </c>
      <c r="X31" s="252">
        <f>-Businessplan_prodej!$F$38/6</f>
        <v>-21666.666666666668</v>
      </c>
      <c r="Y31" s="252">
        <f>-Businessplan_prodej!$F$38/6</f>
        <v>-21666.666666666668</v>
      </c>
      <c r="Z31" s="252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60"/>
      <c r="BY31" s="262">
        <f t="shared" si="9"/>
        <v>-186737</v>
      </c>
      <c r="BZ31" s="597"/>
      <c r="CA31" s="222"/>
      <c r="CB31" s="248"/>
      <c r="CC31" s="597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</row>
    <row r="32" spans="1:138" ht="15.95" hidden="1" outlineLevel="1">
      <c r="A32" s="505"/>
      <c r="B32" s="600"/>
      <c r="C32" s="263" t="s">
        <v>237</v>
      </c>
      <c r="D32" s="250" t="s">
        <v>223</v>
      </c>
      <c r="E32" s="251"/>
      <c r="F32" s="251"/>
      <c r="G32" s="251"/>
      <c r="H32" s="252"/>
      <c r="I32" s="252">
        <f>-1081909</f>
        <v>-1081909</v>
      </c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>
        <f>-868500</f>
        <v>-868500</v>
      </c>
      <c r="U32" s="252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60"/>
      <c r="BY32" s="262">
        <f t="shared" si="9"/>
        <v>-1950409</v>
      </c>
      <c r="BZ32" s="597"/>
      <c r="CA32" s="222"/>
      <c r="CB32" s="248"/>
      <c r="CC32" s="597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</row>
    <row r="33" spans="1:138" ht="15.95" hidden="1" outlineLevel="1">
      <c r="A33" s="505"/>
      <c r="B33" s="600"/>
      <c r="C33" s="249" t="s">
        <v>238</v>
      </c>
      <c r="D33" s="254" t="s">
        <v>223</v>
      </c>
      <c r="E33" s="251"/>
      <c r="F33" s="251"/>
      <c r="G33" s="251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>
        <f>-Businessplan_prodej!$F$41/6</f>
        <v>-396933.33333333331</v>
      </c>
      <c r="U33" s="252">
        <f>-Businessplan_prodej!$F$41/6</f>
        <v>-396933.33333333331</v>
      </c>
      <c r="V33" s="252">
        <f>-Businessplan_prodej!$F$41/6</f>
        <v>-396933.33333333331</v>
      </c>
      <c r="W33" s="252">
        <f>-Businessplan_prodej!$F$41/6</f>
        <v>-396933.33333333331</v>
      </c>
      <c r="X33" s="252">
        <f>-Businessplan_prodej!$F$41/6</f>
        <v>-396933.33333333331</v>
      </c>
      <c r="Y33" s="252">
        <f>-Businessplan_prodej!$F$41/6</f>
        <v>-396933.33333333331</v>
      </c>
      <c r="Z33" s="252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60"/>
      <c r="BY33" s="264">
        <f t="shared" si="9"/>
        <v>-2381600</v>
      </c>
      <c r="BZ33" s="597"/>
      <c r="CA33" s="222"/>
      <c r="CB33" s="248"/>
      <c r="CC33" s="597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</row>
    <row r="34" spans="1:138" ht="15.95" collapsed="1">
      <c r="A34" s="505"/>
      <c r="B34" s="600"/>
      <c r="C34" s="244" t="s">
        <v>239</v>
      </c>
      <c r="D34" s="245"/>
      <c r="E34" s="246">
        <f t="shared" ref="E34:BX34" si="10">SUM(E35:E36)</f>
        <v>0</v>
      </c>
      <c r="F34" s="246">
        <f t="shared" si="10"/>
        <v>0</v>
      </c>
      <c r="G34" s="246">
        <f t="shared" si="10"/>
        <v>0</v>
      </c>
      <c r="H34" s="246">
        <f t="shared" si="10"/>
        <v>0</v>
      </c>
      <c r="I34" s="246">
        <f t="shared" si="10"/>
        <v>0</v>
      </c>
      <c r="J34" s="246">
        <f t="shared" si="10"/>
        <v>0</v>
      </c>
      <c r="K34" s="246">
        <f t="shared" si="10"/>
        <v>0</v>
      </c>
      <c r="L34" s="246">
        <f t="shared" si="10"/>
        <v>0</v>
      </c>
      <c r="M34" s="246">
        <f t="shared" si="10"/>
        <v>0</v>
      </c>
      <c r="N34" s="246">
        <f t="shared" si="10"/>
        <v>0</v>
      </c>
      <c r="O34" s="246">
        <f t="shared" si="10"/>
        <v>0</v>
      </c>
      <c r="P34" s="246">
        <f t="shared" si="10"/>
        <v>0</v>
      </c>
      <c r="Q34" s="246">
        <f t="shared" si="10"/>
        <v>0</v>
      </c>
      <c r="R34" s="246">
        <f t="shared" si="10"/>
        <v>0</v>
      </c>
      <c r="S34" s="246">
        <f t="shared" si="10"/>
        <v>0</v>
      </c>
      <c r="T34" s="246">
        <f t="shared" si="10"/>
        <v>-719000</v>
      </c>
      <c r="U34" s="246">
        <f t="shared" si="10"/>
        <v>-719000</v>
      </c>
      <c r="V34" s="246">
        <f t="shared" si="10"/>
        <v>-719000</v>
      </c>
      <c r="W34" s="246">
        <f t="shared" si="10"/>
        <v>-719000</v>
      </c>
      <c r="X34" s="246">
        <f t="shared" si="10"/>
        <v>-719000</v>
      </c>
      <c r="Y34" s="246">
        <f t="shared" si="10"/>
        <v>-719000</v>
      </c>
      <c r="Z34" s="246">
        <f t="shared" si="10"/>
        <v>0</v>
      </c>
      <c r="AA34" s="246">
        <f t="shared" si="10"/>
        <v>0</v>
      </c>
      <c r="AB34" s="246">
        <f t="shared" si="10"/>
        <v>0</v>
      </c>
      <c r="AC34" s="246">
        <f t="shared" si="10"/>
        <v>0</v>
      </c>
      <c r="AD34" s="246">
        <f t="shared" si="10"/>
        <v>0</v>
      </c>
      <c r="AE34" s="246">
        <f t="shared" si="10"/>
        <v>0</v>
      </c>
      <c r="AF34" s="246">
        <f t="shared" si="10"/>
        <v>0</v>
      </c>
      <c r="AG34" s="246">
        <f t="shared" si="10"/>
        <v>0</v>
      </c>
      <c r="AH34" s="246">
        <f t="shared" si="10"/>
        <v>0</v>
      </c>
      <c r="AI34" s="246">
        <f t="shared" si="10"/>
        <v>0</v>
      </c>
      <c r="AJ34" s="246">
        <f t="shared" si="10"/>
        <v>0</v>
      </c>
      <c r="AK34" s="246">
        <f t="shared" si="10"/>
        <v>0</v>
      </c>
      <c r="AL34" s="246">
        <f t="shared" si="10"/>
        <v>0</v>
      </c>
      <c r="AM34" s="246">
        <f t="shared" si="10"/>
        <v>0</v>
      </c>
      <c r="AN34" s="246">
        <f t="shared" si="10"/>
        <v>0</v>
      </c>
      <c r="AO34" s="246">
        <f t="shared" si="10"/>
        <v>0</v>
      </c>
      <c r="AP34" s="246">
        <f t="shared" si="10"/>
        <v>0</v>
      </c>
      <c r="AQ34" s="246">
        <f t="shared" si="10"/>
        <v>0</v>
      </c>
      <c r="AR34" s="246">
        <f t="shared" si="10"/>
        <v>0</v>
      </c>
      <c r="AS34" s="246">
        <f t="shared" si="10"/>
        <v>0</v>
      </c>
      <c r="AT34" s="246">
        <f t="shared" si="10"/>
        <v>0</v>
      </c>
      <c r="AU34" s="246">
        <f t="shared" si="10"/>
        <v>0</v>
      </c>
      <c r="AV34" s="246">
        <f t="shared" si="10"/>
        <v>0</v>
      </c>
      <c r="AW34" s="246">
        <f t="shared" si="10"/>
        <v>0</v>
      </c>
      <c r="AX34" s="246">
        <f t="shared" si="10"/>
        <v>0</v>
      </c>
      <c r="AY34" s="246">
        <f t="shared" si="10"/>
        <v>0</v>
      </c>
      <c r="AZ34" s="246">
        <f t="shared" si="10"/>
        <v>0</v>
      </c>
      <c r="BA34" s="246">
        <f t="shared" si="10"/>
        <v>0</v>
      </c>
      <c r="BB34" s="246">
        <f t="shared" si="10"/>
        <v>0</v>
      </c>
      <c r="BC34" s="246">
        <f t="shared" si="10"/>
        <v>0</v>
      </c>
      <c r="BD34" s="246">
        <f t="shared" si="10"/>
        <v>0</v>
      </c>
      <c r="BE34" s="246">
        <f t="shared" si="10"/>
        <v>0</v>
      </c>
      <c r="BF34" s="246">
        <f t="shared" si="10"/>
        <v>0</v>
      </c>
      <c r="BG34" s="246">
        <f t="shared" si="10"/>
        <v>0</v>
      </c>
      <c r="BH34" s="246">
        <f t="shared" si="10"/>
        <v>0</v>
      </c>
      <c r="BI34" s="246">
        <f t="shared" si="10"/>
        <v>0</v>
      </c>
      <c r="BJ34" s="246">
        <f t="shared" si="10"/>
        <v>0</v>
      </c>
      <c r="BK34" s="246">
        <f t="shared" si="10"/>
        <v>0</v>
      </c>
      <c r="BL34" s="246">
        <f t="shared" si="10"/>
        <v>0</v>
      </c>
      <c r="BM34" s="246">
        <f t="shared" si="10"/>
        <v>0</v>
      </c>
      <c r="BN34" s="246">
        <f t="shared" si="10"/>
        <v>0</v>
      </c>
      <c r="BO34" s="246">
        <f t="shared" si="10"/>
        <v>0</v>
      </c>
      <c r="BP34" s="246">
        <f t="shared" si="10"/>
        <v>0</v>
      </c>
      <c r="BQ34" s="246">
        <f t="shared" si="10"/>
        <v>0</v>
      </c>
      <c r="BR34" s="246">
        <f t="shared" si="10"/>
        <v>0</v>
      </c>
      <c r="BS34" s="246">
        <f t="shared" si="10"/>
        <v>0</v>
      </c>
      <c r="BT34" s="246">
        <f t="shared" si="10"/>
        <v>0</v>
      </c>
      <c r="BU34" s="246">
        <f t="shared" si="10"/>
        <v>0</v>
      </c>
      <c r="BV34" s="246">
        <f t="shared" si="10"/>
        <v>0</v>
      </c>
      <c r="BW34" s="246">
        <f t="shared" si="10"/>
        <v>0</v>
      </c>
      <c r="BX34" s="246">
        <f t="shared" si="10"/>
        <v>0</v>
      </c>
      <c r="BY34" s="248">
        <f>SUM(BY35:BY36)</f>
        <v>-4314000</v>
      </c>
      <c r="BZ34" s="597"/>
      <c r="CA34" s="222"/>
      <c r="CB34" s="248"/>
      <c r="CC34" s="597"/>
      <c r="CD34" s="222"/>
      <c r="CE34" s="222">
        <f>SUM(W9:Z10,R6:V6)</f>
        <v>35777950</v>
      </c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</row>
    <row r="35" spans="1:138" ht="15.95" hidden="1" outlineLevel="1">
      <c r="A35" s="505"/>
      <c r="B35" s="600"/>
      <c r="C35" s="249" t="s">
        <v>240</v>
      </c>
      <c r="D35" s="250" t="s">
        <v>223</v>
      </c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>
        <f>-Businessplan_prodej!$C$51/6</f>
        <v>-719000</v>
      </c>
      <c r="U35" s="251">
        <f>-Businessplan_prodej!$C$51/6</f>
        <v>-719000</v>
      </c>
      <c r="V35" s="251">
        <f>-Businessplan_prodej!$C$51/6</f>
        <v>-719000</v>
      </c>
      <c r="W35" s="251">
        <f>-Businessplan_prodej!$C$51/6</f>
        <v>-719000</v>
      </c>
      <c r="X35" s="251">
        <f>-Businessplan_prodej!$C$51/6</f>
        <v>-719000</v>
      </c>
      <c r="Y35" s="251">
        <f>-Businessplan_prodej!$C$51/6</f>
        <v>-719000</v>
      </c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60"/>
      <c r="BY35" s="261">
        <f t="shared" ref="BY35:BY36" si="11">SUM(E35:BX35)</f>
        <v>-4314000</v>
      </c>
      <c r="BZ35" s="597"/>
      <c r="CA35" s="222"/>
      <c r="CB35" s="248"/>
      <c r="CC35" s="597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</row>
    <row r="36" spans="1:138" ht="15.95" hidden="1" outlineLevel="1">
      <c r="A36" s="505"/>
      <c r="B36" s="600"/>
      <c r="C36" s="249" t="s">
        <v>241</v>
      </c>
      <c r="D36" s="254" t="s">
        <v>223</v>
      </c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66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60"/>
      <c r="BY36" s="264">
        <f t="shared" si="11"/>
        <v>0</v>
      </c>
      <c r="BZ36" s="597"/>
      <c r="CA36" s="222"/>
      <c r="CB36" s="248"/>
      <c r="CC36" s="597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</row>
    <row r="37" spans="1:138" ht="15.95" collapsed="1">
      <c r="A37" s="505"/>
      <c r="B37" s="600"/>
      <c r="C37" s="244" t="s">
        <v>242</v>
      </c>
      <c r="D37" s="245"/>
      <c r="E37" s="246">
        <f t="shared" ref="E37:G37" si="12">SUM(E38:E48)</f>
        <v>0</v>
      </c>
      <c r="F37" s="246">
        <f t="shared" si="12"/>
        <v>0</v>
      </c>
      <c r="G37" s="246">
        <f t="shared" si="12"/>
        <v>0</v>
      </c>
      <c r="H37" s="246">
        <f t="shared" ref="H37:BM37" si="13">SUM(H38:H41,H42,H45,H46:H48)</f>
        <v>-113225.2</v>
      </c>
      <c r="I37" s="246">
        <f t="shared" si="13"/>
        <v>-414970</v>
      </c>
      <c r="J37" s="246">
        <f t="shared" si="13"/>
        <v>-1007845.81</v>
      </c>
      <c r="K37" s="246">
        <f t="shared" si="13"/>
        <v>-901583.60700000008</v>
      </c>
      <c r="L37" s="246">
        <f t="shared" si="13"/>
        <v>-332396.81</v>
      </c>
      <c r="M37" s="246">
        <f t="shared" si="13"/>
        <v>-666968.62</v>
      </c>
      <c r="N37" s="246">
        <f t="shared" si="13"/>
        <v>-25339</v>
      </c>
      <c r="O37" s="246">
        <f t="shared" si="13"/>
        <v>-744252.62</v>
      </c>
      <c r="P37" s="246">
        <f t="shared" si="13"/>
        <v>-417381.81</v>
      </c>
      <c r="Q37" s="246">
        <f t="shared" si="13"/>
        <v>-306298.36900000001</v>
      </c>
      <c r="R37" s="246">
        <f t="shared" si="13"/>
        <v>-750246.54499999993</v>
      </c>
      <c r="S37" s="246">
        <f t="shared" si="13"/>
        <v>-845155.94079999987</v>
      </c>
      <c r="T37" s="246">
        <f t="shared" si="13"/>
        <v>-337218.85</v>
      </c>
      <c r="U37" s="246">
        <f t="shared" si="13"/>
        <v>-307771.92499999999</v>
      </c>
      <c r="V37" s="246">
        <f t="shared" si="13"/>
        <v>-307771.92499999999</v>
      </c>
      <c r="W37" s="246">
        <f t="shared" si="13"/>
        <v>-373111.92499999999</v>
      </c>
      <c r="X37" s="246">
        <f t="shared" si="13"/>
        <v>-307771.92499999999</v>
      </c>
      <c r="Y37" s="246">
        <f t="shared" si="13"/>
        <v>-416671.92499999999</v>
      </c>
      <c r="Z37" s="246">
        <f t="shared" si="13"/>
        <v>-633308.40079999994</v>
      </c>
      <c r="AA37" s="246">
        <f t="shared" si="13"/>
        <v>-14235</v>
      </c>
      <c r="AB37" s="246">
        <f t="shared" si="13"/>
        <v>0</v>
      </c>
      <c r="AC37" s="246">
        <f t="shared" si="13"/>
        <v>0</v>
      </c>
      <c r="AD37" s="246">
        <f t="shared" si="13"/>
        <v>0</v>
      </c>
      <c r="AE37" s="246">
        <f t="shared" si="13"/>
        <v>0</v>
      </c>
      <c r="AF37" s="246">
        <f t="shared" si="13"/>
        <v>0</v>
      </c>
      <c r="AG37" s="246">
        <f t="shared" si="13"/>
        <v>0</v>
      </c>
      <c r="AH37" s="246">
        <f t="shared" si="13"/>
        <v>0</v>
      </c>
      <c r="AI37" s="246">
        <f t="shared" si="13"/>
        <v>0</v>
      </c>
      <c r="AJ37" s="246">
        <f t="shared" si="13"/>
        <v>0</v>
      </c>
      <c r="AK37" s="246">
        <f t="shared" si="13"/>
        <v>0</v>
      </c>
      <c r="AL37" s="246">
        <f t="shared" si="13"/>
        <v>0</v>
      </c>
      <c r="AM37" s="246">
        <f t="shared" si="13"/>
        <v>0</v>
      </c>
      <c r="AN37" s="246">
        <f t="shared" si="13"/>
        <v>0</v>
      </c>
      <c r="AO37" s="246">
        <f t="shared" si="13"/>
        <v>0</v>
      </c>
      <c r="AP37" s="246">
        <f t="shared" si="13"/>
        <v>0</v>
      </c>
      <c r="AQ37" s="246">
        <f t="shared" si="13"/>
        <v>0</v>
      </c>
      <c r="AR37" s="246">
        <f t="shared" si="13"/>
        <v>0</v>
      </c>
      <c r="AS37" s="246">
        <f t="shared" si="13"/>
        <v>0</v>
      </c>
      <c r="AT37" s="246">
        <f t="shared" si="13"/>
        <v>0</v>
      </c>
      <c r="AU37" s="246">
        <f t="shared" si="13"/>
        <v>0</v>
      </c>
      <c r="AV37" s="246">
        <f t="shared" si="13"/>
        <v>0</v>
      </c>
      <c r="AW37" s="246">
        <f t="shared" si="13"/>
        <v>0</v>
      </c>
      <c r="AX37" s="246">
        <f t="shared" si="13"/>
        <v>0</v>
      </c>
      <c r="AY37" s="246">
        <f t="shared" si="13"/>
        <v>0</v>
      </c>
      <c r="AZ37" s="246">
        <f t="shared" si="13"/>
        <v>0</v>
      </c>
      <c r="BA37" s="246">
        <f t="shared" si="13"/>
        <v>0</v>
      </c>
      <c r="BB37" s="246">
        <f t="shared" si="13"/>
        <v>0</v>
      </c>
      <c r="BC37" s="246">
        <f t="shared" si="13"/>
        <v>0</v>
      </c>
      <c r="BD37" s="246">
        <f t="shared" si="13"/>
        <v>0</v>
      </c>
      <c r="BE37" s="246">
        <f t="shared" si="13"/>
        <v>0</v>
      </c>
      <c r="BF37" s="246">
        <f t="shared" si="13"/>
        <v>0</v>
      </c>
      <c r="BG37" s="246">
        <f t="shared" si="13"/>
        <v>0</v>
      </c>
      <c r="BH37" s="246">
        <f t="shared" si="13"/>
        <v>0</v>
      </c>
      <c r="BI37" s="246">
        <f t="shared" si="13"/>
        <v>0</v>
      </c>
      <c r="BJ37" s="246">
        <f t="shared" si="13"/>
        <v>0</v>
      </c>
      <c r="BK37" s="246">
        <f t="shared" si="13"/>
        <v>0</v>
      </c>
      <c r="BL37" s="246">
        <f t="shared" si="13"/>
        <v>0</v>
      </c>
      <c r="BM37" s="246">
        <f t="shared" si="13"/>
        <v>0</v>
      </c>
      <c r="BN37" s="246">
        <f t="shared" ref="BN37:BX37" si="14">SUM(BN38:BN48)</f>
        <v>0</v>
      </c>
      <c r="BO37" s="246">
        <f t="shared" si="14"/>
        <v>0</v>
      </c>
      <c r="BP37" s="246">
        <f t="shared" si="14"/>
        <v>0</v>
      </c>
      <c r="BQ37" s="246">
        <f t="shared" si="14"/>
        <v>0</v>
      </c>
      <c r="BR37" s="246">
        <f t="shared" si="14"/>
        <v>0</v>
      </c>
      <c r="BS37" s="246">
        <f t="shared" si="14"/>
        <v>0</v>
      </c>
      <c r="BT37" s="246">
        <f t="shared" si="14"/>
        <v>0</v>
      </c>
      <c r="BU37" s="246">
        <f t="shared" si="14"/>
        <v>0</v>
      </c>
      <c r="BV37" s="246">
        <f t="shared" si="14"/>
        <v>0</v>
      </c>
      <c r="BW37" s="246">
        <f t="shared" si="14"/>
        <v>0</v>
      </c>
      <c r="BX37" s="246">
        <f t="shared" si="14"/>
        <v>0</v>
      </c>
      <c r="BY37" s="248">
        <f>SUM(BY38:BY48)</f>
        <v>-9688045.2075999994</v>
      </c>
      <c r="BZ37" s="597"/>
      <c r="CA37" s="222"/>
      <c r="CB37" s="248"/>
      <c r="CC37" s="597"/>
      <c r="CD37" s="222"/>
      <c r="CE37" s="238">
        <f>SUM(W8:Z10)/CE34</f>
        <v>0.52205199012240777</v>
      </c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</row>
    <row r="38" spans="1:138" ht="15.95" hidden="1" outlineLevel="1">
      <c r="A38" s="505"/>
      <c r="B38" s="600"/>
      <c r="C38" s="263" t="s">
        <v>170</v>
      </c>
      <c r="D38" s="250" t="s">
        <v>223</v>
      </c>
      <c r="E38" s="255"/>
      <c r="F38" s="255"/>
      <c r="G38" s="255"/>
      <c r="H38" s="256"/>
      <c r="I38" s="256">
        <f>-400000</f>
        <v>-400000</v>
      </c>
      <c r="J38" s="256">
        <f>-661353-(23520+28160+192281+20000)*1.21</f>
        <v>-980745.81</v>
      </c>
      <c r="K38" s="256"/>
      <c r="L38" s="256">
        <f>-(23520+28160+192281+20000)*1.21</f>
        <v>-319392.81</v>
      </c>
      <c r="M38" s="256">
        <f>-(23520+28160+192281+20000)*1.21-(23520+28160+192281+20000)*1.21</f>
        <v>-638785.62</v>
      </c>
      <c r="N38" s="256"/>
      <c r="O38" s="256">
        <f>-(23520+28160+192281+20000)*1.21*2</f>
        <v>-638785.62</v>
      </c>
      <c r="P38" s="256">
        <f>-(23520+28160+192281+20000)*1.21</f>
        <v>-319392.81</v>
      </c>
      <c r="Q38" s="256"/>
      <c r="R38" s="256">
        <f>-Businessplan_prodej!$F$78/8*1.21-(23520+28160+192281+20000)*1.21</f>
        <v>-434575.73499999999</v>
      </c>
      <c r="S38" s="256">
        <f>-Businessplan_prodej!$F$78/8*1.21</f>
        <v>-115182.925</v>
      </c>
      <c r="T38" s="256">
        <f>-Businessplan_prodej!$F$78/8*1.21</f>
        <v>-115182.925</v>
      </c>
      <c r="U38" s="256">
        <f>-Businessplan_prodej!$F$78/8*1.21</f>
        <v>-115182.925</v>
      </c>
      <c r="V38" s="256">
        <f>-Businessplan_prodej!$F$78/8*1.21</f>
        <v>-115182.925</v>
      </c>
      <c r="W38" s="256">
        <f>-Businessplan_prodej!$F$78/8*1.21</f>
        <v>-115182.925</v>
      </c>
      <c r="X38" s="256">
        <f>-Businessplan_prodej!$F$78/8*1.21</f>
        <v>-115182.925</v>
      </c>
      <c r="Y38" s="256">
        <f>-Businessplan_prodej!$F$78/8*1.21</f>
        <v>-115182.925</v>
      </c>
      <c r="Z38" s="256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67"/>
      <c r="BY38" s="261">
        <f t="shared" ref="BY38:BY48" si="15">SUM(E38:BX38)</f>
        <v>-4537958.879999999</v>
      </c>
      <c r="BZ38" s="597"/>
      <c r="CA38" s="222">
        <f>BY39/1.21</f>
        <v>-1019800</v>
      </c>
      <c r="CB38" s="248"/>
      <c r="CC38" s="597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</row>
    <row r="39" spans="1:138" ht="15.95" hidden="1" outlineLevel="1">
      <c r="A39" s="505"/>
      <c r="B39" s="600"/>
      <c r="C39" s="263" t="s">
        <v>171</v>
      </c>
      <c r="D39" s="250" t="s">
        <v>223</v>
      </c>
      <c r="E39" s="255"/>
      <c r="F39" s="255"/>
      <c r="G39" s="255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>
        <f>-100000*1.21</f>
        <v>-121000</v>
      </c>
      <c r="S39" s="256">
        <f>-Businessplan_prodej!$F$82/7*1.21</f>
        <v>-158994</v>
      </c>
      <c r="T39" s="256">
        <f>-Businessplan_prodej!$F$82/7*1.21</f>
        <v>-158994</v>
      </c>
      <c r="U39" s="256">
        <f>-Businessplan_prodej!$F$82/7*1.21</f>
        <v>-158994</v>
      </c>
      <c r="V39" s="256">
        <f>-Businessplan_prodej!$F$82/7*1.21</f>
        <v>-158994</v>
      </c>
      <c r="W39" s="256">
        <f>-Businessplan_prodej!$F$82/7*1.21</f>
        <v>-158994</v>
      </c>
      <c r="X39" s="256">
        <f>-Businessplan_prodej!$F$82/7*1.21</f>
        <v>-158994</v>
      </c>
      <c r="Y39" s="256">
        <f>-Businessplan_prodej!$F$82/7*1.21</f>
        <v>-158994</v>
      </c>
      <c r="Z39" s="256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67"/>
      <c r="BY39" s="262">
        <f t="shared" si="15"/>
        <v>-1233958</v>
      </c>
      <c r="BZ39" s="597"/>
      <c r="CA39" s="222"/>
      <c r="CB39" s="248"/>
      <c r="CC39" s="597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</row>
    <row r="40" spans="1:138" ht="15.95" hidden="1" outlineLevel="1">
      <c r="A40" s="505"/>
      <c r="B40" s="600"/>
      <c r="C40" s="263" t="s">
        <v>172</v>
      </c>
      <c r="D40" s="250" t="s">
        <v>223</v>
      </c>
      <c r="E40" s="255"/>
      <c r="F40" s="255"/>
      <c r="G40" s="255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68"/>
      <c r="T40" s="256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67"/>
      <c r="BY40" s="262">
        <f t="shared" si="15"/>
        <v>0</v>
      </c>
      <c r="BZ40" s="597"/>
      <c r="CA40" s="222"/>
      <c r="CB40" s="248"/>
      <c r="CC40" s="597"/>
      <c r="CD40" s="222"/>
      <c r="CE40" s="238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</row>
    <row r="41" spans="1:138" ht="15.95" hidden="1" outlineLevel="1">
      <c r="A41" s="505"/>
      <c r="B41" s="600"/>
      <c r="C41" s="263" t="s">
        <v>176</v>
      </c>
      <c r="D41" s="250" t="s">
        <v>223</v>
      </c>
      <c r="E41" s="255"/>
      <c r="F41" s="255"/>
      <c r="G41" s="255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68"/>
      <c r="S41" s="268">
        <f>-Businessplan_prodej!$F$87/9*1.21</f>
        <v>0</v>
      </c>
      <c r="T41" s="268">
        <f>-Businessplan_prodej!$F$87/9*1.21</f>
        <v>0</v>
      </c>
      <c r="U41" s="268">
        <f>-Businessplan_prodej!$F$87/9*1.21</f>
        <v>0</v>
      </c>
      <c r="V41" s="268">
        <f>-Businessplan_prodej!$F$87/9*1.21</f>
        <v>0</v>
      </c>
      <c r="W41" s="268">
        <f>-Businessplan_prodej!$F$87/9*1.21</f>
        <v>0</v>
      </c>
      <c r="X41" s="268">
        <f>-Businessplan_prodej!$F$87/9*1.21</f>
        <v>0</v>
      </c>
      <c r="Y41" s="268">
        <f>-Businessplan_prodej!$F$87/9*1.21</f>
        <v>0</v>
      </c>
      <c r="Z41" s="268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67"/>
      <c r="BY41" s="262">
        <f t="shared" si="15"/>
        <v>0</v>
      </c>
      <c r="BZ41" s="597"/>
      <c r="CA41" s="222">
        <f>BY41/1.21</f>
        <v>0</v>
      </c>
      <c r="CB41" s="248"/>
      <c r="CC41" s="597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</row>
    <row r="42" spans="1:138" ht="15.95" hidden="1" outlineLevel="1">
      <c r="A42" s="505"/>
      <c r="B42" s="600"/>
      <c r="C42" s="249" t="s">
        <v>177</v>
      </c>
      <c r="D42" s="269" t="s">
        <v>223</v>
      </c>
      <c r="E42" s="270"/>
      <c r="F42" s="271"/>
      <c r="G42" s="271"/>
      <c r="H42" s="271">
        <f t="shared" ref="H42:AA42" si="16">SUM(H43:H44)</f>
        <v>-36364</v>
      </c>
      <c r="I42" s="271">
        <f t="shared" si="16"/>
        <v>-8194</v>
      </c>
      <c r="J42" s="271">
        <f t="shared" si="16"/>
        <v>-27000</v>
      </c>
      <c r="K42" s="271">
        <f t="shared" si="16"/>
        <v>-7113</v>
      </c>
      <c r="L42" s="271">
        <f t="shared" si="16"/>
        <v>-5262</v>
      </c>
      <c r="M42" s="271">
        <f t="shared" si="16"/>
        <v>-3613</v>
      </c>
      <c r="N42" s="271">
        <f t="shared" si="16"/>
        <v>-3999</v>
      </c>
      <c r="O42" s="271">
        <f t="shared" si="16"/>
        <v>-6441</v>
      </c>
      <c r="P42" s="271">
        <f t="shared" si="16"/>
        <v>-8402</v>
      </c>
      <c r="Q42" s="271">
        <f t="shared" si="16"/>
        <v>-8131</v>
      </c>
      <c r="R42" s="271">
        <f t="shared" si="16"/>
        <v>-160000</v>
      </c>
      <c r="S42" s="271">
        <f t="shared" si="16"/>
        <v>-10000</v>
      </c>
      <c r="T42" s="271">
        <f t="shared" si="16"/>
        <v>-10000</v>
      </c>
      <c r="U42" s="271">
        <f t="shared" si="16"/>
        <v>-10000</v>
      </c>
      <c r="V42" s="271">
        <f t="shared" si="16"/>
        <v>-10000</v>
      </c>
      <c r="W42" s="271">
        <f t="shared" si="16"/>
        <v>-10000</v>
      </c>
      <c r="X42" s="271">
        <f t="shared" si="16"/>
        <v>-10000</v>
      </c>
      <c r="Y42" s="271">
        <f t="shared" si="16"/>
        <v>-10000</v>
      </c>
      <c r="Z42" s="271">
        <f t="shared" si="16"/>
        <v>-110000</v>
      </c>
      <c r="AA42" s="271">
        <f t="shared" si="16"/>
        <v>-10000</v>
      </c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2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60"/>
      <c r="BY42" s="262">
        <f t="shared" si="15"/>
        <v>-464519</v>
      </c>
      <c r="BZ42" s="597"/>
      <c r="CA42" s="222"/>
      <c r="CB42" s="248"/>
      <c r="CC42" s="597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</row>
    <row r="43" spans="1:138" ht="15.95" hidden="1" outlineLevel="2">
      <c r="A43" s="505"/>
      <c r="B43" s="600"/>
      <c r="C43" s="273" t="s">
        <v>243</v>
      </c>
      <c r="D43" s="250" t="s">
        <v>223</v>
      </c>
      <c r="E43" s="251"/>
      <c r="F43" s="251"/>
      <c r="G43" s="251"/>
      <c r="H43" s="274">
        <f>-11364</f>
        <v>-11364</v>
      </c>
      <c r="I43" s="274">
        <f>-8194</f>
        <v>-8194</v>
      </c>
      <c r="J43" s="274"/>
      <c r="K43" s="274">
        <f>-3219-3894</f>
        <v>-7113</v>
      </c>
      <c r="L43" s="274">
        <f>-5262</f>
        <v>-5262</v>
      </c>
      <c r="M43" s="274">
        <f>-3613</f>
        <v>-3613</v>
      </c>
      <c r="N43" s="274">
        <f>-3999</f>
        <v>-3999</v>
      </c>
      <c r="O43" s="274">
        <f>-6441</f>
        <v>-6441</v>
      </c>
      <c r="P43" s="274">
        <f>-8402</f>
        <v>-8402</v>
      </c>
      <c r="Q43" s="274">
        <f>-8131</f>
        <v>-8131</v>
      </c>
      <c r="R43" s="274">
        <f>-(Businessplan_prodej!$F$88-3000*25)/11</f>
        <v>-10000</v>
      </c>
      <c r="S43" s="274">
        <f>-(Businessplan_prodej!$F$88-3000*25)/11</f>
        <v>-10000</v>
      </c>
      <c r="T43" s="274">
        <f>-(Businessplan_prodej!$F$88-3000*25)/11</f>
        <v>-10000</v>
      </c>
      <c r="U43" s="274">
        <f>-(Businessplan_prodej!$F$88-3000*25)/11</f>
        <v>-10000</v>
      </c>
      <c r="V43" s="274">
        <f>-(Businessplan_prodej!$F$88-3000*25)/11</f>
        <v>-10000</v>
      </c>
      <c r="W43" s="274">
        <f>-(Businessplan_prodej!$F$88-3000*25)/11</f>
        <v>-10000</v>
      </c>
      <c r="X43" s="274">
        <f>-(Businessplan_prodej!$F$88-3000*25)/11</f>
        <v>-10000</v>
      </c>
      <c r="Y43" s="274">
        <f>-(Businessplan_prodej!$F$88-3000*25)/11</f>
        <v>-10000</v>
      </c>
      <c r="Z43" s="274">
        <f>-(Businessplan_prodej!$F$88-3000*25)/11</f>
        <v>-10000</v>
      </c>
      <c r="AA43" s="274">
        <f>-(Businessplan_prodej!$F$88-3000*25)/11</f>
        <v>-10000</v>
      </c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60"/>
      <c r="BY43" s="262">
        <f t="shared" si="15"/>
        <v>-162519</v>
      </c>
      <c r="BZ43" s="597"/>
      <c r="CA43" s="222"/>
      <c r="CB43" s="248"/>
      <c r="CC43" s="597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</row>
    <row r="44" spans="1:138" ht="15.95" hidden="1" outlineLevel="2">
      <c r="A44" s="505"/>
      <c r="B44" s="600"/>
      <c r="C44" s="273" t="s">
        <v>244</v>
      </c>
      <c r="D44" s="250" t="s">
        <v>223</v>
      </c>
      <c r="E44" s="251"/>
      <c r="F44" s="251"/>
      <c r="G44" s="251"/>
      <c r="H44" s="274">
        <f>-25000</f>
        <v>-25000</v>
      </c>
      <c r="I44" s="274"/>
      <c r="J44" s="274">
        <f>-27000</f>
        <v>-27000</v>
      </c>
      <c r="K44" s="274"/>
      <c r="L44" s="274"/>
      <c r="M44" s="274"/>
      <c r="N44" s="274"/>
      <c r="O44" s="274"/>
      <c r="P44" s="274"/>
      <c r="Q44" s="274"/>
      <c r="R44" s="274">
        <f>-3000*25*2</f>
        <v>-150000</v>
      </c>
      <c r="S44" s="274"/>
      <c r="T44" s="274"/>
      <c r="U44" s="274"/>
      <c r="V44" s="274"/>
      <c r="W44" s="274"/>
      <c r="X44" s="274"/>
      <c r="Y44" s="274"/>
      <c r="Z44" s="274">
        <f>-50000*2</f>
        <v>-100000</v>
      </c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60"/>
      <c r="BY44" s="262">
        <f t="shared" si="15"/>
        <v>-302000</v>
      </c>
      <c r="BZ44" s="597"/>
      <c r="CA44" s="222"/>
      <c r="CB44" s="248"/>
      <c r="CC44" s="597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</row>
    <row r="45" spans="1:138" ht="15.95" hidden="1" outlineLevel="1">
      <c r="A45" s="505"/>
      <c r="B45" s="600"/>
      <c r="C45" s="249" t="s">
        <v>178</v>
      </c>
      <c r="D45" s="250" t="s">
        <v>223</v>
      </c>
      <c r="E45" s="251"/>
      <c r="F45" s="251"/>
      <c r="G45" s="251"/>
      <c r="H45" s="252">
        <f>-1000</f>
        <v>-1000</v>
      </c>
      <c r="I45" s="252"/>
      <c r="J45" s="252">
        <f>-100</f>
        <v>-100</v>
      </c>
      <c r="K45" s="252">
        <f>-7230</f>
        <v>-7230</v>
      </c>
      <c r="L45" s="252">
        <f>-1000-6742</f>
        <v>-7742</v>
      </c>
      <c r="M45" s="252">
        <f>-2000-20570-2000</f>
        <v>-24570</v>
      </c>
      <c r="N45" s="252">
        <f>-19360-1980</f>
        <v>-21340</v>
      </c>
      <c r="O45" s="252">
        <f>-7865-7000-19360-21780-43021</f>
        <v>-99026</v>
      </c>
      <c r="P45" s="252">
        <f>-7230-33957-13068-5082</f>
        <v>-59337</v>
      </c>
      <c r="Q45" s="252">
        <f>-4054</f>
        <v>-4054</v>
      </c>
      <c r="R45" s="252">
        <f>-3500*1.21</f>
        <v>-4235</v>
      </c>
      <c r="S45" s="252">
        <f t="shared" ref="S45:Z45" si="17">-3500*1.21-19360</f>
        <v>-23595</v>
      </c>
      <c r="T45" s="252">
        <f t="shared" si="17"/>
        <v>-23595</v>
      </c>
      <c r="U45" s="252">
        <f t="shared" si="17"/>
        <v>-23595</v>
      </c>
      <c r="V45" s="252">
        <f t="shared" si="17"/>
        <v>-23595</v>
      </c>
      <c r="W45" s="252">
        <f t="shared" si="17"/>
        <v>-23595</v>
      </c>
      <c r="X45" s="252">
        <f t="shared" si="17"/>
        <v>-23595</v>
      </c>
      <c r="Y45" s="252">
        <f t="shared" si="17"/>
        <v>-23595</v>
      </c>
      <c r="Z45" s="252">
        <f t="shared" si="17"/>
        <v>-23595</v>
      </c>
      <c r="AA45" s="252">
        <f>-3500*1.21</f>
        <v>-4235</v>
      </c>
      <c r="AB45" s="251"/>
      <c r="AC45" s="251"/>
      <c r="AD45" s="251"/>
      <c r="AE45" s="251"/>
      <c r="AF45" s="251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60"/>
      <c r="BY45" s="262">
        <f t="shared" si="15"/>
        <v>-421629</v>
      </c>
      <c r="BZ45" s="597"/>
      <c r="CA45" s="222"/>
      <c r="CB45" s="248"/>
      <c r="CC45" s="597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</row>
    <row r="46" spans="1:138" ht="14.25" hidden="1" customHeight="1" outlineLevel="1">
      <c r="A46" s="505"/>
      <c r="B46" s="600"/>
      <c r="C46" s="249" t="s">
        <v>179</v>
      </c>
      <c r="D46" s="250" t="s">
        <v>223</v>
      </c>
      <c r="E46" s="251"/>
      <c r="F46" s="251"/>
      <c r="G46" s="251"/>
      <c r="H46" s="252">
        <f>-10188.2-65673</f>
        <v>-75861.2</v>
      </c>
      <c r="I46" s="252">
        <f>-6776</f>
        <v>-6776</v>
      </c>
      <c r="J46" s="252"/>
      <c r="K46" s="252">
        <f>-4900.5</f>
        <v>-4900.5</v>
      </c>
      <c r="L46" s="252"/>
      <c r="M46" s="252"/>
      <c r="N46" s="252"/>
      <c r="O46" s="252"/>
      <c r="P46" s="252">
        <f>-30250</f>
        <v>-30250</v>
      </c>
      <c r="Q46" s="252"/>
      <c r="R46" s="252">
        <f>-Businessplan_prodej!$F$69*0.3*1.21-$K$46</f>
        <v>-30435.809999999998</v>
      </c>
      <c r="S46" s="252">
        <f>-Businessplan_prodej!$F$69*0.2*1.21</f>
        <v>-23557.54</v>
      </c>
      <c r="T46" s="252">
        <f>-Businessplan_prodej!$F$69*0.25*1.21</f>
        <v>-29446.924999999999</v>
      </c>
      <c r="U46" s="251"/>
      <c r="V46" s="251"/>
      <c r="W46" s="251"/>
      <c r="X46" s="251"/>
      <c r="Y46" s="251"/>
      <c r="Z46" s="252">
        <f>-Businessplan_prodej!$F$69*0.25*1.21</f>
        <v>-29446.924999999999</v>
      </c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60"/>
      <c r="BY46" s="262">
        <f t="shared" si="15"/>
        <v>-230674.9</v>
      </c>
      <c r="BZ46" s="597"/>
      <c r="CA46" s="222"/>
      <c r="CB46" s="248"/>
      <c r="CC46" s="597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22"/>
      <c r="DJ46" s="222"/>
      <c r="DK46" s="222"/>
      <c r="DL46" s="222"/>
      <c r="DM46" s="222"/>
      <c r="DN46" s="222"/>
      <c r="DO46" s="222"/>
      <c r="DP46" s="222"/>
      <c r="DQ46" s="222"/>
      <c r="DR46" s="222"/>
      <c r="DS46" s="222"/>
      <c r="DT46" s="222"/>
      <c r="DU46" s="222"/>
      <c r="DV46" s="222"/>
      <c r="DW46" s="222"/>
      <c r="DX46" s="222"/>
      <c r="DY46" s="222"/>
      <c r="DZ46" s="222"/>
      <c r="EA46" s="222"/>
      <c r="EB46" s="222"/>
      <c r="EC46" s="222"/>
      <c r="ED46" s="222"/>
      <c r="EE46" s="222"/>
      <c r="EF46" s="222"/>
      <c r="EG46" s="222"/>
      <c r="EH46" s="222"/>
    </row>
    <row r="47" spans="1:138" ht="14.25" hidden="1" customHeight="1" outlineLevel="1">
      <c r="A47" s="505"/>
      <c r="B47" s="600"/>
      <c r="C47" s="249" t="s">
        <v>180</v>
      </c>
      <c r="D47" s="250" t="s">
        <v>223</v>
      </c>
      <c r="E47" s="251"/>
      <c r="F47" s="251"/>
      <c r="G47" s="251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>
        <f>-Businessplan_prodej!$F$91*0.2*1.21</f>
        <v>-43560</v>
      </c>
      <c r="T47" s="252"/>
      <c r="U47" s="251"/>
      <c r="V47" s="251"/>
      <c r="W47" s="252">
        <f>-Businessplan_prodej!$F$91*0.3*1.21</f>
        <v>-65340</v>
      </c>
      <c r="X47" s="251"/>
      <c r="Y47" s="252">
        <f>-Businessplan_prodej!$F$91*0.5*1.21</f>
        <v>-108900</v>
      </c>
      <c r="Z47" s="252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60"/>
      <c r="BY47" s="262">
        <f t="shared" si="15"/>
        <v>-217800</v>
      </c>
      <c r="BZ47" s="597"/>
      <c r="CA47" s="222"/>
      <c r="CB47" s="248"/>
      <c r="CC47" s="597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/>
      <c r="DU47" s="222"/>
      <c r="DV47" s="222"/>
      <c r="DW47" s="222"/>
      <c r="DX47" s="222"/>
      <c r="DY47" s="222"/>
      <c r="DZ47" s="222"/>
      <c r="EA47" s="222"/>
      <c r="EB47" s="222"/>
      <c r="EC47" s="222"/>
      <c r="ED47" s="222"/>
      <c r="EE47" s="222"/>
      <c r="EF47" s="222"/>
      <c r="EG47" s="222"/>
      <c r="EH47" s="222"/>
    </row>
    <row r="48" spans="1:138" ht="14.25" hidden="1" customHeight="1" outlineLevel="1">
      <c r="A48" s="505"/>
      <c r="B48" s="600"/>
      <c r="C48" s="249" t="s">
        <v>181</v>
      </c>
      <c r="D48" s="254" t="s">
        <v>223</v>
      </c>
      <c r="E48" s="251"/>
      <c r="F48" s="251"/>
      <c r="G48" s="251"/>
      <c r="H48" s="252"/>
      <c r="I48" s="252"/>
      <c r="J48" s="252"/>
      <c r="K48" s="252">
        <f>-((17529*2*25.2+44407*2)*1.21)*75%</f>
        <v>-882340.10700000008</v>
      </c>
      <c r="L48" s="252"/>
      <c r="M48" s="252"/>
      <c r="N48" s="252"/>
      <c r="O48" s="252"/>
      <c r="P48" s="252"/>
      <c r="Q48" s="252">
        <f>-((17529*2*25.2+44407*2)*1.21)*25%</f>
        <v>-294113.36900000001</v>
      </c>
      <c r="R48" s="252"/>
      <c r="S48" s="252">
        <f>-Businessplan_prodej!$F$92*0.5*1.21</f>
        <v>-470266.4757999999</v>
      </c>
      <c r="T48" s="252"/>
      <c r="U48" s="251"/>
      <c r="V48" s="251"/>
      <c r="W48" s="251"/>
      <c r="X48" s="251"/>
      <c r="Y48" s="251"/>
      <c r="Z48" s="252">
        <f>-Businessplan_prodej!$F$92*0.5*1.21</f>
        <v>-470266.4757999999</v>
      </c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60"/>
      <c r="BY48" s="262">
        <f t="shared" si="15"/>
        <v>-2116986.4276000001</v>
      </c>
      <c r="BZ48" s="597"/>
      <c r="CA48" s="222"/>
      <c r="CB48" s="248"/>
      <c r="CC48" s="597"/>
      <c r="CD48" s="222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2"/>
      <c r="CV48" s="222"/>
      <c r="CW48" s="222"/>
      <c r="CX48" s="222"/>
      <c r="CY48" s="222"/>
      <c r="CZ48" s="222"/>
      <c r="DA48" s="222"/>
      <c r="DB48" s="222"/>
      <c r="DC48" s="222"/>
      <c r="DD48" s="222"/>
      <c r="DE48" s="222"/>
      <c r="DF48" s="222"/>
      <c r="DG48" s="222"/>
      <c r="DH48" s="222"/>
      <c r="DI48" s="222"/>
      <c r="DJ48" s="222"/>
      <c r="DK48" s="222"/>
      <c r="DL48" s="222"/>
      <c r="DM48" s="222"/>
      <c r="DN48" s="222"/>
      <c r="DO48" s="222"/>
      <c r="DP48" s="222"/>
      <c r="DQ48" s="222"/>
      <c r="DR48" s="222"/>
      <c r="DS48" s="222"/>
      <c r="DT48" s="222"/>
      <c r="DU48" s="222"/>
      <c r="DV48" s="222"/>
      <c r="DW48" s="222"/>
      <c r="DX48" s="222"/>
      <c r="DY48" s="222"/>
      <c r="DZ48" s="222"/>
      <c r="EA48" s="222"/>
      <c r="EB48" s="222"/>
      <c r="EC48" s="222"/>
      <c r="ED48" s="222"/>
      <c r="EE48" s="222"/>
      <c r="EF48" s="222"/>
      <c r="EG48" s="222"/>
      <c r="EH48" s="222"/>
    </row>
    <row r="49" spans="1:138" ht="15.95" collapsed="1">
      <c r="A49" s="505"/>
      <c r="B49" s="600"/>
      <c r="C49" s="244" t="s">
        <v>245</v>
      </c>
      <c r="D49" s="245"/>
      <c r="E49" s="246">
        <f t="shared" ref="E49:BX49" si="18">SUM(E50:E54)</f>
        <v>0</v>
      </c>
      <c r="F49" s="246">
        <f t="shared" si="18"/>
        <v>0</v>
      </c>
      <c r="G49" s="246">
        <f t="shared" si="18"/>
        <v>0</v>
      </c>
      <c r="H49" s="246">
        <f t="shared" si="18"/>
        <v>-1442.155</v>
      </c>
      <c r="I49" s="246">
        <f t="shared" si="18"/>
        <v>-4792.1949999999997</v>
      </c>
      <c r="J49" s="246">
        <f t="shared" si="18"/>
        <v>-1444.855</v>
      </c>
      <c r="K49" s="246">
        <f t="shared" si="18"/>
        <v>-1290.27</v>
      </c>
      <c r="L49" s="246">
        <f t="shared" si="18"/>
        <v>-1842.35</v>
      </c>
      <c r="M49" s="246">
        <f t="shared" si="18"/>
        <v>-1088.2900000000002</v>
      </c>
      <c r="N49" s="246">
        <f t="shared" si="18"/>
        <v>-1844.5900000000001</v>
      </c>
      <c r="O49" s="246">
        <f t="shared" si="18"/>
        <v>-3360</v>
      </c>
      <c r="P49" s="246">
        <f t="shared" si="18"/>
        <v>-11871.31</v>
      </c>
      <c r="Q49" s="246">
        <f t="shared" si="18"/>
        <v>-1369.95</v>
      </c>
      <c r="R49" s="246">
        <f t="shared" si="18"/>
        <v>-1290.27</v>
      </c>
      <c r="S49" s="246">
        <f t="shared" si="18"/>
        <v>-1290.27</v>
      </c>
      <c r="T49" s="246">
        <f t="shared" si="18"/>
        <v>-1290.27</v>
      </c>
      <c r="U49" s="246">
        <f t="shared" si="18"/>
        <v>-1290.27</v>
      </c>
      <c r="V49" s="246">
        <f t="shared" si="18"/>
        <v>-1290.27</v>
      </c>
      <c r="W49" s="246">
        <f t="shared" si="18"/>
        <v>-1290.27</v>
      </c>
      <c r="X49" s="246">
        <f t="shared" si="18"/>
        <v>-1290.27</v>
      </c>
      <c r="Y49" s="246">
        <f t="shared" si="18"/>
        <v>-1290.27</v>
      </c>
      <c r="Z49" s="246">
        <f t="shared" si="18"/>
        <v>-1290.27</v>
      </c>
      <c r="AA49" s="246">
        <f t="shared" si="18"/>
        <v>-1290.27</v>
      </c>
      <c r="AB49" s="246">
        <f t="shared" si="18"/>
        <v>0</v>
      </c>
      <c r="AC49" s="246">
        <f t="shared" si="18"/>
        <v>0</v>
      </c>
      <c r="AD49" s="246">
        <f t="shared" si="18"/>
        <v>0</v>
      </c>
      <c r="AE49" s="246">
        <f t="shared" si="18"/>
        <v>0</v>
      </c>
      <c r="AF49" s="246">
        <f t="shared" si="18"/>
        <v>0</v>
      </c>
      <c r="AG49" s="246">
        <f t="shared" si="18"/>
        <v>0</v>
      </c>
      <c r="AH49" s="246">
        <f t="shared" si="18"/>
        <v>0</v>
      </c>
      <c r="AI49" s="246">
        <f t="shared" si="18"/>
        <v>0</v>
      </c>
      <c r="AJ49" s="246">
        <f t="shared" si="18"/>
        <v>0</v>
      </c>
      <c r="AK49" s="246">
        <f t="shared" si="18"/>
        <v>0</v>
      </c>
      <c r="AL49" s="246">
        <f t="shared" si="18"/>
        <v>0</v>
      </c>
      <c r="AM49" s="246">
        <f t="shared" si="18"/>
        <v>0</v>
      </c>
      <c r="AN49" s="246">
        <f t="shared" si="18"/>
        <v>0</v>
      </c>
      <c r="AO49" s="246">
        <f t="shared" si="18"/>
        <v>0</v>
      </c>
      <c r="AP49" s="246">
        <f t="shared" si="18"/>
        <v>0</v>
      </c>
      <c r="AQ49" s="246">
        <f t="shared" si="18"/>
        <v>0</v>
      </c>
      <c r="AR49" s="246">
        <f t="shared" si="18"/>
        <v>0</v>
      </c>
      <c r="AS49" s="246">
        <f t="shared" si="18"/>
        <v>0</v>
      </c>
      <c r="AT49" s="246">
        <f t="shared" si="18"/>
        <v>0</v>
      </c>
      <c r="AU49" s="246">
        <f t="shared" si="18"/>
        <v>0</v>
      </c>
      <c r="AV49" s="246">
        <f t="shared" si="18"/>
        <v>0</v>
      </c>
      <c r="AW49" s="246">
        <f t="shared" si="18"/>
        <v>0</v>
      </c>
      <c r="AX49" s="246">
        <f t="shared" si="18"/>
        <v>0</v>
      </c>
      <c r="AY49" s="246">
        <f t="shared" si="18"/>
        <v>0</v>
      </c>
      <c r="AZ49" s="246">
        <f t="shared" si="18"/>
        <v>0</v>
      </c>
      <c r="BA49" s="246">
        <f t="shared" si="18"/>
        <v>0</v>
      </c>
      <c r="BB49" s="246">
        <f t="shared" si="18"/>
        <v>0</v>
      </c>
      <c r="BC49" s="246">
        <f t="shared" si="18"/>
        <v>0</v>
      </c>
      <c r="BD49" s="246">
        <f t="shared" si="18"/>
        <v>0</v>
      </c>
      <c r="BE49" s="246">
        <f t="shared" si="18"/>
        <v>0</v>
      </c>
      <c r="BF49" s="246">
        <f t="shared" si="18"/>
        <v>0</v>
      </c>
      <c r="BG49" s="246">
        <f t="shared" si="18"/>
        <v>0</v>
      </c>
      <c r="BH49" s="246">
        <f t="shared" si="18"/>
        <v>0</v>
      </c>
      <c r="BI49" s="246">
        <f t="shared" si="18"/>
        <v>0</v>
      </c>
      <c r="BJ49" s="246">
        <f t="shared" si="18"/>
        <v>0</v>
      </c>
      <c r="BK49" s="246">
        <f t="shared" si="18"/>
        <v>0</v>
      </c>
      <c r="BL49" s="246">
        <f t="shared" si="18"/>
        <v>0</v>
      </c>
      <c r="BM49" s="246">
        <f t="shared" si="18"/>
        <v>0</v>
      </c>
      <c r="BN49" s="246">
        <f t="shared" si="18"/>
        <v>0</v>
      </c>
      <c r="BO49" s="246">
        <f t="shared" si="18"/>
        <v>0</v>
      </c>
      <c r="BP49" s="246">
        <f t="shared" si="18"/>
        <v>0</v>
      </c>
      <c r="BQ49" s="246">
        <f t="shared" si="18"/>
        <v>0</v>
      </c>
      <c r="BR49" s="246">
        <f t="shared" si="18"/>
        <v>0</v>
      </c>
      <c r="BS49" s="246">
        <f t="shared" si="18"/>
        <v>0</v>
      </c>
      <c r="BT49" s="246">
        <f t="shared" si="18"/>
        <v>0</v>
      </c>
      <c r="BU49" s="246">
        <f t="shared" si="18"/>
        <v>0</v>
      </c>
      <c r="BV49" s="246">
        <f t="shared" si="18"/>
        <v>0</v>
      </c>
      <c r="BW49" s="246">
        <f t="shared" si="18"/>
        <v>0</v>
      </c>
      <c r="BX49" s="246">
        <f t="shared" si="18"/>
        <v>0</v>
      </c>
      <c r="BY49" s="248">
        <f>SUM(BY50:BY54)</f>
        <v>-43248.664999999994</v>
      </c>
      <c r="BZ49" s="597"/>
      <c r="CA49" s="222"/>
      <c r="CB49" s="248"/>
      <c r="CC49" s="597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2"/>
      <c r="DE49" s="222"/>
      <c r="DF49" s="222"/>
      <c r="DG49" s="222"/>
      <c r="DH49" s="222"/>
      <c r="DI49" s="222"/>
      <c r="DJ49" s="222"/>
      <c r="DK49" s="222"/>
      <c r="DL49" s="222"/>
      <c r="DM49" s="222"/>
      <c r="DN49" s="222"/>
      <c r="DO49" s="222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2"/>
      <c r="EA49" s="222"/>
      <c r="EB49" s="222"/>
      <c r="EC49" s="222"/>
      <c r="ED49" s="222"/>
      <c r="EE49" s="222"/>
      <c r="EF49" s="222"/>
      <c r="EG49" s="222"/>
      <c r="EH49" s="222"/>
    </row>
    <row r="50" spans="1:138" ht="15.95" hidden="1" outlineLevel="1">
      <c r="A50" s="505"/>
      <c r="B50" s="600"/>
      <c r="C50" s="249" t="s">
        <v>183</v>
      </c>
      <c r="D50" s="250" t="s">
        <v>223</v>
      </c>
      <c r="E50" s="251"/>
      <c r="F50" s="251"/>
      <c r="G50" s="251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60"/>
      <c r="BY50" s="261">
        <f t="shared" ref="BY50:BY54" si="19">SUM(E50:BX50)</f>
        <v>0</v>
      </c>
      <c r="BZ50" s="597"/>
      <c r="CA50" s="222"/>
      <c r="CB50" s="248"/>
      <c r="CC50" s="597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22"/>
      <c r="DH50" s="222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</row>
    <row r="51" spans="1:138" ht="15.95" hidden="1" outlineLevel="1">
      <c r="A51" s="505"/>
      <c r="B51" s="600"/>
      <c r="C51" s="249" t="s">
        <v>246</v>
      </c>
      <c r="D51" s="250" t="s">
        <v>223</v>
      </c>
      <c r="E51" s="251"/>
      <c r="F51" s="251"/>
      <c r="G51" s="251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60"/>
      <c r="BY51" s="261">
        <f t="shared" si="19"/>
        <v>0</v>
      </c>
      <c r="BZ51" s="597"/>
      <c r="CA51" s="222"/>
      <c r="CB51" s="248"/>
      <c r="CC51" s="597"/>
      <c r="CD51" s="222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222"/>
      <c r="DJ51" s="222"/>
      <c r="DK51" s="222"/>
      <c r="DL51" s="222"/>
      <c r="DM51" s="222"/>
      <c r="DN51" s="222"/>
      <c r="DO51" s="222"/>
      <c r="DP51" s="222"/>
      <c r="DQ51" s="222"/>
      <c r="DR51" s="222"/>
      <c r="DS51" s="222"/>
      <c r="DT51" s="222"/>
      <c r="DU51" s="222"/>
      <c r="DV51" s="222"/>
      <c r="DW51" s="222"/>
      <c r="DX51" s="222"/>
      <c r="DY51" s="222"/>
      <c r="DZ51" s="222"/>
      <c r="EA51" s="222"/>
      <c r="EB51" s="222"/>
      <c r="EC51" s="222"/>
      <c r="ED51" s="222"/>
      <c r="EE51" s="222"/>
      <c r="EF51" s="222"/>
      <c r="EG51" s="222"/>
      <c r="EH51" s="222"/>
    </row>
    <row r="52" spans="1:138" ht="15.95" hidden="1" outlineLevel="1">
      <c r="A52" s="505"/>
      <c r="B52" s="600"/>
      <c r="C52" s="249" t="s">
        <v>247</v>
      </c>
      <c r="D52" s="250" t="s">
        <v>223</v>
      </c>
      <c r="E52" s="251"/>
      <c r="F52" s="251"/>
      <c r="G52" s="251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60"/>
      <c r="BY52" s="261">
        <f t="shared" si="19"/>
        <v>0</v>
      </c>
      <c r="BZ52" s="597"/>
      <c r="CA52" s="222"/>
      <c r="CB52" s="248"/>
      <c r="CC52" s="597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</row>
    <row r="53" spans="1:138" ht="15.95" hidden="1" outlineLevel="1">
      <c r="A53" s="505"/>
      <c r="B53" s="600"/>
      <c r="C53" s="249" t="s">
        <v>189</v>
      </c>
      <c r="D53" s="250" t="s">
        <v>223</v>
      </c>
      <c r="E53" s="251"/>
      <c r="F53" s="251"/>
      <c r="G53" s="251"/>
      <c r="H53" s="252">
        <f>-3-12-5-200-2-12-400-36-(0.02+0.09+0.21+17.06)*22-15.91*24.5</f>
        <v>-1442.155</v>
      </c>
      <c r="I53" s="252">
        <f>-6-5-200-12-400-24-2-16.19*24.5-17.57*22</f>
        <v>-1432.1949999999999</v>
      </c>
      <c r="J53" s="252">
        <f>-3-32-5-6-200-15-400-2-(0.01+0.08+15.98+0.2)*24.5-(0.02+0.09+0.21+17.1)*22</f>
        <v>-1444.855</v>
      </c>
      <c r="K53" s="252">
        <f>-20-12-3-200-2-400-10-2-10.9*24.5-17.01*22</f>
        <v>-1290.27</v>
      </c>
      <c r="L53" s="252">
        <f>-12-4-6-200-15-400-24-400-15.98*24.5-17.72*22</f>
        <v>-1842.35</v>
      </c>
      <c r="M53" s="252">
        <f>-40-200-15-2-12-400-10-2-400.11-(0.01+0.08+0.2+15.89)*25-(0.03-0.09-17.78-0.22)*22</f>
        <v>-1088.2900000000002</v>
      </c>
      <c r="N53" s="252">
        <f>-9-9-5-200-400-24-3-399.88-15.79*25-18.18*22</f>
        <v>-1844.5900000000001</v>
      </c>
      <c r="O53" s="252"/>
      <c r="P53" s="252">
        <f>-500-5656.91-300-6-25-4-18-44-200-15-400-399.94-500-972.22-2053.74-16.5*23-15.88*25</f>
        <v>-11871.31</v>
      </c>
      <c r="Q53" s="252">
        <f>-300-9-20-9-200-400-8-24-399.95</f>
        <v>-1369.95</v>
      </c>
      <c r="R53" s="252">
        <f t="shared" ref="R53:AA53" si="20">-20-12-3-200-2-400-10-2-10.9*24.5-17.01*22</f>
        <v>-1290.27</v>
      </c>
      <c r="S53" s="252">
        <f t="shared" si="20"/>
        <v>-1290.27</v>
      </c>
      <c r="T53" s="252">
        <f t="shared" si="20"/>
        <v>-1290.27</v>
      </c>
      <c r="U53" s="252">
        <f t="shared" si="20"/>
        <v>-1290.27</v>
      </c>
      <c r="V53" s="252">
        <f t="shared" si="20"/>
        <v>-1290.27</v>
      </c>
      <c r="W53" s="252">
        <f t="shared" si="20"/>
        <v>-1290.27</v>
      </c>
      <c r="X53" s="252">
        <f t="shared" si="20"/>
        <v>-1290.27</v>
      </c>
      <c r="Y53" s="252">
        <f t="shared" si="20"/>
        <v>-1290.27</v>
      </c>
      <c r="Z53" s="252">
        <f t="shared" si="20"/>
        <v>-1290.27</v>
      </c>
      <c r="AA53" s="252">
        <f t="shared" si="20"/>
        <v>-1290.27</v>
      </c>
      <c r="AB53" s="251"/>
      <c r="AC53" s="251"/>
      <c r="AD53" s="251"/>
      <c r="AE53" s="251"/>
      <c r="AF53" s="251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60"/>
      <c r="BY53" s="262">
        <f t="shared" si="19"/>
        <v>-36528.664999999994</v>
      </c>
      <c r="BZ53" s="597"/>
      <c r="CA53" s="222"/>
      <c r="CB53" s="248"/>
      <c r="CC53" s="597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</row>
    <row r="54" spans="1:138" ht="15.95" hidden="1" outlineLevel="1">
      <c r="A54" s="505"/>
      <c r="B54" s="600"/>
      <c r="C54" s="249" t="s">
        <v>190</v>
      </c>
      <c r="D54" s="254" t="s">
        <v>223</v>
      </c>
      <c r="E54" s="255"/>
      <c r="F54" s="255"/>
      <c r="G54" s="251"/>
      <c r="H54" s="252"/>
      <c r="I54" s="252">
        <f>-3360</f>
        <v>-3360</v>
      </c>
      <c r="J54" s="252"/>
      <c r="K54" s="252"/>
      <c r="L54" s="252"/>
      <c r="M54" s="252"/>
      <c r="N54" s="252"/>
      <c r="O54" s="252">
        <f>-3360</f>
        <v>-3360</v>
      </c>
      <c r="P54" s="252"/>
      <c r="Q54" s="252"/>
      <c r="R54" s="252"/>
      <c r="S54" s="252"/>
      <c r="T54" s="252"/>
      <c r="U54" s="251"/>
      <c r="V54" s="251"/>
      <c r="W54" s="251"/>
      <c r="X54" s="251"/>
      <c r="Y54" s="251"/>
      <c r="Z54" s="251"/>
      <c r="AA54" s="251"/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60"/>
      <c r="BY54" s="264">
        <f t="shared" si="19"/>
        <v>-6720</v>
      </c>
      <c r="BZ54" s="597"/>
      <c r="CA54" s="222"/>
      <c r="CB54" s="248"/>
      <c r="CC54" s="597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</row>
    <row r="55" spans="1:138" ht="15.95" collapsed="1">
      <c r="A55" s="505"/>
      <c r="B55" s="600"/>
      <c r="C55" s="244" t="s">
        <v>248</v>
      </c>
      <c r="D55" s="245"/>
      <c r="E55" s="246">
        <f t="shared" ref="E55:BX55" si="21">SUM(E56:E62)</f>
        <v>0</v>
      </c>
      <c r="F55" s="246">
        <f t="shared" si="21"/>
        <v>0</v>
      </c>
      <c r="G55" s="246">
        <f t="shared" si="21"/>
        <v>0</v>
      </c>
      <c r="H55" s="246">
        <f t="shared" si="21"/>
        <v>0</v>
      </c>
      <c r="I55" s="246">
        <f t="shared" si="21"/>
        <v>0</v>
      </c>
      <c r="J55" s="246">
        <f t="shared" si="21"/>
        <v>0</v>
      </c>
      <c r="K55" s="246">
        <f t="shared" si="21"/>
        <v>0</v>
      </c>
      <c r="L55" s="246">
        <f t="shared" si="21"/>
        <v>0</v>
      </c>
      <c r="M55" s="246">
        <f t="shared" si="21"/>
        <v>-48944.520000000004</v>
      </c>
      <c r="N55" s="246">
        <f t="shared" si="21"/>
        <v>-123582.04</v>
      </c>
      <c r="O55" s="246">
        <f t="shared" si="21"/>
        <v>-10395.44</v>
      </c>
      <c r="P55" s="246">
        <f t="shared" si="21"/>
        <v>-394726.13999999996</v>
      </c>
      <c r="Q55" s="246">
        <f t="shared" si="21"/>
        <v>-245545.71499999997</v>
      </c>
      <c r="R55" s="246">
        <f t="shared" si="21"/>
        <v>-299380.84942500008</v>
      </c>
      <c r="S55" s="246">
        <f t="shared" si="21"/>
        <v>-258547.51609166674</v>
      </c>
      <c r="T55" s="246">
        <f t="shared" si="21"/>
        <v>-258547.51609166674</v>
      </c>
      <c r="U55" s="246">
        <f t="shared" si="21"/>
        <v>-268747.51609166677</v>
      </c>
      <c r="V55" s="246">
        <f t="shared" si="21"/>
        <v>-289147.51609166677</v>
      </c>
      <c r="W55" s="246">
        <f t="shared" si="21"/>
        <v>-319747.51609166677</v>
      </c>
      <c r="X55" s="246">
        <f t="shared" si="21"/>
        <v>-350857.51609166677</v>
      </c>
      <c r="Y55" s="246">
        <f t="shared" si="21"/>
        <v>-382987.51609166677</v>
      </c>
      <c r="Z55" s="246">
        <f t="shared" si="21"/>
        <v>-382987.51609166677</v>
      </c>
      <c r="AA55" s="246">
        <f t="shared" si="21"/>
        <v>-4896599.2988861874</v>
      </c>
      <c r="AB55" s="246">
        <f t="shared" si="21"/>
        <v>0</v>
      </c>
      <c r="AC55" s="246">
        <f t="shared" si="21"/>
        <v>0</v>
      </c>
      <c r="AD55" s="246">
        <f t="shared" si="21"/>
        <v>0</v>
      </c>
      <c r="AE55" s="246">
        <f t="shared" si="21"/>
        <v>0</v>
      </c>
      <c r="AF55" s="246">
        <f t="shared" si="21"/>
        <v>0</v>
      </c>
      <c r="AG55" s="246">
        <f t="shared" si="21"/>
        <v>0</v>
      </c>
      <c r="AH55" s="246">
        <f t="shared" si="21"/>
        <v>0</v>
      </c>
      <c r="AI55" s="246">
        <f t="shared" si="21"/>
        <v>0</v>
      </c>
      <c r="AJ55" s="246">
        <f t="shared" si="21"/>
        <v>0</v>
      </c>
      <c r="AK55" s="246">
        <f t="shared" si="21"/>
        <v>0</v>
      </c>
      <c r="AL55" s="246">
        <f t="shared" si="21"/>
        <v>0</v>
      </c>
      <c r="AM55" s="246">
        <f t="shared" si="21"/>
        <v>0</v>
      </c>
      <c r="AN55" s="246">
        <f t="shared" si="21"/>
        <v>0</v>
      </c>
      <c r="AO55" s="246">
        <f t="shared" si="21"/>
        <v>0</v>
      </c>
      <c r="AP55" s="246">
        <f t="shared" si="21"/>
        <v>0</v>
      </c>
      <c r="AQ55" s="246">
        <f t="shared" si="21"/>
        <v>0</v>
      </c>
      <c r="AR55" s="246">
        <f t="shared" si="21"/>
        <v>0</v>
      </c>
      <c r="AS55" s="246">
        <f t="shared" si="21"/>
        <v>0</v>
      </c>
      <c r="AT55" s="246">
        <f t="shared" si="21"/>
        <v>0</v>
      </c>
      <c r="AU55" s="246">
        <f t="shared" si="21"/>
        <v>0</v>
      </c>
      <c r="AV55" s="246">
        <f t="shared" si="21"/>
        <v>0</v>
      </c>
      <c r="AW55" s="246">
        <f t="shared" si="21"/>
        <v>0</v>
      </c>
      <c r="AX55" s="246">
        <f t="shared" si="21"/>
        <v>0</v>
      </c>
      <c r="AY55" s="246">
        <f t="shared" si="21"/>
        <v>0</v>
      </c>
      <c r="AZ55" s="246">
        <f t="shared" si="21"/>
        <v>0</v>
      </c>
      <c r="BA55" s="246">
        <f t="shared" si="21"/>
        <v>0</v>
      </c>
      <c r="BB55" s="246">
        <f t="shared" si="21"/>
        <v>0</v>
      </c>
      <c r="BC55" s="246">
        <f t="shared" si="21"/>
        <v>0</v>
      </c>
      <c r="BD55" s="246">
        <f t="shared" si="21"/>
        <v>0</v>
      </c>
      <c r="BE55" s="246">
        <f t="shared" si="21"/>
        <v>0</v>
      </c>
      <c r="BF55" s="246">
        <f t="shared" si="21"/>
        <v>0</v>
      </c>
      <c r="BG55" s="246">
        <f t="shared" si="21"/>
        <v>0</v>
      </c>
      <c r="BH55" s="246">
        <f t="shared" si="21"/>
        <v>0</v>
      </c>
      <c r="BI55" s="246">
        <f t="shared" si="21"/>
        <v>0</v>
      </c>
      <c r="BJ55" s="246">
        <f t="shared" si="21"/>
        <v>0</v>
      </c>
      <c r="BK55" s="246">
        <f t="shared" si="21"/>
        <v>0</v>
      </c>
      <c r="BL55" s="246">
        <f t="shared" si="21"/>
        <v>0</v>
      </c>
      <c r="BM55" s="246">
        <f t="shared" si="21"/>
        <v>0</v>
      </c>
      <c r="BN55" s="246">
        <f t="shared" si="21"/>
        <v>0</v>
      </c>
      <c r="BO55" s="246">
        <f t="shared" si="21"/>
        <v>0</v>
      </c>
      <c r="BP55" s="246">
        <f t="shared" si="21"/>
        <v>0</v>
      </c>
      <c r="BQ55" s="246">
        <f t="shared" si="21"/>
        <v>0</v>
      </c>
      <c r="BR55" s="246">
        <f t="shared" si="21"/>
        <v>0</v>
      </c>
      <c r="BS55" s="246">
        <f t="shared" si="21"/>
        <v>0</v>
      </c>
      <c r="BT55" s="246">
        <f t="shared" si="21"/>
        <v>0</v>
      </c>
      <c r="BU55" s="246">
        <f t="shared" si="21"/>
        <v>0</v>
      </c>
      <c r="BV55" s="246">
        <f t="shared" si="21"/>
        <v>0</v>
      </c>
      <c r="BW55" s="246">
        <f t="shared" si="21"/>
        <v>0</v>
      </c>
      <c r="BX55" s="246">
        <f t="shared" si="21"/>
        <v>0</v>
      </c>
      <c r="BY55" s="248">
        <f>SUM(BY56:BY62)</f>
        <v>-8530744.1320445202</v>
      </c>
      <c r="BZ55" s="597"/>
      <c r="CA55" s="222"/>
      <c r="CB55" s="248"/>
      <c r="CC55" s="597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222"/>
      <c r="DJ55" s="222"/>
      <c r="DK55" s="222"/>
      <c r="DL55" s="222"/>
      <c r="DM55" s="222"/>
      <c r="DN55" s="222"/>
      <c r="DO55" s="222"/>
      <c r="DP55" s="222"/>
      <c r="DQ55" s="222"/>
      <c r="DR55" s="222"/>
      <c r="DS55" s="222"/>
      <c r="DT55" s="222"/>
      <c r="DU55" s="222"/>
      <c r="DV55" s="222"/>
      <c r="DW55" s="222"/>
      <c r="DX55" s="222"/>
      <c r="DY55" s="222"/>
      <c r="DZ55" s="222"/>
      <c r="EA55" s="222"/>
      <c r="EB55" s="222"/>
      <c r="EC55" s="222"/>
      <c r="ED55" s="222"/>
      <c r="EE55" s="222"/>
      <c r="EF55" s="222"/>
      <c r="EG55" s="222"/>
      <c r="EH55" s="222"/>
    </row>
    <row r="56" spans="1:138" ht="15.95" hidden="1" outlineLevel="1">
      <c r="A56" s="505"/>
      <c r="B56" s="600"/>
      <c r="C56" s="249" t="s">
        <v>249</v>
      </c>
      <c r="D56" s="275">
        <v>0</v>
      </c>
      <c r="E56" s="251"/>
      <c r="F56" s="251"/>
      <c r="G56" s="251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1"/>
      <c r="V56" s="251"/>
      <c r="W56" s="251"/>
      <c r="X56" s="251"/>
      <c r="Y56" s="251"/>
      <c r="Z56" s="251"/>
      <c r="AA56" s="265">
        <f>-BY5*D57/365*CG27</f>
        <v>-1977699.2827945205</v>
      </c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76">
        <f t="shared" ref="BY56:BY62" si="22">SUM(E56:BX56)</f>
        <v>-1977699.2827945205</v>
      </c>
      <c r="BZ56" s="597"/>
      <c r="CA56" s="222"/>
      <c r="CB56" s="248"/>
      <c r="CC56" s="597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</row>
    <row r="57" spans="1:138" ht="15.95" hidden="1" outlineLevel="1">
      <c r="A57" s="505"/>
      <c r="B57" s="600"/>
      <c r="C57" s="249" t="s">
        <v>250</v>
      </c>
      <c r="D57" s="275">
        <v>0.11</v>
      </c>
      <c r="E57" s="251"/>
      <c r="F57" s="251"/>
      <c r="G57" s="251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1"/>
      <c r="V57" s="251"/>
      <c r="W57" s="251"/>
      <c r="X57" s="251"/>
      <c r="Y57" s="251"/>
      <c r="Z57" s="251"/>
      <c r="AA57" s="265">
        <f>-SUM(' Interest Calc Cash-flow Plan v'!E8:E23)-' Interest Calc Cash-flow Plan v'!E23</f>
        <v>-2535912.5</v>
      </c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76">
        <f t="shared" si="22"/>
        <v>-2535912.5</v>
      </c>
      <c r="BZ57" s="597"/>
      <c r="CA57" s="222"/>
      <c r="CB57" s="248"/>
      <c r="CC57" s="597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</row>
    <row r="58" spans="1:138" ht="15.95" hidden="1" outlineLevel="1">
      <c r="A58" s="505"/>
      <c r="B58" s="600"/>
      <c r="C58" s="249" t="s">
        <v>251</v>
      </c>
      <c r="D58" s="275">
        <v>0.11</v>
      </c>
      <c r="E58" s="251"/>
      <c r="F58" s="251"/>
      <c r="G58" s="251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76">
        <f t="shared" si="22"/>
        <v>0</v>
      </c>
      <c r="BZ58" s="597"/>
      <c r="CA58" s="222"/>
      <c r="CB58" s="248"/>
      <c r="CC58" s="597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</row>
    <row r="59" spans="1:138" ht="15.95" hidden="1" outlineLevel="1">
      <c r="A59" s="505"/>
      <c r="B59" s="600"/>
      <c r="C59" s="249" t="s">
        <v>252</v>
      </c>
      <c r="D59" s="275">
        <v>0.105</v>
      </c>
      <c r="E59" s="251"/>
      <c r="F59" s="251"/>
      <c r="G59" s="251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77">
        <f t="shared" si="22"/>
        <v>0</v>
      </c>
      <c r="BZ59" s="597"/>
      <c r="CA59" s="222"/>
      <c r="CB59" s="248"/>
      <c r="CC59" s="597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</row>
    <row r="60" spans="1:138" ht="15.95" hidden="1" outlineLevel="1">
      <c r="A60" s="505"/>
      <c r="B60" s="600"/>
      <c r="C60" s="249" t="s">
        <v>253</v>
      </c>
      <c r="D60" s="275">
        <v>0.15</v>
      </c>
      <c r="E60" s="251"/>
      <c r="F60" s="251"/>
      <c r="G60" s="251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78">
        <f t="shared" si="22"/>
        <v>0</v>
      </c>
      <c r="BZ60" s="597"/>
      <c r="CA60" s="222"/>
      <c r="CB60" s="248"/>
      <c r="CC60" s="597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</row>
    <row r="61" spans="1:138" ht="15.95" hidden="1" outlineLevel="1">
      <c r="A61" s="505"/>
      <c r="B61" s="600"/>
      <c r="C61" s="249" t="s">
        <v>254</v>
      </c>
      <c r="D61" s="279">
        <v>6.1199999999999997E-2</v>
      </c>
      <c r="E61" s="255"/>
      <c r="F61" s="255"/>
      <c r="G61" s="255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>
        <f>-U10*D61/12</f>
        <v>-10200</v>
      </c>
      <c r="V61" s="256">
        <f t="shared" ref="V61:AA61" si="23">-SUM($U$10:V10)*$D$61/12</f>
        <v>-30600</v>
      </c>
      <c r="W61" s="256">
        <f t="shared" si="23"/>
        <v>-61200</v>
      </c>
      <c r="X61" s="256">
        <f t="shared" si="23"/>
        <v>-92310</v>
      </c>
      <c r="Y61" s="256">
        <f t="shared" si="23"/>
        <v>-124440</v>
      </c>
      <c r="Z61" s="256">
        <f t="shared" si="23"/>
        <v>-124440</v>
      </c>
      <c r="AA61" s="256">
        <f t="shared" si="23"/>
        <v>-124440</v>
      </c>
      <c r="AB61" s="255"/>
      <c r="AC61" s="255"/>
      <c r="AD61" s="255"/>
      <c r="AE61" s="255"/>
      <c r="AF61" s="255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  <c r="BL61" s="251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78">
        <f t="shared" si="22"/>
        <v>-567630</v>
      </c>
      <c r="BZ61" s="597"/>
      <c r="CA61" s="222"/>
      <c r="CB61" s="248"/>
      <c r="CC61" s="597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</row>
    <row r="62" spans="1:138" ht="15.95" hidden="1" outlineLevel="1">
      <c r="A62" s="505"/>
      <c r="B62" s="600"/>
      <c r="C62" s="280" t="s">
        <v>255</v>
      </c>
      <c r="D62" s="281">
        <v>7.0000000000000007E-2</v>
      </c>
      <c r="E62" s="282"/>
      <c r="F62" s="282"/>
      <c r="G62" s="282"/>
      <c r="H62" s="283"/>
      <c r="I62" s="283"/>
      <c r="J62" s="283"/>
      <c r="K62" s="283"/>
      <c r="L62" s="283"/>
      <c r="M62" s="283">
        <f>-500-3013.89-17009.89-28420.74</f>
        <v>-48944.520000000004</v>
      </c>
      <c r="N62" s="283">
        <f>-500-3013.89-9715.85-35542.84-269.74-74539.72</f>
        <v>-123582.04</v>
      </c>
      <c r="O62" s="283">
        <f>-10395.44</f>
        <v>-10395.44</v>
      </c>
      <c r="P62" s="283">
        <f>-36289.12-275.39-112183.53-655.08-28529.87-31795.97-241.3-98293.51-658.05-45740.57-920.44-22573.06-16570.25</f>
        <v>-394726.13999999996</v>
      </c>
      <c r="Q62" s="283">
        <f>-11880.56-500-4442.66-33933.26-257.52-104900.69-702.28-48815.2-982.31-27035.66-1156.555-10939.02</f>
        <v>-245545.71499999997</v>
      </c>
      <c r="R62" s="283">
        <f>-SUM($K$11:R11)*$D$62/12</f>
        <v>-299380.84942500008</v>
      </c>
      <c r="S62" s="283">
        <f t="shared" ref="S62:AA62" si="24">(-SUM($K$11:S11)+7000000)*$D$62/12</f>
        <v>-258547.51609166674</v>
      </c>
      <c r="T62" s="283">
        <f t="shared" si="24"/>
        <v>-258547.51609166674</v>
      </c>
      <c r="U62" s="283">
        <f t="shared" si="24"/>
        <v>-258547.51609166674</v>
      </c>
      <c r="V62" s="283">
        <f t="shared" si="24"/>
        <v>-258547.51609166674</v>
      </c>
      <c r="W62" s="283">
        <f t="shared" si="24"/>
        <v>-258547.51609166674</v>
      </c>
      <c r="X62" s="283">
        <f t="shared" si="24"/>
        <v>-258547.51609166674</v>
      </c>
      <c r="Y62" s="283">
        <f t="shared" si="24"/>
        <v>-258547.51609166674</v>
      </c>
      <c r="Z62" s="283">
        <f t="shared" si="24"/>
        <v>-258547.51609166674</v>
      </c>
      <c r="AA62" s="283">
        <f t="shared" si="24"/>
        <v>-258547.51609166674</v>
      </c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4"/>
      <c r="BN62" s="284"/>
      <c r="BO62" s="284"/>
      <c r="BP62" s="284"/>
      <c r="BQ62" s="284"/>
      <c r="BR62" s="284"/>
      <c r="BS62" s="284"/>
      <c r="BT62" s="284"/>
      <c r="BU62" s="284"/>
      <c r="BV62" s="284"/>
      <c r="BW62" s="284"/>
      <c r="BX62" s="284"/>
      <c r="BY62" s="285">
        <f t="shared" si="22"/>
        <v>-3449502.34925</v>
      </c>
      <c r="BZ62" s="597"/>
      <c r="CA62" s="222"/>
      <c r="CB62" s="248"/>
      <c r="CC62" s="597"/>
      <c r="CD62" s="222"/>
      <c r="CE62" s="222"/>
      <c r="CF62" s="222"/>
      <c r="CG62" s="222"/>
      <c r="CH62" s="222"/>
      <c r="CI62" s="222"/>
      <c r="CJ62" s="222"/>
      <c r="CK62" s="222"/>
      <c r="CL62" s="222"/>
      <c r="CM62" s="222"/>
      <c r="CN62" s="222"/>
      <c r="CO62" s="222"/>
      <c r="CP62" s="222"/>
      <c r="CQ62" s="222"/>
      <c r="CR62" s="222"/>
      <c r="CS62" s="222"/>
      <c r="CT62" s="222"/>
      <c r="CU62" s="222"/>
      <c r="CV62" s="222"/>
      <c r="CW62" s="222"/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222"/>
      <c r="DT62" s="222"/>
      <c r="DU62" s="222"/>
      <c r="DV62" s="222"/>
      <c r="DW62" s="222"/>
      <c r="DX62" s="222"/>
      <c r="DY62" s="222"/>
      <c r="DZ62" s="222"/>
      <c r="EA62" s="222"/>
      <c r="EB62" s="222"/>
      <c r="EC62" s="222"/>
      <c r="ED62" s="222"/>
      <c r="EE62" s="222"/>
      <c r="EF62" s="222"/>
      <c r="EG62" s="222"/>
      <c r="EH62" s="222"/>
    </row>
    <row r="63" spans="1:138" ht="15.95" collapsed="1">
      <c r="A63" s="505"/>
      <c r="B63" s="600"/>
      <c r="C63" s="244" t="s">
        <v>256</v>
      </c>
      <c r="D63" s="245"/>
      <c r="E63" s="246">
        <f t="shared" ref="E63:BY63" si="25">SUM(E64:E86)</f>
        <v>0</v>
      </c>
      <c r="F63" s="246">
        <f t="shared" si="25"/>
        <v>0</v>
      </c>
      <c r="G63" s="246">
        <f t="shared" si="25"/>
        <v>0</v>
      </c>
      <c r="H63" s="246">
        <f t="shared" si="25"/>
        <v>0</v>
      </c>
      <c r="I63" s="246">
        <f t="shared" si="25"/>
        <v>0</v>
      </c>
      <c r="J63" s="246">
        <f t="shared" si="25"/>
        <v>0</v>
      </c>
      <c r="K63" s="246">
        <f t="shared" si="25"/>
        <v>0</v>
      </c>
      <c r="L63" s="246">
        <f t="shared" si="25"/>
        <v>0</v>
      </c>
      <c r="M63" s="246">
        <f t="shared" si="25"/>
        <v>0</v>
      </c>
      <c r="N63" s="246">
        <f t="shared" si="25"/>
        <v>0</v>
      </c>
      <c r="O63" s="246">
        <f t="shared" si="25"/>
        <v>0</v>
      </c>
      <c r="P63" s="246">
        <f t="shared" si="25"/>
        <v>0</v>
      </c>
      <c r="Q63" s="246">
        <f t="shared" si="25"/>
        <v>0</v>
      </c>
      <c r="R63" s="246">
        <f t="shared" si="25"/>
        <v>0</v>
      </c>
      <c r="S63" s="246">
        <f t="shared" si="25"/>
        <v>0</v>
      </c>
      <c r="T63" s="246">
        <f t="shared" si="25"/>
        <v>0</v>
      </c>
      <c r="U63" s="246">
        <f t="shared" si="25"/>
        <v>0</v>
      </c>
      <c r="V63" s="246">
        <f t="shared" si="25"/>
        <v>0</v>
      </c>
      <c r="W63" s="246">
        <f t="shared" si="25"/>
        <v>0</v>
      </c>
      <c r="X63" s="246">
        <f t="shared" si="25"/>
        <v>0</v>
      </c>
      <c r="Y63" s="246">
        <f t="shared" si="25"/>
        <v>0</v>
      </c>
      <c r="Z63" s="246">
        <f t="shared" si="25"/>
        <v>0</v>
      </c>
      <c r="AA63" s="246">
        <f t="shared" si="25"/>
        <v>-792643.69479999971</v>
      </c>
      <c r="AB63" s="246">
        <f t="shared" si="25"/>
        <v>0</v>
      </c>
      <c r="AC63" s="246">
        <f t="shared" si="25"/>
        <v>0</v>
      </c>
      <c r="AD63" s="246">
        <f t="shared" si="25"/>
        <v>0</v>
      </c>
      <c r="AE63" s="246">
        <f t="shared" si="25"/>
        <v>0</v>
      </c>
      <c r="AF63" s="246">
        <f t="shared" si="25"/>
        <v>0</v>
      </c>
      <c r="AG63" s="246">
        <f t="shared" si="25"/>
        <v>0</v>
      </c>
      <c r="AH63" s="246">
        <f t="shared" si="25"/>
        <v>0</v>
      </c>
      <c r="AI63" s="246">
        <f t="shared" si="25"/>
        <v>0</v>
      </c>
      <c r="AJ63" s="246">
        <f t="shared" si="25"/>
        <v>0</v>
      </c>
      <c r="AK63" s="246">
        <f t="shared" si="25"/>
        <v>0</v>
      </c>
      <c r="AL63" s="246">
        <f t="shared" si="25"/>
        <v>0</v>
      </c>
      <c r="AM63" s="246">
        <f t="shared" si="25"/>
        <v>0</v>
      </c>
      <c r="AN63" s="246">
        <f t="shared" si="25"/>
        <v>0</v>
      </c>
      <c r="AO63" s="246">
        <f t="shared" si="25"/>
        <v>0</v>
      </c>
      <c r="AP63" s="246">
        <f t="shared" si="25"/>
        <v>0</v>
      </c>
      <c r="AQ63" s="246">
        <f t="shared" si="25"/>
        <v>0</v>
      </c>
      <c r="AR63" s="246">
        <f t="shared" si="25"/>
        <v>0</v>
      </c>
      <c r="AS63" s="246">
        <f t="shared" si="25"/>
        <v>0</v>
      </c>
      <c r="AT63" s="246">
        <f t="shared" si="25"/>
        <v>0</v>
      </c>
      <c r="AU63" s="246">
        <f t="shared" si="25"/>
        <v>0</v>
      </c>
      <c r="AV63" s="246">
        <f t="shared" si="25"/>
        <v>0</v>
      </c>
      <c r="AW63" s="246">
        <f t="shared" si="25"/>
        <v>0</v>
      </c>
      <c r="AX63" s="246">
        <f t="shared" si="25"/>
        <v>0</v>
      </c>
      <c r="AY63" s="246">
        <f t="shared" si="25"/>
        <v>0</v>
      </c>
      <c r="AZ63" s="246">
        <f t="shared" si="25"/>
        <v>0</v>
      </c>
      <c r="BA63" s="246">
        <f t="shared" si="25"/>
        <v>0</v>
      </c>
      <c r="BB63" s="246">
        <f t="shared" si="25"/>
        <v>0</v>
      </c>
      <c r="BC63" s="246">
        <f t="shared" si="25"/>
        <v>0</v>
      </c>
      <c r="BD63" s="246">
        <f t="shared" si="25"/>
        <v>0</v>
      </c>
      <c r="BE63" s="246">
        <f t="shared" si="25"/>
        <v>0</v>
      </c>
      <c r="BF63" s="246">
        <f t="shared" si="25"/>
        <v>0</v>
      </c>
      <c r="BG63" s="246">
        <f t="shared" si="25"/>
        <v>0</v>
      </c>
      <c r="BH63" s="246">
        <f t="shared" si="25"/>
        <v>0</v>
      </c>
      <c r="BI63" s="246">
        <f t="shared" si="25"/>
        <v>0</v>
      </c>
      <c r="BJ63" s="246">
        <f t="shared" si="25"/>
        <v>0</v>
      </c>
      <c r="BK63" s="246">
        <f t="shared" si="25"/>
        <v>0</v>
      </c>
      <c r="BL63" s="246">
        <f t="shared" si="25"/>
        <v>0</v>
      </c>
      <c r="BM63" s="246">
        <f t="shared" si="25"/>
        <v>0</v>
      </c>
      <c r="BN63" s="246">
        <f t="shared" si="25"/>
        <v>0</v>
      </c>
      <c r="BO63" s="246">
        <f t="shared" si="25"/>
        <v>0</v>
      </c>
      <c r="BP63" s="246">
        <f t="shared" si="25"/>
        <v>0</v>
      </c>
      <c r="BQ63" s="246">
        <f t="shared" si="25"/>
        <v>0</v>
      </c>
      <c r="BR63" s="246">
        <f t="shared" si="25"/>
        <v>0</v>
      </c>
      <c r="BS63" s="246">
        <f t="shared" si="25"/>
        <v>0</v>
      </c>
      <c r="BT63" s="246">
        <f t="shared" si="25"/>
        <v>0</v>
      </c>
      <c r="BU63" s="246">
        <f t="shared" si="25"/>
        <v>0</v>
      </c>
      <c r="BV63" s="246">
        <f t="shared" si="25"/>
        <v>0</v>
      </c>
      <c r="BW63" s="246">
        <f t="shared" si="25"/>
        <v>0</v>
      </c>
      <c r="BX63" s="246">
        <f t="shared" si="25"/>
        <v>0</v>
      </c>
      <c r="BY63" s="247">
        <f t="shared" si="25"/>
        <v>-792643.69479999971</v>
      </c>
      <c r="BZ63" s="597"/>
      <c r="CA63" s="222"/>
      <c r="CB63" s="248"/>
      <c r="CC63" s="597"/>
      <c r="CD63" s="222"/>
      <c r="CE63" s="222">
        <v>-165083.33333333334</v>
      </c>
      <c r="CF63" s="222">
        <v>-215833.33333333337</v>
      </c>
      <c r="CG63" s="222">
        <v>-271833.33333333337</v>
      </c>
      <c r="CH63" s="222">
        <v>-280000.00000000006</v>
      </c>
      <c r="CI63" s="222">
        <v>-165083.33333333334</v>
      </c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2"/>
      <c r="DI63" s="222"/>
      <c r="DJ63" s="222"/>
      <c r="DK63" s="222"/>
      <c r="DL63" s="222"/>
      <c r="DM63" s="222"/>
      <c r="DN63" s="222"/>
      <c r="DO63" s="222"/>
      <c r="DP63" s="222"/>
      <c r="DQ63" s="222"/>
      <c r="DR63" s="222"/>
      <c r="DS63" s="222"/>
      <c r="DT63" s="222"/>
      <c r="DU63" s="222"/>
      <c r="DV63" s="222"/>
      <c r="DW63" s="222"/>
      <c r="DX63" s="222"/>
      <c r="DY63" s="222"/>
      <c r="DZ63" s="222"/>
      <c r="EA63" s="222"/>
      <c r="EB63" s="222"/>
      <c r="EC63" s="222"/>
      <c r="ED63" s="222"/>
      <c r="EE63" s="222"/>
      <c r="EF63" s="222"/>
      <c r="EG63" s="222"/>
      <c r="EH63" s="222"/>
    </row>
    <row r="64" spans="1:138" ht="15.95" hidden="1" outlineLevel="1">
      <c r="A64" s="505"/>
      <c r="B64" s="600"/>
      <c r="C64" s="286" t="s">
        <v>257</v>
      </c>
      <c r="D64" s="250" t="s">
        <v>223</v>
      </c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87">
        <f t="shared" ref="BY64:BY86" si="26">SUM(E64:BX64)</f>
        <v>0</v>
      </c>
      <c r="BZ64" s="597"/>
      <c r="CA64" s="222"/>
      <c r="CB64" s="248"/>
      <c r="CC64" s="597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</row>
    <row r="65" spans="1:138" ht="15.95" hidden="1" outlineLevel="1">
      <c r="A65" s="505"/>
      <c r="B65" s="600"/>
      <c r="C65" s="288" t="s">
        <v>258</v>
      </c>
      <c r="D65" s="250" t="s">
        <v>223</v>
      </c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87">
        <f t="shared" si="26"/>
        <v>0</v>
      </c>
      <c r="BZ65" s="597"/>
      <c r="CA65" s="222"/>
      <c r="CB65" s="248"/>
      <c r="CC65" s="597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2"/>
      <c r="DC65" s="222"/>
      <c r="DD65" s="222"/>
      <c r="DE65" s="222"/>
      <c r="DF65" s="222"/>
      <c r="DG65" s="222"/>
      <c r="DH65" s="222"/>
      <c r="DI65" s="222"/>
      <c r="DJ65" s="222"/>
      <c r="DK65" s="222"/>
      <c r="DL65" s="222"/>
      <c r="DM65" s="222"/>
      <c r="DN65" s="222"/>
      <c r="DO65" s="222"/>
      <c r="DP65" s="222"/>
      <c r="DQ65" s="222"/>
      <c r="DR65" s="222"/>
      <c r="DS65" s="222"/>
      <c r="DT65" s="222"/>
      <c r="DU65" s="222"/>
      <c r="DV65" s="222"/>
      <c r="DW65" s="222"/>
      <c r="DX65" s="222"/>
      <c r="DY65" s="222"/>
      <c r="DZ65" s="222"/>
      <c r="EA65" s="222"/>
      <c r="EB65" s="222"/>
      <c r="EC65" s="222"/>
      <c r="ED65" s="222"/>
      <c r="EE65" s="222"/>
      <c r="EF65" s="222"/>
      <c r="EG65" s="222"/>
      <c r="EH65" s="222"/>
    </row>
    <row r="66" spans="1:138" ht="15.95" hidden="1" outlineLevel="1">
      <c r="A66" s="505"/>
      <c r="B66" s="600"/>
      <c r="C66" s="288" t="s">
        <v>259</v>
      </c>
      <c r="D66" s="250" t="s">
        <v>223</v>
      </c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87">
        <f t="shared" si="26"/>
        <v>0</v>
      </c>
      <c r="BZ66" s="597"/>
      <c r="CA66" s="222"/>
      <c r="CB66" s="248"/>
      <c r="CC66" s="597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</row>
    <row r="67" spans="1:138" ht="15.95" hidden="1" outlineLevel="1">
      <c r="A67" s="505"/>
      <c r="B67" s="600"/>
      <c r="C67" s="288" t="s">
        <v>260</v>
      </c>
      <c r="D67" s="250" t="s">
        <v>223</v>
      </c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87">
        <f t="shared" si="26"/>
        <v>0</v>
      </c>
      <c r="BZ67" s="597"/>
      <c r="CA67" s="222"/>
      <c r="CB67" s="248"/>
      <c r="CC67" s="597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</row>
    <row r="68" spans="1:138" ht="15.95" hidden="1" outlineLevel="1">
      <c r="A68" s="505"/>
      <c r="B68" s="600"/>
      <c r="C68" s="288" t="s">
        <v>261</v>
      </c>
      <c r="D68" s="250" t="s">
        <v>223</v>
      </c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87">
        <f t="shared" si="26"/>
        <v>0</v>
      </c>
      <c r="BZ68" s="597"/>
      <c r="CA68" s="222"/>
      <c r="CB68" s="248"/>
      <c r="CC68" s="597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</row>
    <row r="69" spans="1:138" ht="15.95" hidden="1" outlineLevel="1">
      <c r="A69" s="505"/>
      <c r="B69" s="600"/>
      <c r="C69" s="288" t="s">
        <v>262</v>
      </c>
      <c r="D69" s="250" t="s">
        <v>223</v>
      </c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87">
        <f t="shared" si="26"/>
        <v>0</v>
      </c>
      <c r="BZ69" s="597"/>
      <c r="CA69" s="222"/>
      <c r="CB69" s="248"/>
      <c r="CC69" s="597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</row>
    <row r="70" spans="1:138" ht="15.95" hidden="1" outlineLevel="1">
      <c r="A70" s="505"/>
      <c r="B70" s="600"/>
      <c r="C70" s="288" t="s">
        <v>263</v>
      </c>
      <c r="D70" s="250" t="s">
        <v>223</v>
      </c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87">
        <f t="shared" si="26"/>
        <v>0</v>
      </c>
      <c r="BZ70" s="597"/>
      <c r="CA70" s="222"/>
      <c r="CB70" s="248"/>
      <c r="CC70" s="597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2"/>
      <c r="DI70" s="222"/>
      <c r="DJ70" s="222"/>
      <c r="DK70" s="222"/>
      <c r="DL70" s="222"/>
      <c r="DM70" s="222"/>
      <c r="DN70" s="222"/>
      <c r="DO70" s="222"/>
      <c r="DP70" s="222"/>
      <c r="DQ70" s="222"/>
      <c r="DR70" s="222"/>
      <c r="DS70" s="222"/>
      <c r="DT70" s="222"/>
      <c r="DU70" s="222"/>
      <c r="DV70" s="222"/>
      <c r="DW70" s="222"/>
      <c r="DX70" s="222"/>
      <c r="DY70" s="222"/>
      <c r="DZ70" s="222"/>
      <c r="EA70" s="222"/>
      <c r="EB70" s="222"/>
      <c r="EC70" s="222"/>
      <c r="ED70" s="222"/>
      <c r="EE70" s="222"/>
      <c r="EF70" s="222"/>
      <c r="EG70" s="222"/>
      <c r="EH70" s="222"/>
    </row>
    <row r="71" spans="1:138" ht="15.95" hidden="1" outlineLevel="1">
      <c r="A71" s="505"/>
      <c r="B71" s="600"/>
      <c r="C71" s="288" t="s">
        <v>264</v>
      </c>
      <c r="D71" s="250" t="s">
        <v>223</v>
      </c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87">
        <f t="shared" si="26"/>
        <v>0</v>
      </c>
      <c r="BZ71" s="597"/>
      <c r="CA71" s="222"/>
      <c r="CB71" s="248"/>
      <c r="CC71" s="597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D71" s="222"/>
      <c r="EE71" s="222"/>
      <c r="EF71" s="222"/>
      <c r="EG71" s="222"/>
      <c r="EH71" s="222"/>
    </row>
    <row r="72" spans="1:138" ht="15.95" hidden="1" outlineLevel="1">
      <c r="A72" s="505"/>
      <c r="B72" s="600"/>
      <c r="C72" s="288" t="s">
        <v>265</v>
      </c>
      <c r="D72" s="250" t="s">
        <v>223</v>
      </c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87">
        <f t="shared" si="26"/>
        <v>0</v>
      </c>
      <c r="BZ72" s="597"/>
      <c r="CA72" s="222"/>
      <c r="CB72" s="248"/>
      <c r="CC72" s="597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2"/>
      <c r="DI72" s="222"/>
      <c r="DJ72" s="222"/>
      <c r="DK72" s="222"/>
      <c r="DL72" s="222"/>
      <c r="DM72" s="222"/>
      <c r="DN72" s="222"/>
      <c r="DO72" s="222"/>
      <c r="DP72" s="222"/>
      <c r="DQ72" s="222"/>
      <c r="DR72" s="222"/>
      <c r="DS72" s="222"/>
      <c r="DT72" s="222"/>
      <c r="DU72" s="222"/>
      <c r="DV72" s="222"/>
      <c r="DW72" s="222"/>
      <c r="DX72" s="222"/>
      <c r="DY72" s="222"/>
      <c r="DZ72" s="222"/>
      <c r="EA72" s="222"/>
      <c r="EB72" s="222"/>
      <c r="EC72" s="222"/>
      <c r="ED72" s="222"/>
      <c r="EE72" s="222"/>
      <c r="EF72" s="222"/>
      <c r="EG72" s="222"/>
      <c r="EH72" s="222"/>
    </row>
    <row r="73" spans="1:138" ht="15.95" hidden="1" outlineLevel="1">
      <c r="A73" s="505"/>
      <c r="B73" s="600"/>
      <c r="C73" s="288" t="s">
        <v>266</v>
      </c>
      <c r="D73" s="250" t="s">
        <v>223</v>
      </c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87">
        <f t="shared" si="26"/>
        <v>0</v>
      </c>
      <c r="BZ73" s="597"/>
      <c r="CA73" s="222"/>
      <c r="CB73" s="248"/>
      <c r="CC73" s="597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  <c r="DI73" s="222"/>
      <c r="DJ73" s="222"/>
      <c r="DK73" s="222"/>
      <c r="DL73" s="222"/>
      <c r="DM73" s="222"/>
      <c r="DN73" s="222"/>
      <c r="DO73" s="222"/>
      <c r="DP73" s="222"/>
      <c r="DQ73" s="222"/>
      <c r="DR73" s="222"/>
      <c r="DS73" s="222"/>
      <c r="DT73" s="222"/>
      <c r="DU73" s="222"/>
      <c r="DV73" s="222"/>
      <c r="DW73" s="222"/>
      <c r="DX73" s="222"/>
      <c r="DY73" s="222"/>
      <c r="DZ73" s="222"/>
      <c r="EA73" s="222"/>
      <c r="EB73" s="222"/>
      <c r="EC73" s="222"/>
      <c r="ED73" s="222"/>
      <c r="EE73" s="222"/>
      <c r="EF73" s="222"/>
      <c r="EG73" s="222"/>
      <c r="EH73" s="222"/>
    </row>
    <row r="74" spans="1:138" ht="15.95" hidden="1" outlineLevel="1">
      <c r="A74" s="505"/>
      <c r="B74" s="600"/>
      <c r="C74" s="288" t="s">
        <v>267</v>
      </c>
      <c r="D74" s="250" t="s">
        <v>223</v>
      </c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87">
        <f t="shared" si="26"/>
        <v>0</v>
      </c>
      <c r="BZ74" s="597"/>
      <c r="CA74" s="222"/>
      <c r="CB74" s="248"/>
      <c r="CC74" s="597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2"/>
      <c r="DI74" s="222"/>
      <c r="DJ74" s="222"/>
      <c r="DK74" s="222"/>
      <c r="DL74" s="222"/>
      <c r="DM74" s="222"/>
      <c r="DN74" s="222"/>
      <c r="DO74" s="222"/>
      <c r="DP74" s="222"/>
      <c r="DQ74" s="222"/>
      <c r="DR74" s="222"/>
      <c r="DS74" s="222"/>
      <c r="DT74" s="222"/>
      <c r="DU74" s="222"/>
      <c r="DV74" s="222"/>
      <c r="DW74" s="222"/>
      <c r="DX74" s="222"/>
      <c r="DY74" s="222"/>
      <c r="DZ74" s="222"/>
      <c r="EA74" s="222"/>
      <c r="EB74" s="222"/>
      <c r="EC74" s="222"/>
      <c r="ED74" s="222"/>
      <c r="EE74" s="222"/>
      <c r="EF74" s="222"/>
      <c r="EG74" s="222"/>
      <c r="EH74" s="222"/>
    </row>
    <row r="75" spans="1:138" ht="15.95" hidden="1" outlineLevel="1">
      <c r="A75" s="505"/>
      <c r="B75" s="600"/>
      <c r="C75" s="288" t="s">
        <v>268</v>
      </c>
      <c r="D75" s="250" t="s">
        <v>223</v>
      </c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87">
        <f t="shared" si="26"/>
        <v>0</v>
      </c>
      <c r="BZ75" s="597"/>
      <c r="CA75" s="222"/>
      <c r="CB75" s="248"/>
      <c r="CC75" s="597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</row>
    <row r="76" spans="1:138" ht="15.95" hidden="1" outlineLevel="1">
      <c r="A76" s="505"/>
      <c r="B76" s="600"/>
      <c r="C76" s="288" t="s">
        <v>269</v>
      </c>
      <c r="D76" s="250" t="s">
        <v>223</v>
      </c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87">
        <f t="shared" si="26"/>
        <v>0</v>
      </c>
      <c r="BZ76" s="597"/>
      <c r="CA76" s="222"/>
      <c r="CB76" s="248"/>
      <c r="CC76" s="597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</row>
    <row r="77" spans="1:138" ht="15.95" hidden="1" outlineLevel="1">
      <c r="A77" s="505"/>
      <c r="B77" s="600"/>
      <c r="C77" s="288" t="s">
        <v>270</v>
      </c>
      <c r="D77" s="250" t="s">
        <v>223</v>
      </c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87">
        <f t="shared" si="26"/>
        <v>0</v>
      </c>
      <c r="BZ77" s="597"/>
      <c r="CA77" s="222"/>
      <c r="CB77" s="248"/>
      <c r="CC77" s="597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</row>
    <row r="78" spans="1:138" ht="15.95" hidden="1" outlineLevel="1">
      <c r="A78" s="505"/>
      <c r="B78" s="600"/>
      <c r="C78" s="288" t="s">
        <v>271</v>
      </c>
      <c r="D78" s="250" t="s">
        <v>223</v>
      </c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87">
        <f t="shared" si="26"/>
        <v>0</v>
      </c>
      <c r="BZ78" s="597"/>
      <c r="CA78" s="222"/>
      <c r="CB78" s="248"/>
      <c r="CC78" s="597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</row>
    <row r="79" spans="1:138" ht="15.95" hidden="1" outlineLevel="1">
      <c r="A79" s="505"/>
      <c r="B79" s="600"/>
      <c r="C79" s="288" t="s">
        <v>272</v>
      </c>
      <c r="D79" s="250" t="s">
        <v>223</v>
      </c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87">
        <f t="shared" si="26"/>
        <v>0</v>
      </c>
      <c r="BZ79" s="597"/>
      <c r="CA79" s="222"/>
      <c r="CB79" s="248"/>
      <c r="CC79" s="597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</row>
    <row r="80" spans="1:138" ht="15.95" hidden="1" outlineLevel="1">
      <c r="A80" s="505"/>
      <c r="B80" s="600"/>
      <c r="C80" s="288" t="s">
        <v>273</v>
      </c>
      <c r="D80" s="250" t="s">
        <v>223</v>
      </c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87">
        <f t="shared" si="26"/>
        <v>0</v>
      </c>
      <c r="BZ80" s="597"/>
      <c r="CA80" s="222"/>
      <c r="CB80" s="248"/>
      <c r="CC80" s="597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</row>
    <row r="81" spans="1:138" ht="15.95" hidden="1" outlineLevel="1">
      <c r="A81" s="505"/>
      <c r="B81" s="600"/>
      <c r="C81" s="288" t="s">
        <v>274</v>
      </c>
      <c r="D81" s="250" t="s">
        <v>223</v>
      </c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87">
        <f t="shared" si="26"/>
        <v>0</v>
      </c>
      <c r="BZ81" s="597"/>
      <c r="CA81" s="222"/>
      <c r="CB81" s="248"/>
      <c r="CC81" s="597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</row>
    <row r="82" spans="1:138" ht="15.95" hidden="1" outlineLevel="1">
      <c r="A82" s="505"/>
      <c r="B82" s="600"/>
      <c r="C82" s="289" t="s">
        <v>178</v>
      </c>
      <c r="D82" s="250" t="s">
        <v>223</v>
      </c>
      <c r="E82" s="252"/>
      <c r="F82" s="251"/>
      <c r="G82" s="251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>
        <f>-Businessplan_prodej!$N$19/12*1.21*Businessplan_prodej!$J$27</f>
        <v>0</v>
      </c>
      <c r="S82" s="252">
        <f>-Businessplan_prodej!$N$19/12*1.21*Businessplan_prodej!$J$27</f>
        <v>0</v>
      </c>
      <c r="T82" s="252">
        <f>-Businessplan_prodej!$N$19/12*1.21*Businessplan_prodej!$J$27</f>
        <v>0</v>
      </c>
      <c r="U82" s="252">
        <f>-Businessplan_prodej!$N$19/12*1.21*Businessplan_prodej!$J$27</f>
        <v>0</v>
      </c>
      <c r="V82" s="252">
        <f>-Businessplan_prodej!$N$19/12*1.21*Businessplan_prodej!$J$27</f>
        <v>0</v>
      </c>
      <c r="W82" s="252">
        <f>-Businessplan_prodej!$N$19/12*1.21*Businessplan_prodej!$J$27</f>
        <v>0</v>
      </c>
      <c r="X82" s="252">
        <f>-Businessplan_prodej!$N$19/12*1.21*Businessplan_prodej!$J$27</f>
        <v>0</v>
      </c>
      <c r="Y82" s="252">
        <f>-Businessplan_prodej!$N$19/12*1.21*Businessplan_prodej!$J$27</f>
        <v>0</v>
      </c>
      <c r="Z82" s="252">
        <f>-Businessplan_prodej!$N$19/12*1.21*Businessplan_prodej!$J$27</f>
        <v>0</v>
      </c>
      <c r="AA82" s="252">
        <f>-Businessplan_prodej!$N$19/12*1.21</f>
        <v>-98230.703999999983</v>
      </c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87">
        <f t="shared" si="26"/>
        <v>-98230.703999999983</v>
      </c>
      <c r="BZ82" s="597"/>
      <c r="CA82" s="222"/>
      <c r="CB82" s="248"/>
      <c r="CC82" s="597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</row>
    <row r="83" spans="1:138" ht="15.95" hidden="1" outlineLevel="1">
      <c r="A83" s="505"/>
      <c r="B83" s="600"/>
      <c r="C83" s="288" t="s">
        <v>179</v>
      </c>
      <c r="D83" s="250" t="s">
        <v>223</v>
      </c>
      <c r="E83" s="252"/>
      <c r="F83" s="251"/>
      <c r="G83" s="251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87">
        <f t="shared" si="26"/>
        <v>0</v>
      </c>
      <c r="BZ83" s="597"/>
      <c r="CA83" s="222"/>
      <c r="CB83" s="248"/>
      <c r="CC83" s="597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</row>
    <row r="84" spans="1:138" ht="15.95" hidden="1" outlineLevel="1">
      <c r="A84" s="505"/>
      <c r="B84" s="600"/>
      <c r="C84" s="288" t="s">
        <v>189</v>
      </c>
      <c r="D84" s="250" t="s">
        <v>223</v>
      </c>
      <c r="E84" s="252"/>
      <c r="F84" s="251"/>
      <c r="G84" s="251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87">
        <f t="shared" si="26"/>
        <v>0</v>
      </c>
      <c r="BZ84" s="597"/>
      <c r="CA84" s="222"/>
      <c r="CB84" s="248"/>
      <c r="CC84" s="597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</row>
    <row r="85" spans="1:138" ht="15.95" hidden="1" outlineLevel="1">
      <c r="A85" s="505"/>
      <c r="B85" s="600"/>
      <c r="C85" s="288" t="s">
        <v>190</v>
      </c>
      <c r="D85" s="250" t="s">
        <v>223</v>
      </c>
      <c r="E85" s="252"/>
      <c r="F85" s="251"/>
      <c r="G85" s="251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87">
        <f t="shared" si="26"/>
        <v>0</v>
      </c>
      <c r="BZ85" s="597"/>
      <c r="CA85" s="222"/>
      <c r="CB85" s="248"/>
      <c r="CC85" s="597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</row>
    <row r="86" spans="1:138" ht="15.95" hidden="1" outlineLevel="1">
      <c r="A86" s="505"/>
      <c r="B86" s="600"/>
      <c r="C86" s="290" t="s">
        <v>275</v>
      </c>
      <c r="D86" s="254" t="s">
        <v>223</v>
      </c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>
        <f>Businessplan_prodej!N21</f>
        <v>-694412.99079999968</v>
      </c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87">
        <f t="shared" si="26"/>
        <v>-694412.99079999968</v>
      </c>
      <c r="BZ86" s="597"/>
      <c r="CA86" s="222"/>
      <c r="CB86" s="248"/>
      <c r="CC86" s="597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</row>
    <row r="87" spans="1:138" ht="15.95" collapsed="1">
      <c r="A87" s="505"/>
      <c r="B87" s="600"/>
      <c r="C87" s="244" t="s">
        <v>276</v>
      </c>
      <c r="D87" s="245"/>
      <c r="E87" s="246">
        <f t="shared" ref="E87:BY87" si="27">SUM(E88:E89)</f>
        <v>0</v>
      </c>
      <c r="F87" s="246">
        <f t="shared" si="27"/>
        <v>0</v>
      </c>
      <c r="G87" s="246">
        <f t="shared" si="27"/>
        <v>0</v>
      </c>
      <c r="H87" s="246">
        <f t="shared" si="27"/>
        <v>0</v>
      </c>
      <c r="I87" s="246">
        <f t="shared" si="27"/>
        <v>0</v>
      </c>
      <c r="J87" s="246">
        <f t="shared" si="27"/>
        <v>0</v>
      </c>
      <c r="K87" s="246">
        <f t="shared" si="27"/>
        <v>0</v>
      </c>
      <c r="L87" s="246">
        <f t="shared" si="27"/>
        <v>0</v>
      </c>
      <c r="M87" s="246">
        <f t="shared" si="27"/>
        <v>0</v>
      </c>
      <c r="N87" s="246">
        <f t="shared" si="27"/>
        <v>0</v>
      </c>
      <c r="O87" s="246">
        <f t="shared" si="27"/>
        <v>0</v>
      </c>
      <c r="P87" s="246">
        <f t="shared" si="27"/>
        <v>0</v>
      </c>
      <c r="Q87" s="246">
        <f t="shared" si="27"/>
        <v>0</v>
      </c>
      <c r="R87" s="246">
        <f t="shared" si="27"/>
        <v>0</v>
      </c>
      <c r="S87" s="246">
        <f t="shared" si="27"/>
        <v>0</v>
      </c>
      <c r="T87" s="246">
        <f t="shared" si="27"/>
        <v>0</v>
      </c>
      <c r="U87" s="246">
        <f t="shared" si="27"/>
        <v>0</v>
      </c>
      <c r="V87" s="246">
        <f t="shared" si="27"/>
        <v>0</v>
      </c>
      <c r="W87" s="246">
        <f t="shared" si="27"/>
        <v>0</v>
      </c>
      <c r="X87" s="246">
        <f t="shared" si="27"/>
        <v>0</v>
      </c>
      <c r="Y87" s="246">
        <f t="shared" si="27"/>
        <v>0</v>
      </c>
      <c r="Z87" s="246">
        <f t="shared" si="27"/>
        <v>0</v>
      </c>
      <c r="AA87" s="246">
        <f t="shared" si="27"/>
        <v>0</v>
      </c>
      <c r="AB87" s="246">
        <f t="shared" si="27"/>
        <v>0</v>
      </c>
      <c r="AC87" s="246">
        <f t="shared" si="27"/>
        <v>0</v>
      </c>
      <c r="AD87" s="246">
        <f t="shared" si="27"/>
        <v>0</v>
      </c>
      <c r="AE87" s="246">
        <f t="shared" si="27"/>
        <v>0</v>
      </c>
      <c r="AF87" s="246">
        <f t="shared" si="27"/>
        <v>0</v>
      </c>
      <c r="AG87" s="246">
        <f t="shared" si="27"/>
        <v>0</v>
      </c>
      <c r="AH87" s="246">
        <f t="shared" si="27"/>
        <v>0</v>
      </c>
      <c r="AI87" s="246">
        <f t="shared" si="27"/>
        <v>0</v>
      </c>
      <c r="AJ87" s="246">
        <f t="shared" si="27"/>
        <v>0</v>
      </c>
      <c r="AK87" s="246">
        <f t="shared" si="27"/>
        <v>0</v>
      </c>
      <c r="AL87" s="246">
        <f t="shared" si="27"/>
        <v>0</v>
      </c>
      <c r="AM87" s="246">
        <f t="shared" si="27"/>
        <v>0</v>
      </c>
      <c r="AN87" s="246">
        <f t="shared" si="27"/>
        <v>0</v>
      </c>
      <c r="AO87" s="246">
        <f t="shared" si="27"/>
        <v>0</v>
      </c>
      <c r="AP87" s="246">
        <f t="shared" si="27"/>
        <v>0</v>
      </c>
      <c r="AQ87" s="246">
        <f t="shared" si="27"/>
        <v>0</v>
      </c>
      <c r="AR87" s="246">
        <f t="shared" si="27"/>
        <v>0</v>
      </c>
      <c r="AS87" s="246">
        <f t="shared" si="27"/>
        <v>0</v>
      </c>
      <c r="AT87" s="246">
        <f t="shared" si="27"/>
        <v>0</v>
      </c>
      <c r="AU87" s="246">
        <f t="shared" si="27"/>
        <v>0</v>
      </c>
      <c r="AV87" s="246">
        <f t="shared" si="27"/>
        <v>0</v>
      </c>
      <c r="AW87" s="246">
        <f t="shared" si="27"/>
        <v>0</v>
      </c>
      <c r="AX87" s="246">
        <f t="shared" si="27"/>
        <v>0</v>
      </c>
      <c r="AY87" s="246">
        <f t="shared" si="27"/>
        <v>0</v>
      </c>
      <c r="AZ87" s="246">
        <f t="shared" si="27"/>
        <v>0</v>
      </c>
      <c r="BA87" s="246">
        <f t="shared" si="27"/>
        <v>0</v>
      </c>
      <c r="BB87" s="246">
        <f t="shared" si="27"/>
        <v>0</v>
      </c>
      <c r="BC87" s="246">
        <f t="shared" si="27"/>
        <v>0</v>
      </c>
      <c r="BD87" s="246">
        <f t="shared" si="27"/>
        <v>0</v>
      </c>
      <c r="BE87" s="246">
        <f t="shared" si="27"/>
        <v>0</v>
      </c>
      <c r="BF87" s="246">
        <f t="shared" si="27"/>
        <v>0</v>
      </c>
      <c r="BG87" s="246">
        <f t="shared" si="27"/>
        <v>0</v>
      </c>
      <c r="BH87" s="246">
        <f t="shared" si="27"/>
        <v>0</v>
      </c>
      <c r="BI87" s="246">
        <f t="shared" si="27"/>
        <v>0</v>
      </c>
      <c r="BJ87" s="246">
        <f t="shared" si="27"/>
        <v>0</v>
      </c>
      <c r="BK87" s="246">
        <f t="shared" si="27"/>
        <v>0</v>
      </c>
      <c r="BL87" s="246">
        <f t="shared" si="27"/>
        <v>0</v>
      </c>
      <c r="BM87" s="246">
        <f t="shared" si="27"/>
        <v>0</v>
      </c>
      <c r="BN87" s="246">
        <f t="shared" si="27"/>
        <v>0</v>
      </c>
      <c r="BO87" s="246">
        <f t="shared" si="27"/>
        <v>0</v>
      </c>
      <c r="BP87" s="246">
        <f t="shared" si="27"/>
        <v>0</v>
      </c>
      <c r="BQ87" s="246">
        <f t="shared" si="27"/>
        <v>0</v>
      </c>
      <c r="BR87" s="246">
        <f t="shared" si="27"/>
        <v>0</v>
      </c>
      <c r="BS87" s="246">
        <f t="shared" si="27"/>
        <v>0</v>
      </c>
      <c r="BT87" s="246">
        <f t="shared" si="27"/>
        <v>0</v>
      </c>
      <c r="BU87" s="246">
        <f t="shared" si="27"/>
        <v>0</v>
      </c>
      <c r="BV87" s="246">
        <f t="shared" si="27"/>
        <v>0</v>
      </c>
      <c r="BW87" s="246">
        <f t="shared" si="27"/>
        <v>0</v>
      </c>
      <c r="BX87" s="246">
        <f t="shared" si="27"/>
        <v>0</v>
      </c>
      <c r="BY87" s="247">
        <f t="shared" si="27"/>
        <v>0</v>
      </c>
      <c r="BZ87" s="597"/>
      <c r="CA87" s="222"/>
      <c r="CB87" s="248"/>
      <c r="CC87" s="597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</row>
    <row r="88" spans="1:138" ht="15.95" hidden="1" outlineLevel="1">
      <c r="A88" s="505"/>
      <c r="B88" s="600"/>
      <c r="C88" s="286" t="s">
        <v>277</v>
      </c>
      <c r="D88" s="250" t="s">
        <v>223</v>
      </c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  <c r="AR88" s="256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92">
        <f t="shared" ref="BY88:BY89" si="28">SUM(E88:BX88)</f>
        <v>0</v>
      </c>
      <c r="BZ88" s="597"/>
      <c r="CA88" s="222"/>
      <c r="CB88" s="248"/>
      <c r="CC88" s="597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</row>
    <row r="89" spans="1:138" ht="15.95" hidden="1" outlineLevel="1">
      <c r="A89" s="505"/>
      <c r="B89" s="600"/>
      <c r="C89" s="290" t="s">
        <v>278</v>
      </c>
      <c r="D89" s="254" t="s">
        <v>223</v>
      </c>
      <c r="E89" s="283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  <c r="BS89" s="284"/>
      <c r="BT89" s="284"/>
      <c r="BU89" s="284"/>
      <c r="BV89" s="284"/>
      <c r="BW89" s="284"/>
      <c r="BX89" s="284"/>
      <c r="BY89" s="293">
        <f t="shared" si="28"/>
        <v>0</v>
      </c>
      <c r="BZ89" s="592"/>
      <c r="CA89" s="222"/>
      <c r="CB89" s="248"/>
      <c r="CC89" s="59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</row>
    <row r="90" spans="1:138" collapsed="1">
      <c r="A90" s="505"/>
      <c r="B90" s="600"/>
      <c r="C90" s="244" t="s">
        <v>279</v>
      </c>
      <c r="D90" s="245"/>
      <c r="E90" s="246">
        <f t="shared" ref="E90:BX90" si="29">SUM(E91:E97)</f>
        <v>0</v>
      </c>
      <c r="F90" s="246">
        <f t="shared" si="29"/>
        <v>0</v>
      </c>
      <c r="G90" s="246">
        <f t="shared" si="29"/>
        <v>0</v>
      </c>
      <c r="H90" s="246">
        <f t="shared" si="29"/>
        <v>0</v>
      </c>
      <c r="I90" s="246">
        <f t="shared" si="29"/>
        <v>0</v>
      </c>
      <c r="J90" s="246">
        <f t="shared" si="29"/>
        <v>0</v>
      </c>
      <c r="K90" s="246">
        <f t="shared" si="29"/>
        <v>0</v>
      </c>
      <c r="L90" s="246">
        <f t="shared" si="29"/>
        <v>0</v>
      </c>
      <c r="M90" s="246">
        <f t="shared" si="29"/>
        <v>0</v>
      </c>
      <c r="N90" s="246">
        <f t="shared" si="29"/>
        <v>0</v>
      </c>
      <c r="O90" s="246">
        <f t="shared" si="29"/>
        <v>0</v>
      </c>
      <c r="P90" s="246">
        <f t="shared" si="29"/>
        <v>0</v>
      </c>
      <c r="Q90" s="246">
        <f t="shared" si="29"/>
        <v>-7000000</v>
      </c>
      <c r="R90" s="246">
        <f t="shared" si="29"/>
        <v>-54993</v>
      </c>
      <c r="S90" s="246">
        <f t="shared" si="29"/>
        <v>-54714.208275311074</v>
      </c>
      <c r="T90" s="246">
        <f t="shared" si="29"/>
        <v>-54714.208275311074</v>
      </c>
      <c r="U90" s="246">
        <f t="shared" si="29"/>
        <v>-54714.208275311074</v>
      </c>
      <c r="V90" s="246">
        <f t="shared" si="29"/>
        <v>-54714.208275311074</v>
      </c>
      <c r="W90" s="246">
        <f t="shared" si="29"/>
        <v>-54714.208275311074</v>
      </c>
      <c r="X90" s="246">
        <f t="shared" si="29"/>
        <v>-54714.208275311074</v>
      </c>
      <c r="Y90" s="246">
        <f t="shared" si="29"/>
        <v>-54714.208275311074</v>
      </c>
      <c r="Z90" s="246">
        <f t="shared" si="29"/>
        <v>-54714.208275311074</v>
      </c>
      <c r="AA90" s="246">
        <f t="shared" si="29"/>
        <v>-109738476.66379753</v>
      </c>
      <c r="AB90" s="246">
        <f t="shared" si="29"/>
        <v>0</v>
      </c>
      <c r="AC90" s="246">
        <f t="shared" si="29"/>
        <v>0</v>
      </c>
      <c r="AD90" s="246">
        <f t="shared" si="29"/>
        <v>0</v>
      </c>
      <c r="AE90" s="246">
        <f t="shared" si="29"/>
        <v>0</v>
      </c>
      <c r="AF90" s="246">
        <f t="shared" si="29"/>
        <v>0</v>
      </c>
      <c r="AG90" s="246">
        <f t="shared" si="29"/>
        <v>0</v>
      </c>
      <c r="AH90" s="246">
        <f t="shared" si="29"/>
        <v>0</v>
      </c>
      <c r="AI90" s="246">
        <f t="shared" si="29"/>
        <v>0</v>
      </c>
      <c r="AJ90" s="246">
        <f t="shared" si="29"/>
        <v>0</v>
      </c>
      <c r="AK90" s="246">
        <f t="shared" si="29"/>
        <v>0</v>
      </c>
      <c r="AL90" s="246">
        <f t="shared" si="29"/>
        <v>0</v>
      </c>
      <c r="AM90" s="246">
        <f t="shared" si="29"/>
        <v>0</v>
      </c>
      <c r="AN90" s="246">
        <f t="shared" si="29"/>
        <v>0</v>
      </c>
      <c r="AO90" s="246">
        <f t="shared" si="29"/>
        <v>0</v>
      </c>
      <c r="AP90" s="246">
        <f t="shared" si="29"/>
        <v>0</v>
      </c>
      <c r="AQ90" s="246">
        <f t="shared" si="29"/>
        <v>0</v>
      </c>
      <c r="AR90" s="246">
        <f t="shared" si="29"/>
        <v>0</v>
      </c>
      <c r="AS90" s="246">
        <f t="shared" si="29"/>
        <v>0</v>
      </c>
      <c r="AT90" s="246">
        <f t="shared" si="29"/>
        <v>0</v>
      </c>
      <c r="AU90" s="246">
        <f t="shared" si="29"/>
        <v>0</v>
      </c>
      <c r="AV90" s="246">
        <f t="shared" si="29"/>
        <v>0</v>
      </c>
      <c r="AW90" s="246">
        <f t="shared" si="29"/>
        <v>0</v>
      </c>
      <c r="AX90" s="246">
        <f t="shared" si="29"/>
        <v>0</v>
      </c>
      <c r="AY90" s="246">
        <f t="shared" si="29"/>
        <v>0</v>
      </c>
      <c r="AZ90" s="246">
        <f t="shared" si="29"/>
        <v>0</v>
      </c>
      <c r="BA90" s="246">
        <f t="shared" si="29"/>
        <v>0</v>
      </c>
      <c r="BB90" s="246">
        <f t="shared" si="29"/>
        <v>0</v>
      </c>
      <c r="BC90" s="246">
        <f t="shared" si="29"/>
        <v>0</v>
      </c>
      <c r="BD90" s="246">
        <f t="shared" si="29"/>
        <v>0</v>
      </c>
      <c r="BE90" s="246">
        <f t="shared" si="29"/>
        <v>0</v>
      </c>
      <c r="BF90" s="246">
        <f t="shared" si="29"/>
        <v>0</v>
      </c>
      <c r="BG90" s="246">
        <f t="shared" si="29"/>
        <v>0</v>
      </c>
      <c r="BH90" s="246">
        <f t="shared" si="29"/>
        <v>0</v>
      </c>
      <c r="BI90" s="246">
        <f t="shared" si="29"/>
        <v>0</v>
      </c>
      <c r="BJ90" s="246">
        <f t="shared" si="29"/>
        <v>0</v>
      </c>
      <c r="BK90" s="246">
        <f t="shared" si="29"/>
        <v>0</v>
      </c>
      <c r="BL90" s="246">
        <f t="shared" si="29"/>
        <v>0</v>
      </c>
      <c r="BM90" s="246">
        <f t="shared" si="29"/>
        <v>0</v>
      </c>
      <c r="BN90" s="246">
        <f t="shared" si="29"/>
        <v>0</v>
      </c>
      <c r="BO90" s="246">
        <f t="shared" si="29"/>
        <v>0</v>
      </c>
      <c r="BP90" s="246">
        <f t="shared" si="29"/>
        <v>0</v>
      </c>
      <c r="BQ90" s="246">
        <f t="shared" si="29"/>
        <v>0</v>
      </c>
      <c r="BR90" s="246">
        <f t="shared" si="29"/>
        <v>0</v>
      </c>
      <c r="BS90" s="246">
        <f t="shared" si="29"/>
        <v>0</v>
      </c>
      <c r="BT90" s="246">
        <f t="shared" si="29"/>
        <v>0</v>
      </c>
      <c r="BU90" s="246">
        <f t="shared" si="29"/>
        <v>0</v>
      </c>
      <c r="BV90" s="246">
        <f t="shared" si="29"/>
        <v>0</v>
      </c>
      <c r="BW90" s="246">
        <f t="shared" si="29"/>
        <v>0</v>
      </c>
      <c r="BX90" s="246">
        <f t="shared" si="29"/>
        <v>0</v>
      </c>
      <c r="BY90" s="564">
        <f>BZ17</f>
        <v>-124483159.21944454</v>
      </c>
      <c r="BZ90" s="599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</row>
    <row r="91" spans="1:138" hidden="1" outlineLevel="1">
      <c r="A91" s="505"/>
      <c r="B91" s="600"/>
      <c r="C91" s="249" t="s">
        <v>280</v>
      </c>
      <c r="D91" s="250" t="s">
        <v>223</v>
      </c>
      <c r="E91" s="251"/>
      <c r="F91" s="251"/>
      <c r="G91" s="251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1"/>
      <c r="V91" s="251"/>
      <c r="W91" s="251"/>
      <c r="X91" s="251"/>
      <c r="Y91" s="251"/>
      <c r="Z91" s="251"/>
      <c r="AA91" s="252">
        <f>-BY5-SUM(L91:Z91)</f>
        <v>-16365002</v>
      </c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2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60"/>
      <c r="BY91" s="292">
        <f t="shared" ref="BY91:BY97" si="30">SUM(E91:BX91)</f>
        <v>-16365002</v>
      </c>
      <c r="BZ91" s="562">
        <f>SUM(BY91:BY97)</f>
        <v>-117231183.33000001</v>
      </c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</row>
    <row r="92" spans="1:138" hidden="1" outlineLevel="1">
      <c r="A92" s="249" t="s">
        <v>281</v>
      </c>
      <c r="B92" s="600"/>
      <c r="C92" s="249" t="s">
        <v>282</v>
      </c>
      <c r="D92" s="250" t="s">
        <v>223</v>
      </c>
      <c r="E92" s="251"/>
      <c r="F92" s="251"/>
      <c r="G92" s="251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1"/>
      <c r="V92" s="251"/>
      <c r="W92" s="251"/>
      <c r="X92" s="251"/>
      <c r="Y92" s="251"/>
      <c r="Z92" s="251"/>
      <c r="AA92" s="252">
        <f>-BY6-SUM(E92:Z92)</f>
        <v>-24825000</v>
      </c>
      <c r="AB92" s="251"/>
      <c r="AC92" s="251"/>
      <c r="AD92" s="251"/>
      <c r="AE92" s="251"/>
      <c r="AF92" s="251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60"/>
      <c r="BY92" s="287">
        <f t="shared" si="30"/>
        <v>-24825000</v>
      </c>
      <c r="BZ92" s="597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</row>
    <row r="93" spans="1:138" hidden="1" outlineLevel="1">
      <c r="A93" s="249" t="s">
        <v>283</v>
      </c>
      <c r="B93" s="600"/>
      <c r="C93" s="289" t="s">
        <v>281</v>
      </c>
      <c r="D93" s="250" t="s">
        <v>223</v>
      </c>
      <c r="E93" s="251"/>
      <c r="F93" s="251"/>
      <c r="G93" s="251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1"/>
      <c r="V93" s="251"/>
      <c r="W93" s="251"/>
      <c r="X93" s="251"/>
      <c r="Y93" s="251"/>
      <c r="Z93" s="251"/>
      <c r="AA93" s="252">
        <f>-CF7</f>
        <v>0</v>
      </c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60"/>
      <c r="BY93" s="287">
        <f t="shared" si="30"/>
        <v>0</v>
      </c>
      <c r="BZ93" s="597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</row>
    <row r="94" spans="1:138" hidden="1" outlineLevel="1">
      <c r="A94" s="505"/>
      <c r="B94" s="600"/>
      <c r="C94" s="288" t="s">
        <v>283</v>
      </c>
      <c r="D94" s="250" t="s">
        <v>223</v>
      </c>
      <c r="E94" s="251"/>
      <c r="F94" s="251"/>
      <c r="G94" s="251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60"/>
      <c r="BY94" s="287">
        <f t="shared" si="30"/>
        <v>0</v>
      </c>
      <c r="BZ94" s="597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</row>
    <row r="95" spans="1:138" hidden="1" outlineLevel="1">
      <c r="A95" s="505"/>
      <c r="B95" s="600"/>
      <c r="C95" s="249" t="s">
        <v>284</v>
      </c>
      <c r="D95" s="250" t="s">
        <v>223</v>
      </c>
      <c r="E95" s="251"/>
      <c r="F95" s="251"/>
      <c r="G95" s="251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2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60"/>
      <c r="BY95" s="287">
        <f t="shared" si="30"/>
        <v>0</v>
      </c>
      <c r="BZ95" s="597"/>
      <c r="CA95" s="222"/>
      <c r="CB95" s="222"/>
      <c r="CC95" s="222"/>
      <c r="CD95" s="222"/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222"/>
      <c r="DU95" s="222"/>
      <c r="DV95" s="222"/>
      <c r="DW95" s="222"/>
      <c r="DX95" s="222"/>
      <c r="DY95" s="222"/>
      <c r="DZ95" s="222"/>
      <c r="EA95" s="222"/>
      <c r="EB95" s="222"/>
      <c r="EC95" s="222"/>
      <c r="ED95" s="222"/>
      <c r="EE95" s="222"/>
      <c r="EF95" s="222"/>
      <c r="EG95" s="222"/>
      <c r="EH95" s="222"/>
    </row>
    <row r="96" spans="1:138" hidden="1" outlineLevel="1">
      <c r="A96" s="505"/>
      <c r="B96" s="600"/>
      <c r="C96" s="249" t="s">
        <v>285</v>
      </c>
      <c r="D96" s="250" t="s">
        <v>223</v>
      </c>
      <c r="E96" s="251"/>
      <c r="F96" s="251"/>
      <c r="G96" s="251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1"/>
      <c r="V96" s="251"/>
      <c r="W96" s="251"/>
      <c r="X96" s="251"/>
      <c r="Y96" s="251"/>
      <c r="Z96" s="251"/>
      <c r="AA96" s="251">
        <f>-BY10-BY9</f>
        <v>-24718750</v>
      </c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2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60"/>
      <c r="BY96" s="294">
        <f t="shared" si="30"/>
        <v>-24718750</v>
      </c>
      <c r="BZ96" s="597"/>
      <c r="CA96" s="222"/>
      <c r="CB96" s="222"/>
      <c r="CC96" s="222"/>
      <c r="CD96" s="222"/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2"/>
      <c r="CQ96" s="222"/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2"/>
      <c r="DI96" s="222"/>
      <c r="DJ96" s="222"/>
      <c r="DK96" s="222"/>
      <c r="DL96" s="222"/>
      <c r="DM96" s="222"/>
      <c r="DN96" s="222"/>
      <c r="DO96" s="222"/>
      <c r="DP96" s="222"/>
      <c r="DQ96" s="222"/>
      <c r="DR96" s="222"/>
      <c r="DS96" s="222"/>
      <c r="DT96" s="222"/>
      <c r="DU96" s="222"/>
      <c r="DV96" s="222"/>
      <c r="DW96" s="222"/>
      <c r="DX96" s="222"/>
      <c r="DY96" s="222"/>
      <c r="DZ96" s="222"/>
      <c r="EA96" s="222"/>
      <c r="EB96" s="222"/>
      <c r="EC96" s="222"/>
      <c r="ED96" s="222"/>
      <c r="EE96" s="222"/>
      <c r="EF96" s="222"/>
      <c r="EG96" s="222"/>
      <c r="EH96" s="222"/>
    </row>
    <row r="97" spans="1:138" hidden="1" outlineLevel="1">
      <c r="A97" s="505"/>
      <c r="B97" s="601"/>
      <c r="C97" s="280" t="s">
        <v>286</v>
      </c>
      <c r="D97" s="295" t="s">
        <v>223</v>
      </c>
      <c r="E97" s="282"/>
      <c r="F97" s="282"/>
      <c r="G97" s="282"/>
      <c r="H97" s="283"/>
      <c r="I97" s="283"/>
      <c r="J97" s="283"/>
      <c r="K97" s="283"/>
      <c r="L97" s="283"/>
      <c r="M97" s="283"/>
      <c r="N97" s="283"/>
      <c r="O97" s="283"/>
      <c r="P97" s="283"/>
      <c r="Q97" s="283">
        <f>-7000000</f>
        <v>-7000000</v>
      </c>
      <c r="R97" s="283">
        <v>-54993</v>
      </c>
      <c r="S97" s="283">
        <f t="shared" ref="S97:Z97" si="31">(PMT($D$62/12,25*12,$BY11-7000000)-S62)</f>
        <v>-54714.208275311074</v>
      </c>
      <c r="T97" s="283">
        <f t="shared" si="31"/>
        <v>-54714.208275311074</v>
      </c>
      <c r="U97" s="283">
        <f t="shared" si="31"/>
        <v>-54714.208275311074</v>
      </c>
      <c r="V97" s="283">
        <f t="shared" si="31"/>
        <v>-54714.208275311074</v>
      </c>
      <c r="W97" s="283">
        <f t="shared" si="31"/>
        <v>-54714.208275311074</v>
      </c>
      <c r="X97" s="283">
        <f t="shared" si="31"/>
        <v>-54714.208275311074</v>
      </c>
      <c r="Y97" s="283">
        <f t="shared" si="31"/>
        <v>-54714.208275311074</v>
      </c>
      <c r="Z97" s="283">
        <f t="shared" si="31"/>
        <v>-54714.208275311074</v>
      </c>
      <c r="AA97" s="283">
        <f>-$BY$11-SUM($P$97:Z97)</f>
        <v>-43829724.66379752</v>
      </c>
      <c r="AB97" s="282"/>
      <c r="AC97" s="282"/>
      <c r="AD97" s="282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  <c r="BW97" s="282"/>
      <c r="BX97" s="284"/>
      <c r="BY97" s="264">
        <f t="shared" si="30"/>
        <v>-51322431.330000006</v>
      </c>
      <c r="BZ97" s="602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2"/>
      <c r="DI97" s="222"/>
      <c r="DJ97" s="222"/>
      <c r="DK97" s="222"/>
      <c r="DL97" s="222"/>
      <c r="DM97" s="222"/>
      <c r="DN97" s="222"/>
      <c r="DO97" s="222"/>
      <c r="DP97" s="222"/>
      <c r="DQ97" s="222"/>
      <c r="DR97" s="222"/>
      <c r="DS97" s="222"/>
      <c r="DT97" s="222"/>
      <c r="DU97" s="222"/>
      <c r="DV97" s="222"/>
      <c r="DW97" s="222"/>
      <c r="DX97" s="222"/>
      <c r="DY97" s="222"/>
      <c r="DZ97" s="222"/>
      <c r="EA97" s="222"/>
      <c r="EB97" s="222"/>
      <c r="EC97" s="222"/>
      <c r="ED97" s="222"/>
      <c r="EE97" s="222"/>
      <c r="EF97" s="222"/>
      <c r="EG97" s="222"/>
      <c r="EH97" s="222"/>
    </row>
    <row r="98" spans="1:138" ht="15.95">
      <c r="A98" s="505"/>
      <c r="B98" s="571" t="s">
        <v>287</v>
      </c>
      <c r="C98" s="592"/>
      <c r="D98" s="296" t="s">
        <v>223</v>
      </c>
      <c r="E98" s="297">
        <f t="shared" ref="E98:BX98" si="32">(E17+E23+E26+E34+E37+E49+E55+E63+E87+E90)</f>
        <v>0</v>
      </c>
      <c r="F98" s="297">
        <f t="shared" si="32"/>
        <v>0</v>
      </c>
      <c r="G98" s="297">
        <f t="shared" si="32"/>
        <v>0</v>
      </c>
      <c r="H98" s="297">
        <f t="shared" si="32"/>
        <v>-10737799.354999999</v>
      </c>
      <c r="I98" s="297">
        <f t="shared" si="32"/>
        <v>-1867696.1950000001</v>
      </c>
      <c r="J98" s="297">
        <f t="shared" si="32"/>
        <v>-1817623.665</v>
      </c>
      <c r="K98" s="297">
        <f t="shared" si="32"/>
        <v>-902873.87700000009</v>
      </c>
      <c r="L98" s="297">
        <f t="shared" si="32"/>
        <v>-5038194.0799999991</v>
      </c>
      <c r="M98" s="297">
        <f t="shared" si="32"/>
        <v>-10761502.959999999</v>
      </c>
      <c r="N98" s="297">
        <f t="shared" si="32"/>
        <v>-20069846.199999999</v>
      </c>
      <c r="O98" s="297">
        <f t="shared" si="32"/>
        <v>-9758870.4799999986</v>
      </c>
      <c r="P98" s="297">
        <f t="shared" si="32"/>
        <v>-12889323.373000002</v>
      </c>
      <c r="Q98" s="297">
        <f t="shared" si="32"/>
        <v>-10518924.400999999</v>
      </c>
      <c r="R98" s="297">
        <f t="shared" si="32"/>
        <v>-2999160.6644250001</v>
      </c>
      <c r="S98" s="297">
        <f t="shared" si="32"/>
        <v>-1735982.5351669777</v>
      </c>
      <c r="T98" s="297">
        <f t="shared" si="32"/>
        <v>-6605537.511033643</v>
      </c>
      <c r="U98" s="297">
        <f t="shared" si="32"/>
        <v>-5717790.5860336432</v>
      </c>
      <c r="V98" s="297">
        <f t="shared" si="32"/>
        <v>-5738190.5860336432</v>
      </c>
      <c r="W98" s="297">
        <f t="shared" si="32"/>
        <v>-5834130.5860336432</v>
      </c>
      <c r="X98" s="297">
        <f t="shared" si="32"/>
        <v>-5799900.5860336432</v>
      </c>
      <c r="Y98" s="297">
        <f t="shared" si="32"/>
        <v>-5940930.5860336432</v>
      </c>
      <c r="Z98" s="297">
        <f t="shared" si="32"/>
        <v>-1072300.3951669778</v>
      </c>
      <c r="AA98" s="297">
        <f t="shared" si="32"/>
        <v>-115443244.92748371</v>
      </c>
      <c r="AB98" s="297">
        <f t="shared" si="32"/>
        <v>0</v>
      </c>
      <c r="AC98" s="297">
        <f t="shared" si="32"/>
        <v>0</v>
      </c>
      <c r="AD98" s="297">
        <f t="shared" si="32"/>
        <v>0</v>
      </c>
      <c r="AE98" s="297">
        <f t="shared" si="32"/>
        <v>0</v>
      </c>
      <c r="AF98" s="297">
        <f t="shared" si="32"/>
        <v>0</v>
      </c>
      <c r="AG98" s="297">
        <f t="shared" si="32"/>
        <v>0</v>
      </c>
      <c r="AH98" s="297">
        <f t="shared" si="32"/>
        <v>0</v>
      </c>
      <c r="AI98" s="297">
        <f t="shared" si="32"/>
        <v>0</v>
      </c>
      <c r="AJ98" s="297">
        <f t="shared" si="32"/>
        <v>0</v>
      </c>
      <c r="AK98" s="297">
        <f t="shared" si="32"/>
        <v>0</v>
      </c>
      <c r="AL98" s="297">
        <f t="shared" si="32"/>
        <v>0</v>
      </c>
      <c r="AM98" s="297">
        <f t="shared" si="32"/>
        <v>0</v>
      </c>
      <c r="AN98" s="297">
        <f t="shared" si="32"/>
        <v>0</v>
      </c>
      <c r="AO98" s="297">
        <f t="shared" si="32"/>
        <v>0</v>
      </c>
      <c r="AP98" s="297">
        <f t="shared" si="32"/>
        <v>0</v>
      </c>
      <c r="AQ98" s="297">
        <f t="shared" si="32"/>
        <v>0</v>
      </c>
      <c r="AR98" s="297">
        <f t="shared" si="32"/>
        <v>0</v>
      </c>
      <c r="AS98" s="297">
        <f t="shared" si="32"/>
        <v>0</v>
      </c>
      <c r="AT98" s="297">
        <f t="shared" si="32"/>
        <v>0</v>
      </c>
      <c r="AU98" s="297">
        <f t="shared" si="32"/>
        <v>0</v>
      </c>
      <c r="AV98" s="297">
        <f t="shared" si="32"/>
        <v>0</v>
      </c>
      <c r="AW98" s="297">
        <f t="shared" si="32"/>
        <v>0</v>
      </c>
      <c r="AX98" s="297">
        <f t="shared" si="32"/>
        <v>0</v>
      </c>
      <c r="AY98" s="297">
        <f t="shared" si="32"/>
        <v>0</v>
      </c>
      <c r="AZ98" s="297">
        <f t="shared" si="32"/>
        <v>0</v>
      </c>
      <c r="BA98" s="297">
        <f t="shared" si="32"/>
        <v>0</v>
      </c>
      <c r="BB98" s="297">
        <f t="shared" si="32"/>
        <v>0</v>
      </c>
      <c r="BC98" s="297">
        <f t="shared" si="32"/>
        <v>0</v>
      </c>
      <c r="BD98" s="297">
        <f t="shared" si="32"/>
        <v>0</v>
      </c>
      <c r="BE98" s="297">
        <f t="shared" si="32"/>
        <v>0</v>
      </c>
      <c r="BF98" s="297">
        <f t="shared" si="32"/>
        <v>0</v>
      </c>
      <c r="BG98" s="297">
        <f t="shared" si="32"/>
        <v>0</v>
      </c>
      <c r="BH98" s="297">
        <f t="shared" si="32"/>
        <v>0</v>
      </c>
      <c r="BI98" s="297">
        <f t="shared" si="32"/>
        <v>0</v>
      </c>
      <c r="BJ98" s="297">
        <f t="shared" si="32"/>
        <v>0</v>
      </c>
      <c r="BK98" s="297">
        <f t="shared" si="32"/>
        <v>0</v>
      </c>
      <c r="BL98" s="297">
        <f t="shared" si="32"/>
        <v>0</v>
      </c>
      <c r="BM98" s="297">
        <f t="shared" si="32"/>
        <v>0</v>
      </c>
      <c r="BN98" s="297">
        <f t="shared" si="32"/>
        <v>0</v>
      </c>
      <c r="BO98" s="297">
        <f t="shared" si="32"/>
        <v>0</v>
      </c>
      <c r="BP98" s="297">
        <f t="shared" si="32"/>
        <v>0</v>
      </c>
      <c r="BQ98" s="297">
        <f t="shared" si="32"/>
        <v>0</v>
      </c>
      <c r="BR98" s="297">
        <f t="shared" si="32"/>
        <v>0</v>
      </c>
      <c r="BS98" s="297">
        <f t="shared" si="32"/>
        <v>0</v>
      </c>
      <c r="BT98" s="297">
        <f t="shared" si="32"/>
        <v>0</v>
      </c>
      <c r="BU98" s="297">
        <f t="shared" si="32"/>
        <v>0</v>
      </c>
      <c r="BV98" s="297">
        <f t="shared" si="32"/>
        <v>0</v>
      </c>
      <c r="BW98" s="297">
        <f t="shared" si="32"/>
        <v>0</v>
      </c>
      <c r="BX98" s="297">
        <f t="shared" si="32"/>
        <v>0</v>
      </c>
      <c r="BY98" s="565">
        <f>BZ91</f>
        <v>-117231183.33000001</v>
      </c>
      <c r="BZ98" s="601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</row>
    <row r="99" spans="1:138" ht="15.95">
      <c r="A99" s="505"/>
      <c r="B99" s="507"/>
      <c r="C99" s="507"/>
      <c r="D99" s="298"/>
      <c r="E99" s="299"/>
      <c r="F99" s="299"/>
      <c r="G99" s="299"/>
      <c r="H99" s="299">
        <f>H98</f>
        <v>-10737799.354999999</v>
      </c>
      <c r="I99" s="299">
        <f t="shared" ref="I99:N99" si="33">H99+I98</f>
        <v>-12605495.549999999</v>
      </c>
      <c r="J99" s="299">
        <f t="shared" si="33"/>
        <v>-14423119.215</v>
      </c>
      <c r="K99" s="299">
        <f t="shared" si="33"/>
        <v>-15325993.092</v>
      </c>
      <c r="L99" s="299">
        <f t="shared" si="33"/>
        <v>-20364187.171999998</v>
      </c>
      <c r="M99" s="299">
        <f t="shared" si="33"/>
        <v>-31125690.131999999</v>
      </c>
      <c r="N99" s="299">
        <f t="shared" si="33"/>
        <v>-51195536.332000002</v>
      </c>
      <c r="O99" s="300"/>
      <c r="P99" s="300"/>
      <c r="Q99" s="300"/>
      <c r="R99" s="300"/>
      <c r="S99" s="300"/>
      <c r="T99" s="300"/>
      <c r="U99" s="299"/>
      <c r="V99" s="299"/>
      <c r="W99" s="299"/>
      <c r="X99" s="300"/>
      <c r="Y99" s="300"/>
      <c r="Z99" s="300"/>
      <c r="AA99" s="300"/>
      <c r="AB99" s="300"/>
      <c r="AC99" s="299"/>
      <c r="AD99" s="300"/>
      <c r="AE99" s="300"/>
      <c r="AF99" s="300"/>
      <c r="AG99" s="300"/>
      <c r="AH99" s="300"/>
      <c r="AI99" s="300"/>
      <c r="AJ99" s="300"/>
      <c r="AK99" s="300"/>
      <c r="AL99" s="300"/>
      <c r="AM99" s="300"/>
      <c r="AN99" s="300"/>
      <c r="AO99" s="299"/>
      <c r="AP99" s="300"/>
      <c r="AQ99" s="300"/>
      <c r="AR99" s="300"/>
      <c r="AS99" s="299"/>
      <c r="AT99" s="299"/>
      <c r="AU99" s="299"/>
      <c r="AV99" s="299"/>
      <c r="AW99" s="299"/>
      <c r="AX99" s="299"/>
      <c r="AY99" s="299"/>
      <c r="AZ99" s="299"/>
      <c r="BA99" s="299"/>
      <c r="BB99" s="299"/>
      <c r="BC99" s="299"/>
      <c r="BD99" s="299"/>
      <c r="BE99" s="299"/>
      <c r="BF99" s="299"/>
      <c r="BG99" s="299"/>
      <c r="BH99" s="299"/>
      <c r="BI99" s="299"/>
      <c r="BJ99" s="299"/>
      <c r="BK99" s="299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301"/>
      <c r="BW99" s="301"/>
      <c r="BX99" s="301"/>
      <c r="BY99" s="302"/>
      <c r="BZ99" s="302"/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2"/>
      <c r="DI99" s="222"/>
      <c r="DJ99" s="222"/>
      <c r="DK99" s="222"/>
      <c r="DL99" s="222"/>
      <c r="DM99" s="222"/>
      <c r="DN99" s="222"/>
      <c r="DO99" s="222"/>
      <c r="DP99" s="222"/>
      <c r="DQ99" s="222"/>
      <c r="DR99" s="222"/>
      <c r="DS99" s="222"/>
      <c r="DT99" s="222"/>
      <c r="DU99" s="222"/>
      <c r="DV99" s="222"/>
      <c r="DW99" s="222"/>
      <c r="DX99" s="222"/>
      <c r="DY99" s="222"/>
      <c r="DZ99" s="222"/>
      <c r="EA99" s="222"/>
      <c r="EB99" s="222"/>
      <c r="EC99" s="222"/>
      <c r="ED99" s="222"/>
      <c r="EE99" s="222"/>
      <c r="EF99" s="222"/>
      <c r="EG99" s="222"/>
      <c r="EH99" s="222"/>
    </row>
    <row r="100" spans="1:138" ht="15.95">
      <c r="A100" s="505"/>
      <c r="B100" s="572" t="s">
        <v>288</v>
      </c>
      <c r="C100" s="592"/>
      <c r="D100" s="303"/>
      <c r="E100" s="299">
        <f t="shared" ref="E100:BX100" si="34">E16+E98</f>
        <v>0</v>
      </c>
      <c r="F100" s="299">
        <f t="shared" si="34"/>
        <v>0</v>
      </c>
      <c r="G100" s="299">
        <f t="shared" si="34"/>
        <v>0</v>
      </c>
      <c r="H100" s="299">
        <f t="shared" si="34"/>
        <v>5627202.6450000014</v>
      </c>
      <c r="I100" s="299">
        <f t="shared" si="34"/>
        <v>-1861469.1950000001</v>
      </c>
      <c r="J100" s="299">
        <f t="shared" si="34"/>
        <v>-1803035.665</v>
      </c>
      <c r="K100" s="299">
        <f t="shared" si="34"/>
        <v>439594.12299999991</v>
      </c>
      <c r="L100" s="299">
        <f t="shared" si="34"/>
        <v>-3040677.0799999991</v>
      </c>
      <c r="M100" s="300">
        <f t="shared" si="34"/>
        <v>57291.090000001714</v>
      </c>
      <c r="N100" s="299">
        <f t="shared" si="34"/>
        <v>-75913.25</v>
      </c>
      <c r="O100" s="300">
        <f t="shared" si="34"/>
        <v>32310.750000001863</v>
      </c>
      <c r="P100" s="300">
        <f t="shared" si="34"/>
        <v>72433.306999998167</v>
      </c>
      <c r="Q100" s="300">
        <f t="shared" si="34"/>
        <v>1568038.199000001</v>
      </c>
      <c r="R100" s="300">
        <f t="shared" si="34"/>
        <v>-1426722.4990530992</v>
      </c>
      <c r="S100" s="300">
        <f t="shared" si="34"/>
        <v>623433.47102310485</v>
      </c>
      <c r="T100" s="300">
        <f t="shared" si="34"/>
        <v>892920.56702420861</v>
      </c>
      <c r="U100" s="299">
        <f t="shared" si="34"/>
        <v>1539103.9706341252</v>
      </c>
      <c r="V100" s="299">
        <f t="shared" si="34"/>
        <v>-649065.00049645361</v>
      </c>
      <c r="W100" s="299">
        <f t="shared" si="34"/>
        <v>280484.37615643907</v>
      </c>
      <c r="X100" s="300">
        <f t="shared" si="34"/>
        <v>445824.37615643907</v>
      </c>
      <c r="Y100" s="300">
        <f t="shared" si="34"/>
        <v>548264.37615643907</v>
      </c>
      <c r="Z100" s="300">
        <f t="shared" si="34"/>
        <v>-1018885.4329768951</v>
      </c>
      <c r="AA100" s="300">
        <f t="shared" si="34"/>
        <v>24627275.59917298</v>
      </c>
      <c r="AB100" s="300">
        <f t="shared" si="34"/>
        <v>0</v>
      </c>
      <c r="AC100" s="299">
        <f t="shared" si="34"/>
        <v>0</v>
      </c>
      <c r="AD100" s="300">
        <f t="shared" si="34"/>
        <v>0</v>
      </c>
      <c r="AE100" s="300">
        <f t="shared" si="34"/>
        <v>0</v>
      </c>
      <c r="AF100" s="300">
        <f t="shared" si="34"/>
        <v>0</v>
      </c>
      <c r="AG100" s="300">
        <f t="shared" si="34"/>
        <v>0</v>
      </c>
      <c r="AH100" s="300">
        <f t="shared" si="34"/>
        <v>0</v>
      </c>
      <c r="AI100" s="300">
        <f t="shared" si="34"/>
        <v>0</v>
      </c>
      <c r="AJ100" s="300">
        <f t="shared" si="34"/>
        <v>0</v>
      </c>
      <c r="AK100" s="300">
        <f t="shared" si="34"/>
        <v>0</v>
      </c>
      <c r="AL100" s="300">
        <f t="shared" si="34"/>
        <v>0</v>
      </c>
      <c r="AM100" s="300">
        <f t="shared" si="34"/>
        <v>0</v>
      </c>
      <c r="AN100" s="300">
        <f t="shared" si="34"/>
        <v>0</v>
      </c>
      <c r="AO100" s="299">
        <f t="shared" si="34"/>
        <v>0</v>
      </c>
      <c r="AP100" s="300">
        <f t="shared" si="34"/>
        <v>0</v>
      </c>
      <c r="AQ100" s="300">
        <f t="shared" si="34"/>
        <v>0</v>
      </c>
      <c r="AR100" s="300">
        <f t="shared" si="34"/>
        <v>0</v>
      </c>
      <c r="AS100" s="299">
        <f t="shared" si="34"/>
        <v>0</v>
      </c>
      <c r="AT100" s="299">
        <f t="shared" si="34"/>
        <v>0</v>
      </c>
      <c r="AU100" s="299">
        <f t="shared" si="34"/>
        <v>0</v>
      </c>
      <c r="AV100" s="299">
        <f t="shared" si="34"/>
        <v>0</v>
      </c>
      <c r="AW100" s="299">
        <f t="shared" si="34"/>
        <v>0</v>
      </c>
      <c r="AX100" s="299">
        <f t="shared" si="34"/>
        <v>0</v>
      </c>
      <c r="AY100" s="299">
        <f t="shared" si="34"/>
        <v>0</v>
      </c>
      <c r="AZ100" s="299">
        <f t="shared" si="34"/>
        <v>0</v>
      </c>
      <c r="BA100" s="299">
        <f t="shared" si="34"/>
        <v>0</v>
      </c>
      <c r="BB100" s="299">
        <f t="shared" si="34"/>
        <v>0</v>
      </c>
      <c r="BC100" s="299">
        <f t="shared" si="34"/>
        <v>0</v>
      </c>
      <c r="BD100" s="299">
        <f t="shared" si="34"/>
        <v>0</v>
      </c>
      <c r="BE100" s="299">
        <f t="shared" si="34"/>
        <v>0</v>
      </c>
      <c r="BF100" s="299">
        <f t="shared" si="34"/>
        <v>0</v>
      </c>
      <c r="BG100" s="299">
        <f t="shared" si="34"/>
        <v>0</v>
      </c>
      <c r="BH100" s="299">
        <f t="shared" si="34"/>
        <v>0</v>
      </c>
      <c r="BI100" s="299">
        <f t="shared" si="34"/>
        <v>0</v>
      </c>
      <c r="BJ100" s="299">
        <f t="shared" si="34"/>
        <v>0</v>
      </c>
      <c r="BK100" s="299">
        <f t="shared" si="34"/>
        <v>0</v>
      </c>
      <c r="BL100" s="304">
        <f t="shared" si="34"/>
        <v>0</v>
      </c>
      <c r="BM100" s="304">
        <f t="shared" si="34"/>
        <v>0</v>
      </c>
      <c r="BN100" s="304">
        <f t="shared" si="34"/>
        <v>0</v>
      </c>
      <c r="BO100" s="304">
        <f t="shared" si="34"/>
        <v>0</v>
      </c>
      <c r="BP100" s="304">
        <f t="shared" si="34"/>
        <v>0</v>
      </c>
      <c r="BQ100" s="304">
        <f t="shared" si="34"/>
        <v>0</v>
      </c>
      <c r="BR100" s="304">
        <f t="shared" si="34"/>
        <v>0</v>
      </c>
      <c r="BS100" s="304">
        <f t="shared" si="34"/>
        <v>0</v>
      </c>
      <c r="BT100" s="304">
        <f t="shared" si="34"/>
        <v>0</v>
      </c>
      <c r="BU100" s="304">
        <f t="shared" si="34"/>
        <v>0</v>
      </c>
      <c r="BV100" s="304">
        <f t="shared" si="34"/>
        <v>0</v>
      </c>
      <c r="BW100" s="304">
        <f t="shared" si="34"/>
        <v>0</v>
      </c>
      <c r="BX100" s="304">
        <f t="shared" si="34"/>
        <v>0</v>
      </c>
      <c r="BY100" s="566">
        <f>BY16+BY90+BY98</f>
        <v>26413889.72779727</v>
      </c>
      <c r="BZ100" s="603"/>
      <c r="CA100" s="222"/>
      <c r="CB100" s="222"/>
      <c r="CC100" s="222"/>
      <c r="CD100" s="222"/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2"/>
      <c r="CQ100" s="222"/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E100" s="222"/>
      <c r="EF100" s="222"/>
      <c r="EG100" s="222"/>
      <c r="EH100" s="222"/>
    </row>
    <row r="101" spans="1:138">
      <c r="A101" s="505"/>
      <c r="B101" s="573" t="s">
        <v>289</v>
      </c>
      <c r="C101" s="592"/>
      <c r="D101" s="305"/>
      <c r="E101" s="306">
        <f>E100</f>
        <v>0</v>
      </c>
      <c r="F101" s="306">
        <f>F100+E101</f>
        <v>0</v>
      </c>
      <c r="G101" s="306">
        <f>655760.63+24.98*24.5-16.85*22</f>
        <v>656001.94000000006</v>
      </c>
      <c r="H101" s="306">
        <f>H100+G101-66</f>
        <v>6283138.5850000018</v>
      </c>
      <c r="I101" s="306">
        <f t="shared" ref="I101:BX101" si="35">I100+H101</f>
        <v>4421669.3900000015</v>
      </c>
      <c r="J101" s="306">
        <f t="shared" si="35"/>
        <v>2618633.7250000015</v>
      </c>
      <c r="K101" s="306">
        <f t="shared" si="35"/>
        <v>3058227.8480000012</v>
      </c>
      <c r="L101" s="306">
        <f t="shared" si="35"/>
        <v>17550.768000002019</v>
      </c>
      <c r="M101" s="306">
        <f t="shared" si="35"/>
        <v>74841.858000003733</v>
      </c>
      <c r="N101" s="306">
        <f t="shared" si="35"/>
        <v>-1071.3919999962673</v>
      </c>
      <c r="O101" s="306">
        <f t="shared" si="35"/>
        <v>31239.358000005595</v>
      </c>
      <c r="P101" s="306">
        <f t="shared" si="35"/>
        <v>103672.66500000376</v>
      </c>
      <c r="Q101" s="306">
        <f t="shared" si="35"/>
        <v>1671710.8640000047</v>
      </c>
      <c r="R101" s="306">
        <f t="shared" si="35"/>
        <v>244988.36494690552</v>
      </c>
      <c r="S101" s="306">
        <f t="shared" si="35"/>
        <v>868421.83597001038</v>
      </c>
      <c r="T101" s="306">
        <f t="shared" si="35"/>
        <v>1761342.402994219</v>
      </c>
      <c r="U101" s="306">
        <f t="shared" si="35"/>
        <v>3300446.3736283444</v>
      </c>
      <c r="V101" s="306">
        <f t="shared" si="35"/>
        <v>2651381.3731318908</v>
      </c>
      <c r="W101" s="306">
        <f t="shared" si="35"/>
        <v>2931865.7492883299</v>
      </c>
      <c r="X101" s="306">
        <f t="shared" si="35"/>
        <v>3377690.1254447689</v>
      </c>
      <c r="Y101" s="306">
        <f t="shared" si="35"/>
        <v>3925954.501601208</v>
      </c>
      <c r="Z101" s="306">
        <f t="shared" si="35"/>
        <v>2907069.068624313</v>
      </c>
      <c r="AA101" s="306">
        <f t="shared" si="35"/>
        <v>27534344.667797294</v>
      </c>
      <c r="AB101" s="306">
        <f t="shared" si="35"/>
        <v>27534344.667797294</v>
      </c>
      <c r="AC101" s="306">
        <f t="shared" si="35"/>
        <v>27534344.667797294</v>
      </c>
      <c r="AD101" s="306">
        <f t="shared" si="35"/>
        <v>27534344.667797294</v>
      </c>
      <c r="AE101" s="306">
        <f t="shared" si="35"/>
        <v>27534344.667797294</v>
      </c>
      <c r="AF101" s="306">
        <f t="shared" si="35"/>
        <v>27534344.667797294</v>
      </c>
      <c r="AG101" s="306">
        <f t="shared" si="35"/>
        <v>27534344.667797294</v>
      </c>
      <c r="AH101" s="306">
        <f t="shared" si="35"/>
        <v>27534344.667797294</v>
      </c>
      <c r="AI101" s="306">
        <f t="shared" si="35"/>
        <v>27534344.667797294</v>
      </c>
      <c r="AJ101" s="306">
        <f t="shared" si="35"/>
        <v>27534344.667797294</v>
      </c>
      <c r="AK101" s="306">
        <f t="shared" si="35"/>
        <v>27534344.667797294</v>
      </c>
      <c r="AL101" s="306">
        <f t="shared" si="35"/>
        <v>27534344.667797294</v>
      </c>
      <c r="AM101" s="306">
        <f t="shared" si="35"/>
        <v>27534344.667797294</v>
      </c>
      <c r="AN101" s="306">
        <f t="shared" si="35"/>
        <v>27534344.667797294</v>
      </c>
      <c r="AO101" s="306">
        <f t="shared" si="35"/>
        <v>27534344.667797294</v>
      </c>
      <c r="AP101" s="306">
        <f t="shared" si="35"/>
        <v>27534344.667797294</v>
      </c>
      <c r="AQ101" s="306">
        <f t="shared" si="35"/>
        <v>27534344.667797294</v>
      </c>
      <c r="AR101" s="306">
        <f t="shared" si="35"/>
        <v>27534344.667797294</v>
      </c>
      <c r="AS101" s="306">
        <f t="shared" si="35"/>
        <v>27534344.667797294</v>
      </c>
      <c r="AT101" s="306">
        <f t="shared" si="35"/>
        <v>27534344.667797294</v>
      </c>
      <c r="AU101" s="306">
        <f t="shared" si="35"/>
        <v>27534344.667797294</v>
      </c>
      <c r="AV101" s="306">
        <f t="shared" si="35"/>
        <v>27534344.667797294</v>
      </c>
      <c r="AW101" s="306">
        <f t="shared" si="35"/>
        <v>27534344.667797294</v>
      </c>
      <c r="AX101" s="306">
        <f t="shared" si="35"/>
        <v>27534344.667797294</v>
      </c>
      <c r="AY101" s="306">
        <f t="shared" si="35"/>
        <v>27534344.667797294</v>
      </c>
      <c r="AZ101" s="306">
        <f t="shared" si="35"/>
        <v>27534344.667797294</v>
      </c>
      <c r="BA101" s="306">
        <f t="shared" si="35"/>
        <v>27534344.667797294</v>
      </c>
      <c r="BB101" s="306">
        <f t="shared" si="35"/>
        <v>27534344.667797294</v>
      </c>
      <c r="BC101" s="306">
        <f t="shared" si="35"/>
        <v>27534344.667797294</v>
      </c>
      <c r="BD101" s="306">
        <f t="shared" si="35"/>
        <v>27534344.667797294</v>
      </c>
      <c r="BE101" s="306">
        <f t="shared" si="35"/>
        <v>27534344.667797294</v>
      </c>
      <c r="BF101" s="306">
        <f t="shared" si="35"/>
        <v>27534344.667797294</v>
      </c>
      <c r="BG101" s="306">
        <f t="shared" si="35"/>
        <v>27534344.667797294</v>
      </c>
      <c r="BH101" s="306">
        <f t="shared" si="35"/>
        <v>27534344.667797294</v>
      </c>
      <c r="BI101" s="306">
        <f t="shared" si="35"/>
        <v>27534344.667797294</v>
      </c>
      <c r="BJ101" s="306">
        <f t="shared" si="35"/>
        <v>27534344.667797294</v>
      </c>
      <c r="BK101" s="306">
        <f t="shared" si="35"/>
        <v>27534344.667797294</v>
      </c>
      <c r="BL101" s="306">
        <f t="shared" si="35"/>
        <v>27534344.667797294</v>
      </c>
      <c r="BM101" s="306">
        <f t="shared" si="35"/>
        <v>27534344.667797294</v>
      </c>
      <c r="BN101" s="306">
        <f t="shared" si="35"/>
        <v>27534344.667797294</v>
      </c>
      <c r="BO101" s="306">
        <f t="shared" si="35"/>
        <v>27534344.667797294</v>
      </c>
      <c r="BP101" s="306">
        <f t="shared" si="35"/>
        <v>27534344.667797294</v>
      </c>
      <c r="BQ101" s="306">
        <f t="shared" si="35"/>
        <v>27534344.667797294</v>
      </c>
      <c r="BR101" s="306">
        <f t="shared" si="35"/>
        <v>27534344.667797294</v>
      </c>
      <c r="BS101" s="306">
        <f t="shared" si="35"/>
        <v>27534344.667797294</v>
      </c>
      <c r="BT101" s="306">
        <f t="shared" si="35"/>
        <v>27534344.667797294</v>
      </c>
      <c r="BU101" s="306">
        <f t="shared" si="35"/>
        <v>27534344.667797294</v>
      </c>
      <c r="BV101" s="306">
        <f t="shared" si="35"/>
        <v>27534344.667797294</v>
      </c>
      <c r="BW101" s="306">
        <f t="shared" si="35"/>
        <v>27534344.667797294</v>
      </c>
      <c r="BX101" s="306">
        <f t="shared" si="35"/>
        <v>27534344.667797294</v>
      </c>
      <c r="BY101" s="222"/>
      <c r="BZ101" s="222"/>
      <c r="CA101" s="222"/>
      <c r="CB101" s="222"/>
      <c r="CC101" s="222"/>
      <c r="CD101" s="222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2"/>
      <c r="CV101" s="222"/>
      <c r="CW101" s="222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2"/>
      <c r="DI101" s="222"/>
      <c r="DJ101" s="222"/>
      <c r="DK101" s="222"/>
      <c r="DL101" s="222"/>
      <c r="DM101" s="222"/>
      <c r="DN101" s="222"/>
      <c r="DO101" s="222"/>
      <c r="DP101" s="222"/>
      <c r="DQ101" s="222"/>
      <c r="DR101" s="222"/>
      <c r="DS101" s="222"/>
      <c r="DT101" s="222"/>
      <c r="DU101" s="222"/>
      <c r="DV101" s="222"/>
      <c r="DW101" s="222"/>
      <c r="DX101" s="222"/>
      <c r="DY101" s="222"/>
      <c r="DZ101" s="222"/>
      <c r="EA101" s="222"/>
      <c r="EB101" s="222"/>
      <c r="EC101" s="222"/>
      <c r="ED101" s="222"/>
      <c r="EE101" s="222"/>
      <c r="EF101" s="222"/>
      <c r="EG101" s="222"/>
      <c r="EH101" s="222"/>
    </row>
    <row r="102" spans="1:138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>
        <f>Z101+SUM('Cash-flow 04.02.2025'!R12:Z12)</f>
        <v>9038374.0886243135</v>
      </c>
      <c r="AA102" s="222">
        <f>SUM('Cash-flow 04.02.2025'!R14:Z14)-SUM(R14:Z14)</f>
        <v>-640675.81200000015</v>
      </c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307"/>
      <c r="BZ102" s="222">
        <f>T101-8333333</f>
        <v>-6571990.5970057808</v>
      </c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</row>
    <row r="103" spans="1:138" hidden="1">
      <c r="A103" s="222"/>
      <c r="B103" s="222"/>
      <c r="C103" s="222"/>
      <c r="D103" s="308" t="s">
        <v>290</v>
      </c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9"/>
      <c r="W103" s="309"/>
      <c r="X103" s="309"/>
      <c r="Y103" s="309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09"/>
      <c r="AR103" s="309"/>
      <c r="AS103" s="309"/>
      <c r="AT103" s="309"/>
      <c r="AU103" s="309"/>
      <c r="AV103" s="309"/>
      <c r="AW103" s="309"/>
      <c r="AX103" s="309"/>
      <c r="AY103" s="309"/>
      <c r="AZ103" s="309"/>
      <c r="BA103" s="309"/>
      <c r="BB103" s="309"/>
      <c r="BC103" s="309"/>
      <c r="BD103" s="309"/>
      <c r="BE103" s="309"/>
      <c r="BF103" s="309"/>
      <c r="BG103" s="309"/>
      <c r="BH103" s="309"/>
      <c r="BI103" s="309"/>
      <c r="BJ103" s="309"/>
      <c r="BK103" s="309"/>
      <c r="BL103" s="309"/>
      <c r="BM103" s="309"/>
      <c r="BN103" s="309"/>
      <c r="BO103" s="309"/>
      <c r="BP103" s="309"/>
      <c r="BQ103" s="309"/>
      <c r="BR103" s="309"/>
      <c r="BS103" s="309"/>
      <c r="BT103" s="309"/>
      <c r="BU103" s="309"/>
      <c r="BV103" s="309"/>
      <c r="BW103" s="309"/>
      <c r="BX103" s="309"/>
      <c r="BY103" s="307"/>
      <c r="BZ103" s="222"/>
      <c r="CA103" s="222"/>
      <c r="CB103" s="222"/>
      <c r="CC103" s="222"/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2"/>
      <c r="CV103" s="222"/>
      <c r="CW103" s="222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2"/>
      <c r="DI103" s="222"/>
      <c r="DJ103" s="222"/>
      <c r="DK103" s="222"/>
      <c r="DL103" s="222"/>
      <c r="DM103" s="222"/>
      <c r="DN103" s="222"/>
      <c r="DO103" s="222"/>
      <c r="DP103" s="222"/>
      <c r="DQ103" s="222"/>
      <c r="DR103" s="222"/>
      <c r="DS103" s="222"/>
      <c r="DT103" s="222"/>
      <c r="DU103" s="222"/>
      <c r="DV103" s="222"/>
      <c r="DW103" s="222"/>
      <c r="DX103" s="222"/>
      <c r="DY103" s="222"/>
      <c r="DZ103" s="222"/>
      <c r="EA103" s="222"/>
      <c r="EB103" s="222"/>
      <c r="EC103" s="222"/>
      <c r="ED103" s="222"/>
      <c r="EE103" s="222"/>
      <c r="EF103" s="222"/>
      <c r="EG103" s="222"/>
      <c r="EH103" s="222"/>
    </row>
    <row r="104" spans="1:138" hidden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307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</row>
    <row r="105" spans="1:138" hidden="1">
      <c r="A105" s="222"/>
      <c r="B105" s="222"/>
      <c r="C105" s="310" t="s">
        <v>291</v>
      </c>
      <c r="D105" s="311"/>
      <c r="E105" s="312">
        <f>E113+E131+E163+E179</f>
        <v>0</v>
      </c>
      <c r="F105" s="312">
        <f t="shared" ref="F105:BW105" si="36">F113+F179</f>
        <v>0</v>
      </c>
      <c r="G105" s="312">
        <f t="shared" si="36"/>
        <v>0</v>
      </c>
      <c r="H105" s="312">
        <f t="shared" si="36"/>
        <v>-5341205.5</v>
      </c>
      <c r="I105" s="312">
        <f t="shared" si="36"/>
        <v>0</v>
      </c>
      <c r="J105" s="312">
        <f t="shared" si="36"/>
        <v>0</v>
      </c>
      <c r="K105" s="312">
        <f t="shared" si="36"/>
        <v>-885000</v>
      </c>
      <c r="L105" s="312">
        <f t="shared" si="36"/>
        <v>-1940000</v>
      </c>
      <c r="M105" s="312">
        <f t="shared" si="36"/>
        <v>-4260000</v>
      </c>
      <c r="N105" s="312">
        <f t="shared" si="36"/>
        <v>0</v>
      </c>
      <c r="O105" s="312">
        <f t="shared" si="36"/>
        <v>-320000</v>
      </c>
      <c r="P105" s="312">
        <f t="shared" si="36"/>
        <v>-320000</v>
      </c>
      <c r="Q105" s="312">
        <f t="shared" si="36"/>
        <v>0</v>
      </c>
      <c r="R105" s="312">
        <f t="shared" si="36"/>
        <v>-1500000</v>
      </c>
      <c r="S105" s="312">
        <f t="shared" si="36"/>
        <v>-2300000</v>
      </c>
      <c r="T105" s="312">
        <f t="shared" si="36"/>
        <v>-1958794.5</v>
      </c>
      <c r="U105" s="312">
        <f t="shared" si="36"/>
        <v>-5000000</v>
      </c>
      <c r="V105" s="312">
        <f t="shared" si="36"/>
        <v>-1000000</v>
      </c>
      <c r="W105" s="312">
        <f t="shared" si="36"/>
        <v>0</v>
      </c>
      <c r="X105" s="312">
        <f t="shared" si="36"/>
        <v>0</v>
      </c>
      <c r="Y105" s="312">
        <f t="shared" si="36"/>
        <v>0</v>
      </c>
      <c r="Z105" s="312">
        <f t="shared" si="36"/>
        <v>0</v>
      </c>
      <c r="AA105" s="312">
        <f t="shared" si="36"/>
        <v>41190002</v>
      </c>
      <c r="AB105" s="312">
        <f t="shared" si="36"/>
        <v>0</v>
      </c>
      <c r="AC105" s="312">
        <f t="shared" si="36"/>
        <v>0</v>
      </c>
      <c r="AD105" s="312">
        <f t="shared" si="36"/>
        <v>0</v>
      </c>
      <c r="AE105" s="312">
        <f t="shared" si="36"/>
        <v>0</v>
      </c>
      <c r="AF105" s="312">
        <f t="shared" si="36"/>
        <v>0</v>
      </c>
      <c r="AG105" s="312">
        <f t="shared" si="36"/>
        <v>0</v>
      </c>
      <c r="AH105" s="312">
        <f t="shared" si="36"/>
        <v>0</v>
      </c>
      <c r="AI105" s="312">
        <f t="shared" si="36"/>
        <v>0</v>
      </c>
      <c r="AJ105" s="312">
        <f t="shared" si="36"/>
        <v>0</v>
      </c>
      <c r="AK105" s="312">
        <f t="shared" si="36"/>
        <v>0</v>
      </c>
      <c r="AL105" s="312">
        <f t="shared" si="36"/>
        <v>0</v>
      </c>
      <c r="AM105" s="312">
        <f t="shared" si="36"/>
        <v>0</v>
      </c>
      <c r="AN105" s="312">
        <f t="shared" si="36"/>
        <v>0</v>
      </c>
      <c r="AO105" s="312">
        <f t="shared" si="36"/>
        <v>0</v>
      </c>
      <c r="AP105" s="312">
        <f t="shared" si="36"/>
        <v>0</v>
      </c>
      <c r="AQ105" s="312">
        <f t="shared" si="36"/>
        <v>0</v>
      </c>
      <c r="AR105" s="312">
        <f t="shared" si="36"/>
        <v>0</v>
      </c>
      <c r="AS105" s="312">
        <f t="shared" si="36"/>
        <v>0</v>
      </c>
      <c r="AT105" s="312">
        <f t="shared" si="36"/>
        <v>0</v>
      </c>
      <c r="AU105" s="312">
        <f t="shared" si="36"/>
        <v>0</v>
      </c>
      <c r="AV105" s="312">
        <f t="shared" si="36"/>
        <v>0</v>
      </c>
      <c r="AW105" s="312">
        <f t="shared" si="36"/>
        <v>0</v>
      </c>
      <c r="AX105" s="312">
        <f t="shared" si="36"/>
        <v>0</v>
      </c>
      <c r="AY105" s="312">
        <f t="shared" si="36"/>
        <v>0</v>
      </c>
      <c r="AZ105" s="312">
        <f t="shared" si="36"/>
        <v>0</v>
      </c>
      <c r="BA105" s="312">
        <f t="shared" si="36"/>
        <v>0</v>
      </c>
      <c r="BB105" s="312">
        <f t="shared" si="36"/>
        <v>0</v>
      </c>
      <c r="BC105" s="312">
        <f t="shared" si="36"/>
        <v>0</v>
      </c>
      <c r="BD105" s="312">
        <f t="shared" si="36"/>
        <v>0</v>
      </c>
      <c r="BE105" s="312">
        <f t="shared" si="36"/>
        <v>0</v>
      </c>
      <c r="BF105" s="312">
        <f t="shared" si="36"/>
        <v>0</v>
      </c>
      <c r="BG105" s="312">
        <f t="shared" si="36"/>
        <v>0</v>
      </c>
      <c r="BH105" s="312">
        <f t="shared" si="36"/>
        <v>0</v>
      </c>
      <c r="BI105" s="312">
        <f t="shared" si="36"/>
        <v>0</v>
      </c>
      <c r="BJ105" s="312">
        <f t="shared" si="36"/>
        <v>0</v>
      </c>
      <c r="BK105" s="312">
        <f t="shared" si="36"/>
        <v>0</v>
      </c>
      <c r="BL105" s="312">
        <f t="shared" si="36"/>
        <v>0</v>
      </c>
      <c r="BM105" s="312">
        <f t="shared" si="36"/>
        <v>0</v>
      </c>
      <c r="BN105" s="312">
        <f t="shared" si="36"/>
        <v>0</v>
      </c>
      <c r="BO105" s="312">
        <f t="shared" si="36"/>
        <v>0</v>
      </c>
      <c r="BP105" s="312">
        <f t="shared" si="36"/>
        <v>0</v>
      </c>
      <c r="BQ105" s="312">
        <f t="shared" si="36"/>
        <v>0</v>
      </c>
      <c r="BR105" s="312">
        <f t="shared" si="36"/>
        <v>0</v>
      </c>
      <c r="BS105" s="312">
        <f t="shared" si="36"/>
        <v>0</v>
      </c>
      <c r="BT105" s="312">
        <f t="shared" si="36"/>
        <v>0</v>
      </c>
      <c r="BU105" s="312">
        <f t="shared" si="36"/>
        <v>0</v>
      </c>
      <c r="BV105" s="312">
        <f t="shared" si="36"/>
        <v>0</v>
      </c>
      <c r="BW105" s="312">
        <f t="shared" si="36"/>
        <v>0</v>
      </c>
      <c r="BX105" s="312">
        <f>BX113+BX179+BX101</f>
        <v>27534344.667797294</v>
      </c>
      <c r="BY105" s="307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</row>
    <row r="106" spans="1:138" hidden="1">
      <c r="A106" s="222"/>
      <c r="B106" s="222"/>
      <c r="C106" s="313" t="s">
        <v>292</v>
      </c>
      <c r="D106" s="574">
        <f>IRR(E105:BX105)*12</f>
        <v>0.56885584728005778</v>
      </c>
      <c r="E106" s="599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22"/>
      <c r="BU106" s="222"/>
      <c r="BV106" s="222"/>
      <c r="BW106" s="222"/>
      <c r="BX106" s="222"/>
      <c r="BY106" s="307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  <c r="DF106" s="222"/>
      <c r="DG106" s="222"/>
      <c r="DH106" s="222"/>
      <c r="DI106" s="222"/>
      <c r="DJ106" s="222"/>
      <c r="DK106" s="222"/>
      <c r="DL106" s="222"/>
      <c r="DM106" s="222"/>
      <c r="DN106" s="222"/>
      <c r="DO106" s="222"/>
      <c r="DP106" s="222"/>
      <c r="DQ106" s="222"/>
      <c r="DR106" s="222"/>
      <c r="DS106" s="222"/>
      <c r="DT106" s="222"/>
      <c r="DU106" s="222"/>
      <c r="DV106" s="222"/>
      <c r="DW106" s="222"/>
      <c r="DX106" s="222"/>
      <c r="DY106" s="222"/>
      <c r="DZ106" s="222"/>
      <c r="EA106" s="222"/>
      <c r="EB106" s="222"/>
      <c r="EC106" s="222"/>
      <c r="ED106" s="222"/>
      <c r="EE106" s="222"/>
      <c r="EF106" s="222"/>
      <c r="EG106" s="222"/>
      <c r="EH106" s="222"/>
    </row>
    <row r="107" spans="1:138" hidden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307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2"/>
      <c r="DD107" s="222"/>
      <c r="DE107" s="222"/>
      <c r="DF107" s="222"/>
      <c r="DG107" s="222"/>
      <c r="DH107" s="222"/>
      <c r="DI107" s="222"/>
      <c r="DJ107" s="222"/>
      <c r="DK107" s="222"/>
      <c r="DL107" s="222"/>
      <c r="DM107" s="222"/>
      <c r="DN107" s="222"/>
      <c r="DO107" s="222"/>
      <c r="DP107" s="222"/>
      <c r="DQ107" s="222"/>
      <c r="DR107" s="222"/>
      <c r="DS107" s="222"/>
      <c r="DT107" s="222"/>
      <c r="DU107" s="222"/>
      <c r="DV107" s="222"/>
      <c r="DW107" s="222"/>
      <c r="DX107" s="222"/>
      <c r="DY107" s="222"/>
      <c r="DZ107" s="222"/>
      <c r="EA107" s="222"/>
      <c r="EB107" s="222"/>
      <c r="EC107" s="222"/>
      <c r="ED107" s="222"/>
      <c r="EE107" s="222"/>
      <c r="EF107" s="222"/>
      <c r="EG107" s="222"/>
      <c r="EH107" s="222"/>
    </row>
    <row r="108" spans="1:138" hidden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2"/>
      <c r="BN108" s="222"/>
      <c r="BO108" s="222"/>
      <c r="BP108" s="222"/>
      <c r="BQ108" s="222"/>
      <c r="BR108" s="222"/>
      <c r="BS108" s="222"/>
      <c r="BT108" s="222"/>
      <c r="BU108" s="222"/>
      <c r="BV108" s="222"/>
      <c r="BW108" s="222"/>
      <c r="BX108" s="222"/>
      <c r="BY108" s="307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2"/>
      <c r="DD108" s="222"/>
      <c r="DE108" s="222"/>
      <c r="DF108" s="222"/>
      <c r="DG108" s="222"/>
      <c r="DH108" s="222"/>
      <c r="DI108" s="222"/>
      <c r="DJ108" s="222"/>
      <c r="DK108" s="222"/>
      <c r="DL108" s="222"/>
      <c r="DM108" s="222"/>
      <c r="DN108" s="222"/>
      <c r="DO108" s="222"/>
      <c r="DP108" s="222"/>
      <c r="DQ108" s="222"/>
      <c r="DR108" s="222"/>
      <c r="DS108" s="222"/>
      <c r="DT108" s="222"/>
      <c r="DU108" s="222"/>
      <c r="DV108" s="222"/>
      <c r="DW108" s="222"/>
      <c r="DX108" s="222"/>
      <c r="DY108" s="222"/>
      <c r="DZ108" s="222"/>
      <c r="EA108" s="222"/>
      <c r="EB108" s="222"/>
      <c r="EC108" s="222"/>
      <c r="ED108" s="222"/>
      <c r="EE108" s="222"/>
      <c r="EF108" s="222"/>
      <c r="EG108" s="222"/>
      <c r="EH108" s="222"/>
    </row>
    <row r="109" spans="1:138" ht="17.100000000000001" hidden="1">
      <c r="A109" s="222"/>
      <c r="B109" s="222"/>
      <c r="C109" s="310" t="s">
        <v>293</v>
      </c>
      <c r="D109" s="604"/>
      <c r="E109" s="598"/>
      <c r="F109" s="598"/>
      <c r="G109" s="598"/>
      <c r="H109" s="598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8"/>
      <c r="Z109" s="598"/>
      <c r="AA109" s="598"/>
      <c r="AB109" s="598"/>
      <c r="AC109" s="598"/>
      <c r="AD109" s="598"/>
      <c r="AE109" s="598"/>
      <c r="AF109" s="598"/>
      <c r="AG109" s="598"/>
      <c r="AH109" s="598"/>
      <c r="AI109" s="598"/>
      <c r="AJ109" s="598"/>
      <c r="AK109" s="598"/>
      <c r="AL109" s="598"/>
      <c r="AM109" s="598"/>
      <c r="AN109" s="598"/>
      <c r="AO109" s="598"/>
      <c r="AP109" s="598"/>
      <c r="AQ109" s="598"/>
      <c r="AR109" s="598"/>
      <c r="AS109" s="598"/>
      <c r="AT109" s="598"/>
      <c r="AU109" s="598"/>
      <c r="AV109" s="598"/>
      <c r="AW109" s="598"/>
      <c r="AX109" s="598"/>
      <c r="AY109" s="598"/>
      <c r="AZ109" s="598"/>
      <c r="BA109" s="598"/>
      <c r="BB109" s="598"/>
      <c r="BC109" s="598"/>
      <c r="BD109" s="598"/>
      <c r="BE109" s="598"/>
      <c r="BF109" s="598"/>
      <c r="BG109" s="598"/>
      <c r="BH109" s="598"/>
      <c r="BI109" s="598"/>
      <c r="BJ109" s="598"/>
      <c r="BK109" s="598"/>
      <c r="BL109" s="598"/>
      <c r="BM109" s="598"/>
      <c r="BN109" s="598"/>
      <c r="BO109" s="598"/>
      <c r="BP109" s="598"/>
      <c r="BQ109" s="598"/>
      <c r="BR109" s="598"/>
      <c r="BS109" s="598"/>
      <c r="BT109" s="598"/>
      <c r="BU109" s="598"/>
      <c r="BV109" s="598"/>
      <c r="BW109" s="599"/>
      <c r="BX109" s="315">
        <f>BX101*C110</f>
        <v>5506868.9335594587</v>
      </c>
      <c r="BY109" s="307"/>
      <c r="BZ109" s="222"/>
      <c r="CA109" s="222"/>
      <c r="CB109" s="222"/>
      <c r="CC109" s="222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222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222"/>
      <c r="DA109" s="222"/>
      <c r="DB109" s="222"/>
      <c r="DC109" s="222"/>
      <c r="DD109" s="222"/>
      <c r="DE109" s="222"/>
      <c r="DF109" s="222"/>
      <c r="DG109" s="222"/>
      <c r="DH109" s="222"/>
      <c r="DI109" s="222"/>
      <c r="DJ109" s="222"/>
      <c r="DK109" s="222"/>
      <c r="DL109" s="222"/>
      <c r="DM109" s="222"/>
      <c r="DN109" s="222"/>
      <c r="DO109" s="222"/>
      <c r="DP109" s="222"/>
      <c r="DQ109" s="222"/>
      <c r="DR109" s="222"/>
      <c r="DS109" s="222"/>
      <c r="DT109" s="222"/>
      <c r="DU109" s="222"/>
      <c r="DV109" s="222"/>
      <c r="DW109" s="222"/>
      <c r="DX109" s="222"/>
      <c r="DY109" s="222"/>
      <c r="DZ109" s="222"/>
      <c r="EA109" s="222"/>
      <c r="EB109" s="222"/>
      <c r="EC109" s="222"/>
      <c r="ED109" s="222"/>
      <c r="EE109" s="222"/>
      <c r="EF109" s="222"/>
      <c r="EG109" s="222"/>
      <c r="EH109" s="222"/>
    </row>
    <row r="110" spans="1:138" ht="18.95" hidden="1">
      <c r="A110" s="222"/>
      <c r="B110" s="222"/>
      <c r="C110" s="316">
        <v>0.2</v>
      </c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  <c r="AL110" s="222"/>
      <c r="AM110" s="222"/>
      <c r="AN110" s="222"/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  <c r="BB110" s="222"/>
      <c r="BC110" s="222"/>
      <c r="BD110" s="222"/>
      <c r="BE110" s="222"/>
      <c r="BF110" s="222"/>
      <c r="BG110" s="222"/>
      <c r="BH110" s="222"/>
      <c r="BI110" s="222"/>
      <c r="BJ110" s="222"/>
      <c r="BK110" s="222"/>
      <c r="BL110" s="222"/>
      <c r="BM110" s="222"/>
      <c r="BN110" s="222"/>
      <c r="BO110" s="222"/>
      <c r="BP110" s="222"/>
      <c r="BQ110" s="222"/>
      <c r="BR110" s="222"/>
      <c r="BS110" s="222"/>
      <c r="BT110" s="222"/>
      <c r="BU110" s="222"/>
      <c r="BV110" s="222"/>
      <c r="BW110" s="222"/>
      <c r="BX110" s="222"/>
      <c r="BY110" s="307"/>
      <c r="BZ110" s="222"/>
      <c r="CA110" s="222"/>
      <c r="CB110" s="222"/>
      <c r="CC110" s="222"/>
      <c r="CD110" s="222"/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2"/>
      <c r="CQ110" s="222"/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2"/>
      <c r="DD110" s="222"/>
      <c r="DE110" s="222"/>
      <c r="DF110" s="222"/>
      <c r="DG110" s="222"/>
      <c r="DH110" s="222"/>
      <c r="DI110" s="222"/>
      <c r="DJ110" s="222"/>
      <c r="DK110" s="222"/>
      <c r="DL110" s="222"/>
      <c r="DM110" s="222"/>
      <c r="DN110" s="222"/>
      <c r="DO110" s="222"/>
      <c r="DP110" s="222"/>
      <c r="DQ110" s="222"/>
      <c r="DR110" s="222"/>
      <c r="DS110" s="222"/>
      <c r="DT110" s="222"/>
      <c r="DU110" s="222"/>
      <c r="DV110" s="222"/>
      <c r="DW110" s="222"/>
      <c r="DX110" s="222"/>
      <c r="DY110" s="222"/>
      <c r="DZ110" s="222"/>
      <c r="EA110" s="222"/>
      <c r="EB110" s="222"/>
      <c r="EC110" s="222"/>
      <c r="ED110" s="222"/>
      <c r="EE110" s="222"/>
      <c r="EF110" s="222"/>
      <c r="EG110" s="222"/>
      <c r="EH110" s="222"/>
    </row>
    <row r="111" spans="1:138" hidden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222"/>
      <c r="AF111" s="222"/>
      <c r="AG111" s="222"/>
      <c r="AH111" s="222"/>
      <c r="AI111" s="222"/>
      <c r="AJ111" s="222"/>
      <c r="AK111" s="222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2"/>
      <c r="BH111" s="222"/>
      <c r="BI111" s="222"/>
      <c r="BJ111" s="222"/>
      <c r="BK111" s="222"/>
      <c r="BL111" s="222"/>
      <c r="BM111" s="222"/>
      <c r="BN111" s="222"/>
      <c r="BO111" s="222"/>
      <c r="BP111" s="222"/>
      <c r="BQ111" s="222"/>
      <c r="BR111" s="222"/>
      <c r="BS111" s="222"/>
      <c r="BT111" s="222"/>
      <c r="BU111" s="222"/>
      <c r="BV111" s="222"/>
      <c r="BW111" s="222"/>
      <c r="BX111" s="222"/>
      <c r="BY111" s="307"/>
      <c r="BZ111" s="222"/>
      <c r="CA111" s="222"/>
      <c r="CB111" s="222"/>
      <c r="CC111" s="222"/>
      <c r="CD111" s="222"/>
      <c r="CE111" s="222"/>
      <c r="CF111" s="222"/>
      <c r="CG111" s="222"/>
      <c r="CH111" s="222"/>
      <c r="CI111" s="222"/>
      <c r="CJ111" s="222"/>
      <c r="CK111" s="222"/>
      <c r="CL111" s="222"/>
      <c r="CM111" s="222"/>
      <c r="CN111" s="222"/>
      <c r="CO111" s="222"/>
      <c r="CP111" s="222"/>
      <c r="CQ111" s="222"/>
      <c r="CR111" s="222"/>
      <c r="CS111" s="222"/>
      <c r="CT111" s="222"/>
      <c r="CU111" s="222"/>
      <c r="CV111" s="222"/>
      <c r="CW111" s="222"/>
      <c r="CX111" s="222"/>
      <c r="CY111" s="222"/>
      <c r="CZ111" s="222"/>
      <c r="DA111" s="222"/>
      <c r="DB111" s="222"/>
      <c r="DC111" s="222"/>
      <c r="DD111" s="222"/>
      <c r="DE111" s="222"/>
      <c r="DF111" s="222"/>
      <c r="DG111" s="222"/>
      <c r="DH111" s="222"/>
      <c r="DI111" s="222"/>
      <c r="DJ111" s="222"/>
      <c r="DK111" s="222"/>
      <c r="DL111" s="222"/>
      <c r="DM111" s="222"/>
      <c r="DN111" s="222"/>
      <c r="DO111" s="222"/>
      <c r="DP111" s="222"/>
      <c r="DQ111" s="222"/>
      <c r="DR111" s="222"/>
      <c r="DS111" s="222"/>
      <c r="DT111" s="222"/>
      <c r="DU111" s="222"/>
      <c r="DV111" s="222"/>
      <c r="DW111" s="222"/>
      <c r="DX111" s="222"/>
      <c r="DY111" s="222"/>
      <c r="DZ111" s="222"/>
      <c r="EA111" s="222"/>
      <c r="EB111" s="222"/>
      <c r="EC111" s="222"/>
      <c r="ED111" s="222"/>
      <c r="EE111" s="222"/>
      <c r="EF111" s="222"/>
      <c r="EG111" s="222"/>
      <c r="EH111" s="222"/>
    </row>
    <row r="112" spans="1:138" hidden="1">
      <c r="A112" s="222"/>
      <c r="B112" s="222"/>
      <c r="C112" s="317"/>
      <c r="D112" s="317"/>
      <c r="E112" s="317"/>
      <c r="F112" s="317"/>
      <c r="G112" s="317"/>
      <c r="H112" s="317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7"/>
      <c r="V112" s="317"/>
      <c r="W112" s="317"/>
      <c r="X112" s="317"/>
      <c r="Y112" s="317"/>
      <c r="Z112" s="317"/>
      <c r="AA112" s="317"/>
      <c r="AB112" s="317"/>
      <c r="AC112" s="317"/>
      <c r="AD112" s="317"/>
      <c r="AE112" s="317"/>
      <c r="AF112" s="317"/>
      <c r="AG112" s="317"/>
      <c r="AH112" s="317"/>
      <c r="AI112" s="317"/>
      <c r="AJ112" s="317"/>
      <c r="AK112" s="317"/>
      <c r="AL112" s="317"/>
      <c r="AM112" s="317"/>
      <c r="AN112" s="317"/>
      <c r="AO112" s="317"/>
      <c r="AP112" s="317"/>
      <c r="AQ112" s="317"/>
      <c r="AR112" s="317"/>
      <c r="AS112" s="317"/>
      <c r="AT112" s="317"/>
      <c r="AU112" s="317"/>
      <c r="AV112" s="317"/>
      <c r="AW112" s="317"/>
      <c r="AX112" s="317"/>
      <c r="AY112" s="317"/>
      <c r="AZ112" s="317"/>
      <c r="BA112" s="317"/>
      <c r="BB112" s="317"/>
      <c r="BC112" s="317"/>
      <c r="BD112" s="317"/>
      <c r="BE112" s="317"/>
      <c r="BF112" s="317"/>
      <c r="BG112" s="317"/>
      <c r="BH112" s="317"/>
      <c r="BI112" s="317"/>
      <c r="BJ112" s="317"/>
      <c r="BK112" s="317"/>
      <c r="BL112" s="317"/>
      <c r="BM112" s="222"/>
      <c r="BN112" s="222"/>
      <c r="BO112" s="222"/>
      <c r="BP112" s="222"/>
      <c r="BQ112" s="222"/>
      <c r="BR112" s="222"/>
      <c r="BS112" s="222"/>
      <c r="BT112" s="222"/>
      <c r="BU112" s="222"/>
      <c r="BV112" s="222"/>
      <c r="BW112" s="222"/>
      <c r="BX112" s="222"/>
      <c r="BY112" s="222"/>
      <c r="BZ112" s="222"/>
      <c r="CA112" s="222"/>
      <c r="CB112" s="222"/>
      <c r="CC112" s="222"/>
      <c r="CD112" s="222"/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2"/>
      <c r="CQ112" s="222"/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2"/>
      <c r="DD112" s="222"/>
      <c r="DE112" s="222"/>
      <c r="DF112" s="222"/>
      <c r="DG112" s="222"/>
      <c r="DH112" s="222"/>
      <c r="DI112" s="222"/>
      <c r="DJ112" s="222"/>
      <c r="DK112" s="222"/>
      <c r="DL112" s="222"/>
      <c r="DM112" s="222"/>
      <c r="DN112" s="222"/>
      <c r="DO112" s="222"/>
      <c r="DP112" s="222"/>
      <c r="DQ112" s="222"/>
      <c r="DR112" s="222"/>
      <c r="DS112" s="222"/>
      <c r="DT112" s="222"/>
      <c r="DU112" s="222"/>
      <c r="DV112" s="222"/>
      <c r="DW112" s="222"/>
      <c r="DX112" s="222"/>
      <c r="DY112" s="222"/>
      <c r="DZ112" s="222"/>
      <c r="EA112" s="222"/>
      <c r="EB112" s="222"/>
      <c r="EC112" s="222"/>
      <c r="ED112" s="222"/>
      <c r="EE112" s="222"/>
      <c r="EF112" s="222"/>
      <c r="EG112" s="222"/>
      <c r="EH112" s="222"/>
    </row>
    <row r="113" spans="1:138">
      <c r="A113" s="222"/>
      <c r="B113" s="318"/>
      <c r="C113" s="310" t="s">
        <v>294</v>
      </c>
      <c r="D113" s="311"/>
      <c r="E113" s="312">
        <f t="shared" ref="E113:G113" si="37">-(E5+E6+E91+E92)</f>
        <v>0</v>
      </c>
      <c r="F113" s="312">
        <f t="shared" si="37"/>
        <v>0</v>
      </c>
      <c r="G113" s="312">
        <f t="shared" si="37"/>
        <v>0</v>
      </c>
      <c r="H113" s="312">
        <f>-(+H6+H91+H92)</f>
        <v>0</v>
      </c>
      <c r="I113" s="312">
        <f t="shared" ref="I113:BM113" si="38">-(I5+I6+I91+I92)</f>
        <v>0</v>
      </c>
      <c r="J113" s="312">
        <f t="shared" si="38"/>
        <v>0</v>
      </c>
      <c r="K113" s="312">
        <f t="shared" si="38"/>
        <v>-885000</v>
      </c>
      <c r="L113" s="312">
        <f t="shared" si="38"/>
        <v>-1940000</v>
      </c>
      <c r="M113" s="312">
        <f t="shared" si="38"/>
        <v>-4260000</v>
      </c>
      <c r="N113" s="312">
        <f t="shared" si="38"/>
        <v>0</v>
      </c>
      <c r="O113" s="312">
        <f t="shared" si="38"/>
        <v>-320000</v>
      </c>
      <c r="P113" s="312">
        <f t="shared" si="38"/>
        <v>-320000</v>
      </c>
      <c r="Q113" s="312">
        <f t="shared" si="38"/>
        <v>0</v>
      </c>
      <c r="R113" s="312">
        <f t="shared" si="38"/>
        <v>-1500000</v>
      </c>
      <c r="S113" s="312">
        <f t="shared" si="38"/>
        <v>-2300000</v>
      </c>
      <c r="T113" s="312">
        <f t="shared" si="38"/>
        <v>-7300000</v>
      </c>
      <c r="U113" s="312">
        <f t="shared" si="38"/>
        <v>-5000000</v>
      </c>
      <c r="V113" s="312">
        <f t="shared" si="38"/>
        <v>-1000000</v>
      </c>
      <c r="W113" s="312">
        <f t="shared" si="38"/>
        <v>0</v>
      </c>
      <c r="X113" s="312">
        <f t="shared" si="38"/>
        <v>0</v>
      </c>
      <c r="Y113" s="312">
        <f t="shared" si="38"/>
        <v>0</v>
      </c>
      <c r="Z113" s="312">
        <f t="shared" si="38"/>
        <v>0</v>
      </c>
      <c r="AA113" s="312">
        <f t="shared" si="38"/>
        <v>41190002</v>
      </c>
      <c r="AB113" s="312">
        <f t="shared" si="38"/>
        <v>0</v>
      </c>
      <c r="AC113" s="312">
        <f t="shared" si="38"/>
        <v>0</v>
      </c>
      <c r="AD113" s="312">
        <f t="shared" si="38"/>
        <v>0</v>
      </c>
      <c r="AE113" s="312">
        <f t="shared" si="38"/>
        <v>0</v>
      </c>
      <c r="AF113" s="312">
        <f t="shared" si="38"/>
        <v>0</v>
      </c>
      <c r="AG113" s="312">
        <f t="shared" si="38"/>
        <v>0</v>
      </c>
      <c r="AH113" s="312">
        <f t="shared" si="38"/>
        <v>0</v>
      </c>
      <c r="AI113" s="312">
        <f t="shared" si="38"/>
        <v>0</v>
      </c>
      <c r="AJ113" s="312">
        <f t="shared" si="38"/>
        <v>0</v>
      </c>
      <c r="AK113" s="312">
        <f t="shared" si="38"/>
        <v>0</v>
      </c>
      <c r="AL113" s="312">
        <f t="shared" si="38"/>
        <v>0</v>
      </c>
      <c r="AM113" s="312">
        <f t="shared" si="38"/>
        <v>0</v>
      </c>
      <c r="AN113" s="312">
        <f t="shared" si="38"/>
        <v>0</v>
      </c>
      <c r="AO113" s="312">
        <f t="shared" si="38"/>
        <v>0</v>
      </c>
      <c r="AP113" s="312">
        <f t="shared" si="38"/>
        <v>0</v>
      </c>
      <c r="AQ113" s="312">
        <f t="shared" si="38"/>
        <v>0</v>
      </c>
      <c r="AR113" s="312">
        <f t="shared" si="38"/>
        <v>0</v>
      </c>
      <c r="AS113" s="312">
        <f t="shared" si="38"/>
        <v>0</v>
      </c>
      <c r="AT113" s="312">
        <f t="shared" si="38"/>
        <v>0</v>
      </c>
      <c r="AU113" s="312">
        <f t="shared" si="38"/>
        <v>0</v>
      </c>
      <c r="AV113" s="312">
        <f t="shared" si="38"/>
        <v>0</v>
      </c>
      <c r="AW113" s="312">
        <f t="shared" si="38"/>
        <v>0</v>
      </c>
      <c r="AX113" s="312">
        <f t="shared" si="38"/>
        <v>0</v>
      </c>
      <c r="AY113" s="312">
        <f t="shared" si="38"/>
        <v>0</v>
      </c>
      <c r="AZ113" s="312">
        <f t="shared" si="38"/>
        <v>0</v>
      </c>
      <c r="BA113" s="312">
        <f t="shared" si="38"/>
        <v>0</v>
      </c>
      <c r="BB113" s="312">
        <f t="shared" si="38"/>
        <v>0</v>
      </c>
      <c r="BC113" s="312">
        <f t="shared" si="38"/>
        <v>0</v>
      </c>
      <c r="BD113" s="312">
        <f t="shared" si="38"/>
        <v>0</v>
      </c>
      <c r="BE113" s="312">
        <f t="shared" si="38"/>
        <v>0</v>
      </c>
      <c r="BF113" s="312">
        <f t="shared" si="38"/>
        <v>0</v>
      </c>
      <c r="BG113" s="312">
        <f t="shared" si="38"/>
        <v>0</v>
      </c>
      <c r="BH113" s="312">
        <f t="shared" si="38"/>
        <v>0</v>
      </c>
      <c r="BI113" s="312">
        <f t="shared" si="38"/>
        <v>0</v>
      </c>
      <c r="BJ113" s="312">
        <f t="shared" si="38"/>
        <v>0</v>
      </c>
      <c r="BK113" s="312">
        <f t="shared" si="38"/>
        <v>0</v>
      </c>
      <c r="BL113" s="312">
        <f t="shared" si="38"/>
        <v>0</v>
      </c>
      <c r="BM113" s="312">
        <f t="shared" si="38"/>
        <v>0</v>
      </c>
      <c r="BN113" s="312">
        <f t="shared" ref="BN113:BX113" si="39">-(BN5+BN91)</f>
        <v>0</v>
      </c>
      <c r="BO113" s="312">
        <f t="shared" si="39"/>
        <v>0</v>
      </c>
      <c r="BP113" s="312">
        <f t="shared" si="39"/>
        <v>0</v>
      </c>
      <c r="BQ113" s="312">
        <f t="shared" si="39"/>
        <v>0</v>
      </c>
      <c r="BR113" s="312">
        <f t="shared" si="39"/>
        <v>0</v>
      </c>
      <c r="BS113" s="312">
        <f t="shared" si="39"/>
        <v>0</v>
      </c>
      <c r="BT113" s="312">
        <f t="shared" si="39"/>
        <v>0</v>
      </c>
      <c r="BU113" s="312">
        <f t="shared" si="39"/>
        <v>0</v>
      </c>
      <c r="BV113" s="312">
        <f t="shared" si="39"/>
        <v>0</v>
      </c>
      <c r="BW113" s="312">
        <f t="shared" si="39"/>
        <v>0</v>
      </c>
      <c r="BX113" s="312">
        <f t="shared" si="39"/>
        <v>0</v>
      </c>
      <c r="BY113" s="222"/>
      <c r="BZ113" s="222"/>
      <c r="CA113" s="222"/>
      <c r="CB113" s="222"/>
      <c r="CC113" s="222"/>
      <c r="CD113" s="222"/>
      <c r="CE113" s="222"/>
      <c r="CF113" s="222"/>
      <c r="CG113" s="222"/>
      <c r="CH113" s="222"/>
      <c r="CI113" s="222"/>
      <c r="CJ113" s="222"/>
      <c r="CK113" s="222"/>
      <c r="CL113" s="222"/>
      <c r="CM113" s="222"/>
      <c r="CN113" s="222"/>
      <c r="CO113" s="222"/>
      <c r="CP113" s="222"/>
      <c r="CQ113" s="222"/>
      <c r="CR113" s="222"/>
      <c r="CS113" s="222"/>
      <c r="CT113" s="222"/>
      <c r="CU113" s="222"/>
      <c r="CV113" s="222"/>
      <c r="CW113" s="222"/>
      <c r="CX113" s="222"/>
      <c r="CY113" s="222"/>
      <c r="CZ113" s="222"/>
      <c r="DA113" s="222"/>
      <c r="DB113" s="222"/>
      <c r="DC113" s="222"/>
      <c r="DD113" s="222"/>
      <c r="DE113" s="222"/>
      <c r="DF113" s="222"/>
      <c r="DG113" s="222"/>
      <c r="DH113" s="222"/>
      <c r="DI113" s="222"/>
      <c r="DJ113" s="222"/>
      <c r="DK113" s="222"/>
      <c r="DL113" s="222"/>
      <c r="DM113" s="222"/>
      <c r="DN113" s="222"/>
      <c r="DO113" s="222"/>
      <c r="DP113" s="222"/>
      <c r="DQ113" s="222"/>
      <c r="DR113" s="222"/>
      <c r="DS113" s="222"/>
      <c r="DT113" s="222"/>
      <c r="DU113" s="222"/>
      <c r="DV113" s="222"/>
      <c r="DW113" s="222"/>
      <c r="DX113" s="222"/>
      <c r="DY113" s="222"/>
      <c r="DZ113" s="222"/>
      <c r="EA113" s="222"/>
      <c r="EB113" s="222"/>
      <c r="EC113" s="222"/>
      <c r="ED113" s="222"/>
      <c r="EE113" s="222"/>
      <c r="EF113" s="222"/>
      <c r="EG113" s="222"/>
      <c r="EH113" s="222"/>
    </row>
    <row r="114" spans="1:138">
      <c r="A114" s="222"/>
      <c r="B114" s="318"/>
      <c r="C114" s="310" t="s">
        <v>295</v>
      </c>
      <c r="D114" s="319"/>
      <c r="E114" s="311"/>
      <c r="F114" s="311"/>
      <c r="G114" s="311"/>
      <c r="H114" s="311">
        <f>-8333333</f>
        <v>-8333333</v>
      </c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222"/>
      <c r="BZ114" s="222"/>
      <c r="CA114" s="222"/>
      <c r="CB114" s="222"/>
      <c r="CC114" s="222"/>
      <c r="CD114" s="222"/>
      <c r="CE114" s="222"/>
      <c r="CF114" s="222"/>
      <c r="CG114" s="222"/>
      <c r="CH114" s="222"/>
      <c r="CI114" s="222"/>
      <c r="CJ114" s="222"/>
      <c r="CK114" s="222"/>
      <c r="CL114" s="222"/>
      <c r="CM114" s="222"/>
      <c r="CN114" s="222"/>
      <c r="CO114" s="222"/>
      <c r="CP114" s="222"/>
      <c r="CQ114" s="222"/>
      <c r="CR114" s="222"/>
      <c r="CS114" s="222"/>
      <c r="CT114" s="222"/>
      <c r="CU114" s="222"/>
      <c r="CV114" s="222"/>
      <c r="CW114" s="222"/>
      <c r="CX114" s="222"/>
      <c r="CY114" s="222"/>
      <c r="CZ114" s="222"/>
      <c r="DA114" s="222"/>
      <c r="DB114" s="222"/>
      <c r="DC114" s="222"/>
      <c r="DD114" s="222"/>
      <c r="DE114" s="222"/>
      <c r="DF114" s="222"/>
      <c r="DG114" s="222"/>
      <c r="DH114" s="222"/>
      <c r="DI114" s="222"/>
      <c r="DJ114" s="222"/>
      <c r="DK114" s="222"/>
      <c r="DL114" s="222"/>
      <c r="DM114" s="222"/>
      <c r="DN114" s="222"/>
      <c r="DO114" s="222"/>
      <c r="DP114" s="222"/>
      <c r="DQ114" s="222"/>
      <c r="DR114" s="222"/>
      <c r="DS114" s="222"/>
      <c r="DT114" s="222"/>
      <c r="DU114" s="222"/>
      <c r="DV114" s="222"/>
      <c r="DW114" s="222"/>
      <c r="DX114" s="222"/>
      <c r="DY114" s="222"/>
      <c r="DZ114" s="222"/>
      <c r="EA114" s="222"/>
      <c r="EB114" s="222"/>
      <c r="EC114" s="222"/>
      <c r="ED114" s="222"/>
      <c r="EE114" s="222"/>
      <c r="EF114" s="222"/>
      <c r="EG114" s="222"/>
      <c r="EH114" s="222"/>
    </row>
    <row r="115" spans="1:138">
      <c r="A115" s="222"/>
      <c r="B115" s="318"/>
      <c r="C115" s="310" t="s">
        <v>296</v>
      </c>
      <c r="D115" s="319"/>
      <c r="E115" s="311">
        <f t="shared" ref="E115:S115" si="40">-E56</f>
        <v>0</v>
      </c>
      <c r="F115" s="311">
        <f t="shared" si="40"/>
        <v>0</v>
      </c>
      <c r="G115" s="311">
        <f t="shared" si="40"/>
        <v>0</v>
      </c>
      <c r="H115" s="311">
        <f t="shared" si="40"/>
        <v>0</v>
      </c>
      <c r="I115" s="311">
        <f t="shared" si="40"/>
        <v>0</v>
      </c>
      <c r="J115" s="311">
        <f t="shared" si="40"/>
        <v>0</v>
      </c>
      <c r="K115" s="311">
        <f t="shared" si="40"/>
        <v>0</v>
      </c>
      <c r="L115" s="311">
        <f t="shared" si="40"/>
        <v>0</v>
      </c>
      <c r="M115" s="311">
        <f t="shared" si="40"/>
        <v>0</v>
      </c>
      <c r="N115" s="311">
        <f t="shared" si="40"/>
        <v>0</v>
      </c>
      <c r="O115" s="311">
        <f t="shared" si="40"/>
        <v>0</v>
      </c>
      <c r="P115" s="311">
        <f t="shared" si="40"/>
        <v>0</v>
      </c>
      <c r="Q115" s="311">
        <f t="shared" si="40"/>
        <v>0</v>
      </c>
      <c r="R115" s="311">
        <f t="shared" si="40"/>
        <v>0</v>
      </c>
      <c r="S115" s="311">
        <f t="shared" si="40"/>
        <v>0</v>
      </c>
      <c r="T115" s="311">
        <f>-T56-T57</f>
        <v>0</v>
      </c>
      <c r="U115" s="311">
        <f t="shared" ref="U115:Z115" si="41">-U56</f>
        <v>0</v>
      </c>
      <c r="V115" s="311">
        <f t="shared" si="41"/>
        <v>0</v>
      </c>
      <c r="W115" s="311">
        <f t="shared" si="41"/>
        <v>0</v>
      </c>
      <c r="X115" s="311">
        <f t="shared" si="41"/>
        <v>0</v>
      </c>
      <c r="Y115" s="311">
        <f t="shared" si="41"/>
        <v>0</v>
      </c>
      <c r="Z115" s="311">
        <f t="shared" si="41"/>
        <v>0</v>
      </c>
      <c r="AA115" s="311">
        <f>-AA56-AA57</f>
        <v>4513611.7827945203</v>
      </c>
      <c r="AB115" s="311">
        <f t="shared" ref="AB115:BX115" si="42">-AB56</f>
        <v>0</v>
      </c>
      <c r="AC115" s="311">
        <f t="shared" si="42"/>
        <v>0</v>
      </c>
      <c r="AD115" s="311">
        <f t="shared" si="42"/>
        <v>0</v>
      </c>
      <c r="AE115" s="311">
        <f t="shared" si="42"/>
        <v>0</v>
      </c>
      <c r="AF115" s="311">
        <f t="shared" si="42"/>
        <v>0</v>
      </c>
      <c r="AG115" s="311">
        <f t="shared" si="42"/>
        <v>0</v>
      </c>
      <c r="AH115" s="311">
        <f t="shared" si="42"/>
        <v>0</v>
      </c>
      <c r="AI115" s="311">
        <f t="shared" si="42"/>
        <v>0</v>
      </c>
      <c r="AJ115" s="311">
        <f t="shared" si="42"/>
        <v>0</v>
      </c>
      <c r="AK115" s="311">
        <f t="shared" si="42"/>
        <v>0</v>
      </c>
      <c r="AL115" s="311">
        <f t="shared" si="42"/>
        <v>0</v>
      </c>
      <c r="AM115" s="311">
        <f t="shared" si="42"/>
        <v>0</v>
      </c>
      <c r="AN115" s="311">
        <f t="shared" si="42"/>
        <v>0</v>
      </c>
      <c r="AO115" s="311">
        <f t="shared" si="42"/>
        <v>0</v>
      </c>
      <c r="AP115" s="311">
        <f t="shared" si="42"/>
        <v>0</v>
      </c>
      <c r="AQ115" s="311">
        <f t="shared" si="42"/>
        <v>0</v>
      </c>
      <c r="AR115" s="311">
        <f t="shared" si="42"/>
        <v>0</v>
      </c>
      <c r="AS115" s="311">
        <f t="shared" si="42"/>
        <v>0</v>
      </c>
      <c r="AT115" s="311">
        <f t="shared" si="42"/>
        <v>0</v>
      </c>
      <c r="AU115" s="311">
        <f t="shared" si="42"/>
        <v>0</v>
      </c>
      <c r="AV115" s="311">
        <f t="shared" si="42"/>
        <v>0</v>
      </c>
      <c r="AW115" s="311">
        <f t="shared" si="42"/>
        <v>0</v>
      </c>
      <c r="AX115" s="311">
        <f t="shared" si="42"/>
        <v>0</v>
      </c>
      <c r="AY115" s="311">
        <f t="shared" si="42"/>
        <v>0</v>
      </c>
      <c r="AZ115" s="311">
        <f t="shared" si="42"/>
        <v>0</v>
      </c>
      <c r="BA115" s="311">
        <f t="shared" si="42"/>
        <v>0</v>
      </c>
      <c r="BB115" s="311">
        <f t="shared" si="42"/>
        <v>0</v>
      </c>
      <c r="BC115" s="311">
        <f t="shared" si="42"/>
        <v>0</v>
      </c>
      <c r="BD115" s="311">
        <f t="shared" si="42"/>
        <v>0</v>
      </c>
      <c r="BE115" s="311">
        <f t="shared" si="42"/>
        <v>0</v>
      </c>
      <c r="BF115" s="311">
        <f t="shared" si="42"/>
        <v>0</v>
      </c>
      <c r="BG115" s="311">
        <f t="shared" si="42"/>
        <v>0</v>
      </c>
      <c r="BH115" s="311">
        <f t="shared" si="42"/>
        <v>0</v>
      </c>
      <c r="BI115" s="311">
        <f t="shared" si="42"/>
        <v>0</v>
      </c>
      <c r="BJ115" s="311">
        <f t="shared" si="42"/>
        <v>0</v>
      </c>
      <c r="BK115" s="311">
        <f t="shared" si="42"/>
        <v>0</v>
      </c>
      <c r="BL115" s="311">
        <f t="shared" si="42"/>
        <v>0</v>
      </c>
      <c r="BM115" s="311">
        <f t="shared" si="42"/>
        <v>0</v>
      </c>
      <c r="BN115" s="311">
        <f t="shared" si="42"/>
        <v>0</v>
      </c>
      <c r="BO115" s="311">
        <f t="shared" si="42"/>
        <v>0</v>
      </c>
      <c r="BP115" s="311">
        <f t="shared" si="42"/>
        <v>0</v>
      </c>
      <c r="BQ115" s="311">
        <f t="shared" si="42"/>
        <v>0</v>
      </c>
      <c r="BR115" s="311">
        <f t="shared" si="42"/>
        <v>0</v>
      </c>
      <c r="BS115" s="311">
        <f t="shared" si="42"/>
        <v>0</v>
      </c>
      <c r="BT115" s="311">
        <f t="shared" si="42"/>
        <v>0</v>
      </c>
      <c r="BU115" s="311">
        <f t="shared" si="42"/>
        <v>0</v>
      </c>
      <c r="BV115" s="311">
        <f t="shared" si="42"/>
        <v>0</v>
      </c>
      <c r="BW115" s="311">
        <f t="shared" si="42"/>
        <v>0</v>
      </c>
      <c r="BX115" s="311">
        <f t="shared" si="42"/>
        <v>0</v>
      </c>
      <c r="BY115" s="222"/>
      <c r="BZ115" s="238"/>
      <c r="CA115" s="222"/>
      <c r="CB115" s="222"/>
      <c r="CC115" s="222"/>
      <c r="CD115" s="222"/>
      <c r="CE115" s="222"/>
      <c r="CF115" s="222"/>
      <c r="CG115" s="222"/>
      <c r="CH115" s="222"/>
      <c r="CI115" s="222"/>
      <c r="CJ115" s="222"/>
      <c r="CK115" s="222"/>
      <c r="CL115" s="222"/>
      <c r="CM115" s="222"/>
      <c r="CN115" s="222"/>
      <c r="CO115" s="222"/>
      <c r="CP115" s="222"/>
      <c r="CQ115" s="222"/>
      <c r="CR115" s="222"/>
      <c r="CS115" s="222"/>
      <c r="CT115" s="222"/>
      <c r="CU115" s="222"/>
      <c r="CV115" s="222"/>
      <c r="CW115" s="222"/>
      <c r="CX115" s="222"/>
      <c r="CY115" s="222"/>
      <c r="CZ115" s="222"/>
      <c r="DA115" s="222"/>
      <c r="DB115" s="222"/>
      <c r="DC115" s="222"/>
      <c r="DD115" s="222"/>
      <c r="DE115" s="222"/>
      <c r="DF115" s="222"/>
      <c r="DG115" s="222"/>
      <c r="DH115" s="222"/>
      <c r="DI115" s="222"/>
      <c r="DJ115" s="222"/>
      <c r="DK115" s="222"/>
      <c r="DL115" s="222"/>
      <c r="DM115" s="222"/>
      <c r="DN115" s="222"/>
      <c r="DO115" s="222"/>
      <c r="DP115" s="222"/>
      <c r="DQ115" s="222"/>
      <c r="DR115" s="222"/>
      <c r="DS115" s="222"/>
      <c r="DT115" s="222"/>
      <c r="DU115" s="222"/>
      <c r="DV115" s="222"/>
      <c r="DW115" s="222"/>
      <c r="DX115" s="222"/>
      <c r="DY115" s="222"/>
      <c r="DZ115" s="222"/>
      <c r="EA115" s="222"/>
      <c r="EB115" s="222"/>
      <c r="EC115" s="222"/>
      <c r="ED115" s="222"/>
      <c r="EE115" s="222"/>
      <c r="EF115" s="222"/>
      <c r="EG115" s="222"/>
      <c r="EH115" s="222"/>
    </row>
    <row r="116" spans="1:138">
      <c r="A116" s="222"/>
      <c r="B116" s="318"/>
      <c r="C116" s="310" t="s">
        <v>297</v>
      </c>
      <c r="D116" s="319"/>
      <c r="E116" s="311"/>
      <c r="F116" s="311"/>
      <c r="G116" s="311"/>
      <c r="H116" s="311">
        <f>-H5</f>
        <v>-16365002</v>
      </c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>
        <f>AA101</f>
        <v>27534344.667797294</v>
      </c>
      <c r="AB116" s="311"/>
      <c r="AC116" s="311"/>
      <c r="AD116" s="311"/>
      <c r="AE116" s="311"/>
      <c r="AF116" s="311"/>
      <c r="AG116" s="311"/>
      <c r="AH116" s="311"/>
      <c r="AI116" s="311"/>
      <c r="AJ116" s="311"/>
      <c r="AK116" s="311"/>
      <c r="AL116" s="311"/>
      <c r="AM116" s="311"/>
      <c r="AN116" s="311"/>
      <c r="AO116" s="311"/>
      <c r="AP116" s="311"/>
      <c r="AQ116" s="311"/>
      <c r="AR116" s="311"/>
      <c r="AS116" s="311"/>
      <c r="AT116" s="311"/>
      <c r="AU116" s="311"/>
      <c r="AV116" s="311"/>
      <c r="AW116" s="311"/>
      <c r="AX116" s="311"/>
      <c r="AY116" s="311"/>
      <c r="AZ116" s="311"/>
      <c r="BA116" s="311"/>
      <c r="BB116" s="311"/>
      <c r="BC116" s="311"/>
      <c r="BD116" s="311"/>
      <c r="BE116" s="311"/>
      <c r="BF116" s="311"/>
      <c r="BG116" s="311"/>
      <c r="BH116" s="311"/>
      <c r="BI116" s="311"/>
      <c r="BJ116" s="311"/>
      <c r="BK116" s="311"/>
      <c r="BL116" s="311"/>
      <c r="BM116" s="311"/>
      <c r="BN116" s="311"/>
      <c r="BO116" s="311"/>
      <c r="BP116" s="311"/>
      <c r="BQ116" s="311"/>
      <c r="BR116" s="311"/>
      <c r="BS116" s="311"/>
      <c r="BT116" s="311"/>
      <c r="BU116" s="311"/>
      <c r="BV116" s="311"/>
      <c r="BW116" s="311"/>
      <c r="BX116" s="311">
        <f>IF(D106&gt;0.25,(BX101-BX109)*D118,BX101*D118)</f>
        <v>22027475.734237835</v>
      </c>
      <c r="BY116" s="222"/>
      <c r="BZ116" s="222"/>
      <c r="CA116" s="222"/>
      <c r="CB116" s="222"/>
      <c r="CC116" s="222"/>
      <c r="CD116" s="222"/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2"/>
      <c r="CQ116" s="222"/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2"/>
      <c r="DD116" s="222"/>
      <c r="DE116" s="222"/>
      <c r="DF116" s="222"/>
      <c r="DG116" s="222"/>
      <c r="DH116" s="222"/>
      <c r="DI116" s="222"/>
      <c r="DJ116" s="222"/>
      <c r="DK116" s="222"/>
      <c r="DL116" s="222"/>
      <c r="DM116" s="222"/>
      <c r="DN116" s="222"/>
      <c r="DO116" s="222"/>
      <c r="DP116" s="222"/>
      <c r="DQ116" s="222"/>
      <c r="DR116" s="222"/>
      <c r="DS116" s="222"/>
      <c r="DT116" s="222"/>
      <c r="DU116" s="222"/>
      <c r="DV116" s="222"/>
      <c r="DW116" s="222"/>
      <c r="DX116" s="222"/>
      <c r="DY116" s="222"/>
      <c r="DZ116" s="222"/>
      <c r="EA116" s="222"/>
      <c r="EB116" s="222"/>
      <c r="EC116" s="222"/>
      <c r="ED116" s="222"/>
      <c r="EE116" s="222"/>
      <c r="EF116" s="222"/>
      <c r="EG116" s="222"/>
      <c r="EH116" s="222"/>
    </row>
    <row r="117" spans="1:138">
      <c r="A117" s="222"/>
      <c r="B117" s="318"/>
      <c r="C117" s="310" t="s">
        <v>293</v>
      </c>
      <c r="D117" s="319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11"/>
      <c r="V117" s="311"/>
      <c r="W117" s="311"/>
      <c r="X117" s="311"/>
      <c r="Y117" s="311"/>
      <c r="Z117" s="311"/>
      <c r="AA117" s="311"/>
      <c r="AB117" s="311"/>
      <c r="AC117" s="311"/>
      <c r="AD117" s="311"/>
      <c r="AE117" s="311"/>
      <c r="AF117" s="311"/>
      <c r="AG117" s="311"/>
      <c r="AH117" s="311"/>
      <c r="AI117" s="311"/>
      <c r="AJ117" s="311"/>
      <c r="AK117" s="311"/>
      <c r="AL117" s="311"/>
      <c r="AM117" s="311"/>
      <c r="AN117" s="311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1"/>
      <c r="AZ117" s="311"/>
      <c r="BA117" s="311"/>
      <c r="BB117" s="311"/>
      <c r="BC117" s="311"/>
      <c r="BD117" s="311"/>
      <c r="BE117" s="311"/>
      <c r="BF117" s="311"/>
      <c r="BG117" s="311"/>
      <c r="BH117" s="311"/>
      <c r="BI117" s="311"/>
      <c r="BJ117" s="311"/>
      <c r="BK117" s="311"/>
      <c r="BL117" s="311"/>
      <c r="BM117" s="311"/>
      <c r="BN117" s="311"/>
      <c r="BO117" s="311"/>
      <c r="BP117" s="311"/>
      <c r="BQ117" s="311"/>
      <c r="BR117" s="311"/>
      <c r="BS117" s="311"/>
      <c r="BT117" s="311"/>
      <c r="BU117" s="311"/>
      <c r="BV117" s="311"/>
      <c r="BW117" s="311"/>
      <c r="BX117" s="311">
        <f>IF(D106&gt;0.25,BX109,0)</f>
        <v>5506868.9335594587</v>
      </c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</row>
    <row r="118" spans="1:138">
      <c r="A118" s="222"/>
      <c r="B118" s="318"/>
      <c r="C118" s="313" t="s">
        <v>298</v>
      </c>
      <c r="D118" s="319">
        <v>1</v>
      </c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320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2"/>
      <c r="CQ118" s="222"/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2"/>
      <c r="DD118" s="222"/>
      <c r="DE118" s="222"/>
      <c r="DF118" s="222"/>
      <c r="DG118" s="222"/>
      <c r="DH118" s="222"/>
      <c r="DI118" s="222"/>
      <c r="DJ118" s="222"/>
      <c r="DK118" s="222"/>
      <c r="DL118" s="222"/>
      <c r="DM118" s="222"/>
      <c r="DN118" s="222"/>
      <c r="DO118" s="222"/>
      <c r="DP118" s="222"/>
      <c r="DQ118" s="222"/>
      <c r="DR118" s="222"/>
      <c r="DS118" s="222"/>
      <c r="DT118" s="222"/>
      <c r="DU118" s="222"/>
      <c r="DV118" s="222"/>
      <c r="DW118" s="222"/>
      <c r="DX118" s="222"/>
      <c r="DY118" s="222"/>
      <c r="DZ118" s="222"/>
      <c r="EA118" s="222"/>
      <c r="EB118" s="222"/>
      <c r="EC118" s="222"/>
      <c r="ED118" s="222"/>
      <c r="EE118" s="222"/>
      <c r="EF118" s="222"/>
      <c r="EG118" s="222"/>
      <c r="EH118" s="222"/>
    </row>
    <row r="119" spans="1:138">
      <c r="A119" s="222"/>
      <c r="B119" s="318"/>
      <c r="C119" s="310" t="s">
        <v>299</v>
      </c>
      <c r="D119" s="314"/>
      <c r="E119" s="321">
        <f t="shared" ref="E119:BW119" si="43">E113+E114+E115+E116+E118</f>
        <v>0</v>
      </c>
      <c r="F119" s="321">
        <f t="shared" si="43"/>
        <v>0</v>
      </c>
      <c r="G119" s="321">
        <f t="shared" si="43"/>
        <v>0</v>
      </c>
      <c r="H119" s="321">
        <f t="shared" si="43"/>
        <v>-24698335</v>
      </c>
      <c r="I119" s="321">
        <f t="shared" si="43"/>
        <v>0</v>
      </c>
      <c r="J119" s="321">
        <f t="shared" si="43"/>
        <v>0</v>
      </c>
      <c r="K119" s="321">
        <f t="shared" si="43"/>
        <v>-885000</v>
      </c>
      <c r="L119" s="321">
        <f t="shared" si="43"/>
        <v>-1940000</v>
      </c>
      <c r="M119" s="321">
        <f t="shared" si="43"/>
        <v>-4260000</v>
      </c>
      <c r="N119" s="321">
        <f t="shared" si="43"/>
        <v>0</v>
      </c>
      <c r="O119" s="321">
        <f t="shared" si="43"/>
        <v>-320000</v>
      </c>
      <c r="P119" s="321">
        <f t="shared" si="43"/>
        <v>-320000</v>
      </c>
      <c r="Q119" s="321">
        <f t="shared" si="43"/>
        <v>0</v>
      </c>
      <c r="R119" s="321">
        <f t="shared" si="43"/>
        <v>-1500000</v>
      </c>
      <c r="S119" s="321">
        <f t="shared" si="43"/>
        <v>-2300000</v>
      </c>
      <c r="T119" s="321">
        <f t="shared" si="43"/>
        <v>-7300000</v>
      </c>
      <c r="U119" s="321">
        <f t="shared" si="43"/>
        <v>-5000000</v>
      </c>
      <c r="V119" s="321">
        <f t="shared" si="43"/>
        <v>-1000000</v>
      </c>
      <c r="W119" s="321">
        <f t="shared" si="43"/>
        <v>0</v>
      </c>
      <c r="X119" s="321">
        <f t="shared" si="43"/>
        <v>0</v>
      </c>
      <c r="Y119" s="321">
        <f t="shared" si="43"/>
        <v>0</v>
      </c>
      <c r="Z119" s="321">
        <f t="shared" si="43"/>
        <v>0</v>
      </c>
      <c r="AA119" s="321">
        <f t="shared" si="43"/>
        <v>73237958.450591817</v>
      </c>
      <c r="AB119" s="321">
        <f t="shared" si="43"/>
        <v>0</v>
      </c>
      <c r="AC119" s="321">
        <f t="shared" si="43"/>
        <v>0</v>
      </c>
      <c r="AD119" s="321">
        <f t="shared" si="43"/>
        <v>0</v>
      </c>
      <c r="AE119" s="321">
        <f t="shared" si="43"/>
        <v>0</v>
      </c>
      <c r="AF119" s="321">
        <f t="shared" si="43"/>
        <v>0</v>
      </c>
      <c r="AG119" s="321">
        <f t="shared" si="43"/>
        <v>0</v>
      </c>
      <c r="AH119" s="321">
        <f t="shared" si="43"/>
        <v>0</v>
      </c>
      <c r="AI119" s="321">
        <f t="shared" si="43"/>
        <v>0</v>
      </c>
      <c r="AJ119" s="321">
        <f t="shared" si="43"/>
        <v>0</v>
      </c>
      <c r="AK119" s="321">
        <f t="shared" si="43"/>
        <v>0</v>
      </c>
      <c r="AL119" s="321">
        <f t="shared" si="43"/>
        <v>0</v>
      </c>
      <c r="AM119" s="321">
        <f t="shared" si="43"/>
        <v>0</v>
      </c>
      <c r="AN119" s="321">
        <f t="shared" si="43"/>
        <v>0</v>
      </c>
      <c r="AO119" s="321">
        <f t="shared" si="43"/>
        <v>0</v>
      </c>
      <c r="AP119" s="321">
        <f t="shared" si="43"/>
        <v>0</v>
      </c>
      <c r="AQ119" s="321">
        <f t="shared" si="43"/>
        <v>0</v>
      </c>
      <c r="AR119" s="321">
        <f t="shared" si="43"/>
        <v>0</v>
      </c>
      <c r="AS119" s="321">
        <f t="shared" si="43"/>
        <v>0</v>
      </c>
      <c r="AT119" s="321">
        <f t="shared" si="43"/>
        <v>0</v>
      </c>
      <c r="AU119" s="321">
        <f t="shared" si="43"/>
        <v>0</v>
      </c>
      <c r="AV119" s="321">
        <f t="shared" si="43"/>
        <v>0</v>
      </c>
      <c r="AW119" s="321">
        <f t="shared" si="43"/>
        <v>0</v>
      </c>
      <c r="AX119" s="321">
        <f t="shared" si="43"/>
        <v>0</v>
      </c>
      <c r="AY119" s="321">
        <f t="shared" si="43"/>
        <v>0</v>
      </c>
      <c r="AZ119" s="321">
        <f t="shared" si="43"/>
        <v>0</v>
      </c>
      <c r="BA119" s="321">
        <f t="shared" si="43"/>
        <v>0</v>
      </c>
      <c r="BB119" s="321">
        <f t="shared" si="43"/>
        <v>0</v>
      </c>
      <c r="BC119" s="321">
        <f t="shared" si="43"/>
        <v>0</v>
      </c>
      <c r="BD119" s="321">
        <f t="shared" si="43"/>
        <v>0</v>
      </c>
      <c r="BE119" s="321">
        <f t="shared" si="43"/>
        <v>0</v>
      </c>
      <c r="BF119" s="321">
        <f t="shared" si="43"/>
        <v>0</v>
      </c>
      <c r="BG119" s="321">
        <f t="shared" si="43"/>
        <v>0</v>
      </c>
      <c r="BH119" s="321">
        <f t="shared" si="43"/>
        <v>0</v>
      </c>
      <c r="BI119" s="321">
        <f t="shared" si="43"/>
        <v>0</v>
      </c>
      <c r="BJ119" s="321">
        <f t="shared" si="43"/>
        <v>0</v>
      </c>
      <c r="BK119" s="321">
        <f t="shared" si="43"/>
        <v>0</v>
      </c>
      <c r="BL119" s="321">
        <f t="shared" si="43"/>
        <v>0</v>
      </c>
      <c r="BM119" s="321">
        <f t="shared" si="43"/>
        <v>0</v>
      </c>
      <c r="BN119" s="321">
        <f t="shared" si="43"/>
        <v>0</v>
      </c>
      <c r="BO119" s="321">
        <f t="shared" si="43"/>
        <v>0</v>
      </c>
      <c r="BP119" s="321">
        <f t="shared" si="43"/>
        <v>0</v>
      </c>
      <c r="BQ119" s="321">
        <f t="shared" si="43"/>
        <v>0</v>
      </c>
      <c r="BR119" s="321">
        <f t="shared" si="43"/>
        <v>0</v>
      </c>
      <c r="BS119" s="321">
        <f t="shared" si="43"/>
        <v>0</v>
      </c>
      <c r="BT119" s="321">
        <f t="shared" si="43"/>
        <v>0</v>
      </c>
      <c r="BU119" s="321">
        <f t="shared" si="43"/>
        <v>0</v>
      </c>
      <c r="BV119" s="321">
        <f t="shared" si="43"/>
        <v>0</v>
      </c>
      <c r="BW119" s="321">
        <f t="shared" si="43"/>
        <v>0</v>
      </c>
      <c r="BX119" s="321">
        <f>BX113+BX114+BX115+BX116+BX117+BX118</f>
        <v>27534344.667797294</v>
      </c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  <c r="CY119" s="222"/>
      <c r="CZ119" s="222"/>
      <c r="DA119" s="222"/>
      <c r="DB119" s="222"/>
      <c r="DC119" s="222"/>
      <c r="DD119" s="222"/>
      <c r="DE119" s="222"/>
      <c r="DF119" s="222"/>
      <c r="DG119" s="222"/>
      <c r="DH119" s="222"/>
      <c r="DI119" s="222"/>
      <c r="DJ119" s="222"/>
      <c r="DK119" s="222"/>
      <c r="DL119" s="222"/>
      <c r="DM119" s="222"/>
      <c r="DN119" s="222"/>
      <c r="DO119" s="222"/>
      <c r="DP119" s="222"/>
      <c r="DQ119" s="222"/>
      <c r="DR119" s="222"/>
      <c r="DS119" s="222"/>
      <c r="DT119" s="222"/>
      <c r="DU119" s="222"/>
      <c r="DV119" s="222"/>
      <c r="DW119" s="222"/>
      <c r="DX119" s="222"/>
      <c r="DY119" s="222"/>
      <c r="DZ119" s="222"/>
      <c r="EA119" s="222"/>
      <c r="EB119" s="222"/>
      <c r="EC119" s="222"/>
      <c r="ED119" s="222"/>
      <c r="EE119" s="222"/>
      <c r="EF119" s="222"/>
      <c r="EG119" s="222"/>
      <c r="EH119" s="222"/>
    </row>
    <row r="120" spans="1:138">
      <c r="A120" s="222"/>
      <c r="B120" s="318"/>
      <c r="C120" s="313" t="s">
        <v>292</v>
      </c>
      <c r="D120" s="322">
        <f>IRR(H119:AA119)*12</f>
        <v>0.32856021601187724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2"/>
      <c r="BN120" s="222"/>
      <c r="BO120" s="222"/>
      <c r="BP120" s="222"/>
      <c r="BQ120" s="222"/>
      <c r="BR120" s="222"/>
      <c r="BS120" s="222"/>
      <c r="BT120" s="222"/>
      <c r="BU120" s="222"/>
      <c r="BV120" s="222"/>
      <c r="BW120" s="222"/>
      <c r="BX120" s="222"/>
      <c r="BY120" s="222"/>
      <c r="BZ120" s="222"/>
      <c r="CA120" s="222"/>
      <c r="CB120" s="222"/>
      <c r="CC120" s="222"/>
      <c r="CD120" s="222"/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2"/>
      <c r="CQ120" s="222"/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2"/>
      <c r="DD120" s="222"/>
      <c r="DE120" s="222"/>
      <c r="DF120" s="222"/>
      <c r="DG120" s="222"/>
      <c r="DH120" s="222"/>
      <c r="DI120" s="222"/>
      <c r="DJ120" s="222"/>
      <c r="DK120" s="222"/>
      <c r="DL120" s="222"/>
      <c r="DM120" s="222"/>
      <c r="DN120" s="222"/>
      <c r="DO120" s="222"/>
      <c r="DP120" s="222"/>
      <c r="DQ120" s="222"/>
      <c r="DR120" s="222"/>
      <c r="DS120" s="222"/>
      <c r="DT120" s="222"/>
      <c r="DU120" s="222"/>
      <c r="DV120" s="222"/>
      <c r="DW120" s="222"/>
      <c r="DX120" s="222"/>
      <c r="DY120" s="222"/>
      <c r="DZ120" s="222"/>
      <c r="EA120" s="222"/>
      <c r="EB120" s="222"/>
      <c r="EC120" s="222"/>
      <c r="ED120" s="222"/>
      <c r="EE120" s="222"/>
      <c r="EF120" s="222"/>
      <c r="EG120" s="222"/>
      <c r="EH120" s="222"/>
    </row>
    <row r="121" spans="1:138">
      <c r="A121" s="222"/>
      <c r="B121" s="318"/>
      <c r="C121" s="323" t="s">
        <v>300</v>
      </c>
      <c r="D121" s="324">
        <f>SUM(BY5:BY6)</f>
        <v>41190002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>
        <f>-Q62-Q97</f>
        <v>7245545.7149999999</v>
      </c>
      <c r="R121" s="222">
        <f>Q121*11</f>
        <v>79701002.864999995</v>
      </c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2"/>
      <c r="BN121" s="222"/>
      <c r="BO121" s="222"/>
      <c r="BP121" s="222"/>
      <c r="BQ121" s="222"/>
      <c r="BR121" s="222"/>
      <c r="BS121" s="222"/>
      <c r="BT121" s="222"/>
      <c r="BU121" s="222"/>
      <c r="BV121" s="222"/>
      <c r="BW121" s="222"/>
      <c r="BX121" s="222"/>
      <c r="BY121" s="222"/>
      <c r="BZ121" s="222"/>
      <c r="CA121" s="222"/>
      <c r="CB121" s="222"/>
      <c r="CC121" s="222"/>
      <c r="CD121" s="222"/>
      <c r="CE121" s="222"/>
      <c r="CF121" s="222"/>
      <c r="CG121" s="222"/>
      <c r="CH121" s="222"/>
      <c r="CI121" s="222"/>
      <c r="CJ121" s="222"/>
      <c r="CK121" s="222"/>
      <c r="CL121" s="222"/>
      <c r="CM121" s="222"/>
      <c r="CN121" s="222"/>
      <c r="CO121" s="222"/>
      <c r="CP121" s="222"/>
      <c r="CQ121" s="222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222"/>
      <c r="DC121" s="222"/>
      <c r="DD121" s="222"/>
      <c r="DE121" s="222"/>
      <c r="DF121" s="222"/>
      <c r="DG121" s="222"/>
      <c r="DH121" s="222"/>
      <c r="DI121" s="222"/>
      <c r="DJ121" s="222"/>
      <c r="DK121" s="222"/>
      <c r="DL121" s="222"/>
      <c r="DM121" s="222"/>
      <c r="DN121" s="222"/>
      <c r="DO121" s="222"/>
      <c r="DP121" s="222"/>
      <c r="DQ121" s="222"/>
      <c r="DR121" s="222"/>
      <c r="DS121" s="222"/>
      <c r="DT121" s="222"/>
      <c r="DU121" s="222"/>
      <c r="DV121" s="222"/>
      <c r="DW121" s="222"/>
      <c r="DX121" s="222"/>
      <c r="DY121" s="222"/>
      <c r="DZ121" s="222"/>
      <c r="EA121" s="222"/>
      <c r="EB121" s="222"/>
      <c r="EC121" s="222"/>
      <c r="ED121" s="222"/>
      <c r="EE121" s="222"/>
      <c r="EF121" s="222"/>
      <c r="EG121" s="222"/>
      <c r="EH121" s="222"/>
    </row>
    <row r="122" spans="1:138">
      <c r="A122" s="222"/>
      <c r="B122" s="318"/>
      <c r="C122" s="323" t="s">
        <v>301</v>
      </c>
      <c r="D122" s="324">
        <f>-SUM(E114:BM114)</f>
        <v>8333333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30">
        <f>SUM(Rentroll!$M$2:$M$4)</f>
        <v>613130.50199999986</v>
      </c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2"/>
      <c r="BO122" s="222"/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2"/>
      <c r="CB122" s="222"/>
      <c r="CC122" s="222"/>
      <c r="CD122" s="222"/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2"/>
      <c r="CQ122" s="222"/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22"/>
      <c r="DO122" s="222"/>
      <c r="DP122" s="222"/>
      <c r="DQ122" s="222"/>
      <c r="DR122" s="222"/>
      <c r="DS122" s="222"/>
      <c r="DT122" s="222"/>
      <c r="DU122" s="222"/>
      <c r="DV122" s="222"/>
      <c r="DW122" s="325"/>
      <c r="DX122" s="325"/>
      <c r="DY122" s="325"/>
      <c r="DZ122" s="325"/>
      <c r="EA122" s="325"/>
      <c r="EB122" s="325"/>
      <c r="EC122" s="325"/>
      <c r="ED122" s="325"/>
      <c r="EE122" s="325"/>
      <c r="EF122" s="325"/>
      <c r="EG122" s="325"/>
      <c r="EH122" s="325"/>
    </row>
    <row r="123" spans="1:138">
      <c r="A123" s="222"/>
      <c r="B123" s="318"/>
      <c r="C123" s="313" t="s">
        <v>302</v>
      </c>
      <c r="D123" s="326">
        <f>D121+D122</f>
        <v>49523335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605" t="s">
        <v>331</v>
      </c>
      <c r="T123" s="588"/>
      <c r="U123" s="222"/>
      <c r="V123" s="222">
        <f>T113+5000000+3333333</f>
        <v>1033333</v>
      </c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2"/>
      <c r="BN123" s="222"/>
      <c r="BO123" s="222"/>
      <c r="BP123" s="222"/>
      <c r="BQ123" s="222"/>
      <c r="BR123" s="222"/>
      <c r="BS123" s="222"/>
      <c r="BT123" s="222"/>
      <c r="BU123" s="222"/>
      <c r="BV123" s="222"/>
      <c r="BW123" s="222"/>
      <c r="BX123" s="222"/>
      <c r="BY123" s="222"/>
      <c r="BZ123" s="222"/>
      <c r="CA123" s="222"/>
      <c r="CB123" s="222"/>
      <c r="CC123" s="222"/>
      <c r="CD123" s="222"/>
      <c r="CE123" s="222"/>
      <c r="CF123" s="222"/>
      <c r="CG123" s="222"/>
      <c r="CH123" s="222"/>
      <c r="CI123" s="222"/>
      <c r="CJ123" s="222"/>
      <c r="CK123" s="222"/>
      <c r="CL123" s="222"/>
      <c r="CM123" s="222"/>
      <c r="CN123" s="222"/>
      <c r="CO123" s="222"/>
      <c r="CP123" s="222"/>
      <c r="CQ123" s="222"/>
      <c r="CR123" s="222"/>
      <c r="CS123" s="222"/>
      <c r="CT123" s="222"/>
      <c r="CU123" s="222"/>
      <c r="CV123" s="222"/>
      <c r="CW123" s="222"/>
      <c r="CX123" s="222"/>
      <c r="CY123" s="222"/>
      <c r="CZ123" s="222"/>
      <c r="DA123" s="222"/>
      <c r="DB123" s="222"/>
      <c r="DC123" s="222"/>
      <c r="DD123" s="222"/>
      <c r="DE123" s="222"/>
      <c r="DF123" s="222"/>
      <c r="DG123" s="222"/>
      <c r="DH123" s="222"/>
      <c r="DI123" s="222"/>
      <c r="DJ123" s="222"/>
      <c r="DK123" s="222"/>
      <c r="DL123" s="222"/>
      <c r="DM123" s="222"/>
      <c r="DN123" s="222"/>
      <c r="DO123" s="222"/>
      <c r="DP123" s="222"/>
      <c r="DQ123" s="222"/>
      <c r="DR123" s="222"/>
      <c r="DS123" s="222"/>
      <c r="DT123" s="222"/>
      <c r="DU123" s="222"/>
      <c r="DV123" s="222"/>
      <c r="DW123" s="325"/>
      <c r="DX123" s="325"/>
      <c r="DY123" s="325"/>
      <c r="DZ123" s="325"/>
      <c r="EA123" s="325"/>
      <c r="EB123" s="325"/>
      <c r="EC123" s="325"/>
      <c r="ED123" s="325"/>
      <c r="EE123" s="325"/>
      <c r="EF123" s="325"/>
      <c r="EG123" s="325"/>
      <c r="EH123" s="325"/>
    </row>
    <row r="124" spans="1:138">
      <c r="A124" s="222"/>
      <c r="B124" s="318"/>
      <c r="C124" s="313" t="s">
        <v>303</v>
      </c>
      <c r="D124" s="326">
        <f>AA115+AA116</f>
        <v>32047956.450591814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605" t="s">
        <v>332</v>
      </c>
      <c r="T124" s="588"/>
      <c r="U124" s="222"/>
      <c r="V124" s="222">
        <f>V123+11000000</f>
        <v>12033333</v>
      </c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2"/>
      <c r="BV124" s="222"/>
      <c r="BW124" s="222"/>
      <c r="BX124" s="222"/>
      <c r="BY124" s="222"/>
      <c r="BZ124" s="238"/>
      <c r="CA124" s="222"/>
      <c r="CB124" s="222"/>
      <c r="CC124" s="222"/>
      <c r="CD124" s="222"/>
      <c r="CE124" s="222"/>
      <c r="CF124" s="222"/>
      <c r="CG124" s="222"/>
      <c r="CH124" s="222"/>
      <c r="CI124" s="222"/>
      <c r="CJ124" s="222"/>
      <c r="CK124" s="222"/>
      <c r="CL124" s="222"/>
      <c r="CM124" s="222"/>
      <c r="CN124" s="222"/>
      <c r="CO124" s="222"/>
      <c r="CP124" s="222"/>
      <c r="CQ124" s="222"/>
      <c r="CR124" s="222"/>
      <c r="CS124" s="222"/>
      <c r="CT124" s="222"/>
      <c r="CU124" s="222"/>
      <c r="CV124" s="222"/>
      <c r="CW124" s="222"/>
      <c r="CX124" s="222"/>
      <c r="CY124" s="222"/>
      <c r="CZ124" s="222"/>
      <c r="DA124" s="222"/>
      <c r="DB124" s="222"/>
      <c r="DC124" s="222"/>
      <c r="DD124" s="222"/>
      <c r="DE124" s="222"/>
      <c r="DF124" s="222"/>
      <c r="DG124" s="222"/>
      <c r="DH124" s="222"/>
      <c r="DI124" s="222"/>
      <c r="DJ124" s="222"/>
      <c r="DK124" s="222"/>
      <c r="DL124" s="222"/>
      <c r="DM124" s="222"/>
      <c r="DN124" s="222"/>
      <c r="DO124" s="222"/>
      <c r="DP124" s="222"/>
      <c r="DQ124" s="222"/>
      <c r="DR124" s="222"/>
      <c r="DS124" s="222"/>
      <c r="DT124" s="222"/>
      <c r="DU124" s="222"/>
      <c r="DV124" s="222"/>
      <c r="DW124" s="325"/>
      <c r="DX124" s="325"/>
      <c r="DY124" s="325"/>
      <c r="DZ124" s="325"/>
      <c r="EA124" s="325"/>
      <c r="EB124" s="325"/>
      <c r="EC124" s="325"/>
      <c r="ED124" s="325"/>
      <c r="EE124" s="325"/>
      <c r="EF124" s="325"/>
      <c r="EG124" s="325"/>
      <c r="EH124" s="325"/>
    </row>
    <row r="125" spans="1:138">
      <c r="A125" s="222"/>
      <c r="B125" s="318"/>
      <c r="C125" s="313" t="s">
        <v>147</v>
      </c>
      <c r="D125" s="322">
        <f>(D124-D122)/D123</f>
        <v>0.47885756180579953</v>
      </c>
      <c r="E125" s="222"/>
      <c r="F125" s="238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 t="s">
        <v>333</v>
      </c>
      <c r="T125" s="222"/>
      <c r="U125" s="222"/>
      <c r="V125" s="222">
        <f>T119-V124</f>
        <v>-19333333</v>
      </c>
      <c r="W125" s="222"/>
      <c r="X125" s="222">
        <f>V124-T113-T101</f>
        <v>17571990.597005781</v>
      </c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325"/>
      <c r="DX125" s="325"/>
      <c r="DY125" s="325"/>
      <c r="DZ125" s="325"/>
      <c r="EA125" s="325"/>
      <c r="EB125" s="325"/>
      <c r="EC125" s="325"/>
      <c r="ED125" s="325"/>
      <c r="EE125" s="325"/>
      <c r="EF125" s="325"/>
      <c r="EG125" s="325"/>
      <c r="EH125" s="325"/>
    </row>
    <row r="126" spans="1:138">
      <c r="A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38" t="e">
        <f>V125/-J113</f>
        <v>#DIV/0!</v>
      </c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  <c r="BB126" s="222"/>
      <c r="BC126" s="222"/>
      <c r="BD126" s="222"/>
      <c r="BE126" s="222"/>
      <c r="BF126" s="222"/>
      <c r="BG126" s="222"/>
      <c r="BH126" s="222"/>
      <c r="BI126" s="222"/>
      <c r="BJ126" s="222"/>
      <c r="BK126" s="222"/>
      <c r="BL126" s="222"/>
      <c r="BM126" s="222"/>
      <c r="BN126" s="222"/>
      <c r="BO126" s="222"/>
      <c r="BP126" s="222"/>
      <c r="BQ126" s="222"/>
      <c r="BR126" s="222"/>
      <c r="BS126" s="222"/>
      <c r="BT126" s="222"/>
      <c r="BU126" s="222"/>
      <c r="BV126" s="222"/>
      <c r="BW126" s="222"/>
      <c r="BX126" s="222"/>
      <c r="BY126" s="222"/>
      <c r="BZ126" s="222"/>
      <c r="CA126" s="222"/>
      <c r="CB126" s="222"/>
      <c r="CC126" s="222"/>
      <c r="CD126" s="222"/>
      <c r="CE126" s="222"/>
      <c r="CF126" s="222"/>
      <c r="CG126" s="222"/>
      <c r="CH126" s="222"/>
      <c r="CI126" s="222"/>
      <c r="CJ126" s="222"/>
      <c r="CK126" s="222"/>
      <c r="CL126" s="222"/>
      <c r="CM126" s="222"/>
      <c r="CN126" s="222"/>
      <c r="CO126" s="222"/>
      <c r="CP126" s="222"/>
      <c r="CQ126" s="222"/>
      <c r="CR126" s="222"/>
      <c r="CS126" s="222"/>
      <c r="CT126" s="222"/>
      <c r="CU126" s="222"/>
      <c r="CV126" s="222"/>
      <c r="CW126" s="222"/>
      <c r="CX126" s="222"/>
      <c r="CY126" s="222"/>
      <c r="CZ126" s="222"/>
      <c r="DA126" s="222"/>
      <c r="DB126" s="222"/>
      <c r="DC126" s="222"/>
      <c r="DD126" s="222"/>
      <c r="DE126" s="222"/>
      <c r="DF126" s="222"/>
      <c r="DG126" s="222"/>
      <c r="DH126" s="222"/>
      <c r="DI126" s="222"/>
      <c r="DJ126" s="222"/>
      <c r="DK126" s="222"/>
      <c r="DL126" s="222"/>
      <c r="DM126" s="222"/>
      <c r="DN126" s="222"/>
      <c r="DO126" s="222"/>
      <c r="DP126" s="222"/>
      <c r="DQ126" s="222"/>
      <c r="DR126" s="222"/>
      <c r="DS126" s="222"/>
      <c r="DT126" s="222"/>
      <c r="DU126" s="222"/>
      <c r="DV126" s="222"/>
      <c r="DW126" s="325"/>
      <c r="DX126" s="325"/>
      <c r="DY126" s="325"/>
      <c r="DZ126" s="325"/>
      <c r="EA126" s="325"/>
      <c r="EB126" s="325"/>
      <c r="EC126" s="325"/>
      <c r="ED126" s="325"/>
      <c r="EE126" s="325"/>
      <c r="EF126" s="325"/>
      <c r="EG126" s="325"/>
      <c r="EH126" s="325"/>
    </row>
    <row r="127" spans="1:138">
      <c r="A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  <c r="BB127" s="222"/>
      <c r="BC127" s="222"/>
      <c r="BD127" s="222"/>
      <c r="BE127" s="222"/>
      <c r="BF127" s="222"/>
      <c r="BG127" s="222"/>
      <c r="BH127" s="222"/>
      <c r="BI127" s="222"/>
      <c r="BJ127" s="222"/>
      <c r="BK127" s="222"/>
      <c r="BL127" s="222"/>
      <c r="BM127" s="222"/>
      <c r="BN127" s="222"/>
      <c r="BO127" s="222"/>
      <c r="BP127" s="222"/>
      <c r="BQ127" s="222"/>
      <c r="BR127" s="222"/>
      <c r="BS127" s="222"/>
      <c r="BT127" s="222"/>
      <c r="BU127" s="222"/>
      <c r="BV127" s="222"/>
      <c r="BW127" s="222"/>
      <c r="BX127" s="222"/>
      <c r="BY127" s="222"/>
      <c r="BZ127" s="222"/>
      <c r="CA127" s="222"/>
      <c r="CB127" s="222"/>
      <c r="CC127" s="222"/>
      <c r="CD127" s="222"/>
      <c r="CE127" s="222"/>
      <c r="CF127" s="222"/>
      <c r="CG127" s="222"/>
      <c r="CH127" s="222"/>
      <c r="CI127" s="222"/>
      <c r="CJ127" s="222"/>
      <c r="CK127" s="222"/>
      <c r="CL127" s="222"/>
      <c r="CM127" s="222"/>
      <c r="CN127" s="222"/>
      <c r="CO127" s="222"/>
      <c r="CP127" s="222"/>
      <c r="CQ127" s="222"/>
      <c r="CR127" s="222"/>
      <c r="CS127" s="222"/>
      <c r="CT127" s="222"/>
      <c r="CU127" s="222"/>
      <c r="CV127" s="222"/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2"/>
      <c r="DI127" s="222"/>
      <c r="DJ127" s="222"/>
      <c r="DK127" s="222"/>
      <c r="DL127" s="222"/>
      <c r="DM127" s="222"/>
      <c r="DN127" s="222"/>
      <c r="DO127" s="222"/>
      <c r="DP127" s="222"/>
      <c r="DQ127" s="222"/>
      <c r="DR127" s="222"/>
      <c r="DS127" s="222"/>
      <c r="DT127" s="222"/>
      <c r="DU127" s="222"/>
      <c r="DV127" s="222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</row>
    <row r="128" spans="1:138">
      <c r="A128" s="222"/>
      <c r="E128" s="222"/>
      <c r="F128" s="222"/>
      <c r="G128" s="222"/>
      <c r="H128" s="222">
        <f t="shared" ref="H128:Z128" si="44">-SUM(H5:H6)</f>
        <v>-16365002</v>
      </c>
      <c r="I128" s="222">
        <f t="shared" si="44"/>
        <v>0</v>
      </c>
      <c r="J128" s="222">
        <f t="shared" si="44"/>
        <v>0</v>
      </c>
      <c r="K128" s="222">
        <f t="shared" si="44"/>
        <v>-885000</v>
      </c>
      <c r="L128" s="222">
        <f t="shared" si="44"/>
        <v>-1940000</v>
      </c>
      <c r="M128" s="222">
        <f t="shared" si="44"/>
        <v>-4260000</v>
      </c>
      <c r="N128" s="222">
        <f t="shared" si="44"/>
        <v>0</v>
      </c>
      <c r="O128" s="222">
        <f t="shared" si="44"/>
        <v>-320000</v>
      </c>
      <c r="P128" s="222">
        <f t="shared" si="44"/>
        <v>-320000</v>
      </c>
      <c r="Q128" s="222">
        <f t="shared" si="44"/>
        <v>0</v>
      </c>
      <c r="R128" s="222">
        <f t="shared" si="44"/>
        <v>-1500000</v>
      </c>
      <c r="S128" s="222">
        <f t="shared" si="44"/>
        <v>-2300000</v>
      </c>
      <c r="T128" s="222">
        <f t="shared" si="44"/>
        <v>-7300000</v>
      </c>
      <c r="U128" s="222">
        <f t="shared" si="44"/>
        <v>-5000000</v>
      </c>
      <c r="V128" s="222">
        <f t="shared" si="44"/>
        <v>-1000000</v>
      </c>
      <c r="W128" s="222">
        <f t="shared" si="44"/>
        <v>0</v>
      </c>
      <c r="X128" s="222">
        <f t="shared" si="44"/>
        <v>0</v>
      </c>
      <c r="Y128" s="222">
        <f t="shared" si="44"/>
        <v>0</v>
      </c>
      <c r="Z128" s="222">
        <f t="shared" si="44"/>
        <v>0</v>
      </c>
      <c r="AA128" s="222">
        <f>-SUM(H128:Z128)+AA101-AA56-AA57-5000000</f>
        <v>68237958.450591817</v>
      </c>
      <c r="AB128" s="222">
        <f>AA128+SUM(H128:Z128)</f>
        <v>27047956.450591817</v>
      </c>
      <c r="AC128" s="238">
        <f>AB128/-SUM(H128:Z128)</f>
        <v>0.65666314972725215</v>
      </c>
      <c r="AD128" s="222"/>
      <c r="AE128" s="222"/>
      <c r="AF128" s="222"/>
      <c r="AG128" s="222"/>
      <c r="AH128" s="222"/>
      <c r="AI128" s="222"/>
      <c r="AJ128" s="222"/>
      <c r="AK128" s="222"/>
      <c r="AL128" s="222"/>
      <c r="AM128" s="222"/>
      <c r="AN128" s="222"/>
      <c r="AO128" s="238">
        <f>AC128/20*12</f>
        <v>0.39399788983635126</v>
      </c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22"/>
      <c r="BC128" s="222"/>
      <c r="BD128" s="222"/>
      <c r="BE128" s="222"/>
      <c r="BF128" s="222"/>
      <c r="BG128" s="222"/>
      <c r="BH128" s="222"/>
      <c r="BI128" s="222"/>
      <c r="BJ128" s="222"/>
      <c r="BK128" s="222"/>
      <c r="BL128" s="222"/>
      <c r="BM128" s="222"/>
      <c r="BN128" s="222"/>
      <c r="BO128" s="222"/>
      <c r="BP128" s="222"/>
      <c r="BQ128" s="222"/>
      <c r="BR128" s="222"/>
      <c r="BS128" s="222"/>
      <c r="BT128" s="222"/>
      <c r="BU128" s="222"/>
      <c r="BV128" s="222"/>
      <c r="BW128" s="222"/>
      <c r="BX128" s="222"/>
      <c r="BY128" s="222"/>
      <c r="BZ128" s="222"/>
      <c r="CA128" s="222"/>
      <c r="CB128" s="222"/>
      <c r="CC128" s="222"/>
      <c r="CD128" s="222"/>
      <c r="CE128" s="222"/>
      <c r="CF128" s="222"/>
      <c r="CG128" s="222"/>
      <c r="CH128" s="222"/>
      <c r="CI128" s="222"/>
      <c r="CJ128" s="222"/>
      <c r="CK128" s="222"/>
      <c r="CL128" s="222"/>
      <c r="CM128" s="222"/>
      <c r="CN128" s="222"/>
      <c r="CO128" s="222"/>
      <c r="CP128" s="222"/>
      <c r="CQ128" s="222"/>
      <c r="CR128" s="222"/>
      <c r="CS128" s="222"/>
      <c r="CT128" s="222"/>
      <c r="CU128" s="222"/>
      <c r="CV128" s="222"/>
      <c r="CW128" s="222"/>
      <c r="CX128" s="222"/>
      <c r="CY128" s="222"/>
      <c r="CZ128" s="222"/>
      <c r="DA128" s="222"/>
      <c r="DB128" s="222"/>
      <c r="DC128" s="222"/>
      <c r="DD128" s="222"/>
      <c r="DE128" s="222"/>
      <c r="DF128" s="222"/>
      <c r="DG128" s="222"/>
      <c r="DH128" s="222"/>
      <c r="DI128" s="222"/>
      <c r="DJ128" s="222"/>
      <c r="DK128" s="222"/>
      <c r="DL128" s="222"/>
      <c r="DM128" s="222"/>
      <c r="DN128" s="222"/>
      <c r="DO128" s="222"/>
      <c r="DP128" s="222"/>
      <c r="DQ128" s="222"/>
      <c r="DR128" s="222"/>
      <c r="DS128" s="222"/>
      <c r="DT128" s="222"/>
      <c r="DU128" s="222"/>
      <c r="DV128" s="222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</row>
    <row r="129" spans="1:138">
      <c r="A129" s="222"/>
      <c r="E129" s="222"/>
      <c r="F129" s="222"/>
      <c r="G129" s="238">
        <f>IRR(H128:AA128)*12</f>
        <v>0.45212172934955319</v>
      </c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2"/>
      <c r="AQ129" s="222"/>
      <c r="AR129" s="222"/>
      <c r="AS129" s="222"/>
      <c r="AT129" s="222"/>
      <c r="AU129" s="222"/>
      <c r="AV129" s="222"/>
      <c r="AW129" s="222"/>
      <c r="AX129" s="222"/>
      <c r="AY129" s="222"/>
      <c r="AZ129" s="222"/>
      <c r="BA129" s="222"/>
      <c r="BB129" s="222"/>
      <c r="BC129" s="222"/>
      <c r="BD129" s="222"/>
      <c r="BE129" s="222"/>
      <c r="BF129" s="222"/>
      <c r="BG129" s="222"/>
      <c r="BH129" s="222"/>
      <c r="BI129" s="222"/>
      <c r="BJ129" s="222"/>
      <c r="BK129" s="222"/>
      <c r="BL129" s="222"/>
      <c r="BM129" s="222"/>
      <c r="BN129" s="222"/>
      <c r="BO129" s="222"/>
      <c r="BP129" s="222"/>
      <c r="BQ129" s="222"/>
      <c r="BR129" s="222"/>
      <c r="BS129" s="222"/>
      <c r="BT129" s="222"/>
      <c r="BU129" s="222"/>
      <c r="BV129" s="222"/>
      <c r="BW129" s="222"/>
      <c r="BX129" s="222"/>
      <c r="BY129" s="222"/>
      <c r="BZ129" s="222"/>
      <c r="CA129" s="222"/>
      <c r="CB129" s="222"/>
      <c r="CC129" s="222"/>
      <c r="CD129" s="222"/>
      <c r="CE129" s="222"/>
      <c r="CF129" s="222"/>
      <c r="CG129" s="222"/>
      <c r="CH129" s="222"/>
      <c r="CI129" s="222"/>
      <c r="CJ129" s="222"/>
      <c r="CK129" s="222"/>
      <c r="CL129" s="222"/>
      <c r="CM129" s="222"/>
      <c r="CN129" s="222"/>
      <c r="CO129" s="222"/>
      <c r="CP129" s="222"/>
      <c r="CQ129" s="222"/>
      <c r="CR129" s="222"/>
      <c r="CS129" s="222"/>
      <c r="CT129" s="222"/>
      <c r="CU129" s="222"/>
      <c r="CV129" s="222"/>
      <c r="CW129" s="222"/>
      <c r="CX129" s="222"/>
      <c r="CY129" s="222"/>
      <c r="CZ129" s="222"/>
      <c r="DA129" s="222"/>
      <c r="DB129" s="222"/>
      <c r="DC129" s="222"/>
      <c r="DD129" s="222"/>
      <c r="DE129" s="222"/>
      <c r="DF129" s="222"/>
      <c r="DG129" s="222"/>
      <c r="DH129" s="222"/>
      <c r="DI129" s="222"/>
      <c r="DJ129" s="222"/>
      <c r="DK129" s="222"/>
      <c r="DL129" s="222"/>
      <c r="DM129" s="222"/>
      <c r="DN129" s="222"/>
      <c r="DO129" s="222"/>
      <c r="DP129" s="222"/>
      <c r="DQ129" s="222"/>
      <c r="DR129" s="222"/>
      <c r="DS129" s="222"/>
      <c r="DT129" s="222"/>
      <c r="DU129" s="222"/>
      <c r="DV129" s="222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</row>
    <row r="130" spans="1:138">
      <c r="A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222"/>
      <c r="AF130" s="222"/>
      <c r="AG130" s="222"/>
      <c r="AH130" s="222"/>
      <c r="AI130" s="222"/>
      <c r="AJ130" s="222"/>
      <c r="AK130" s="222"/>
      <c r="AL130" s="222"/>
      <c r="AM130" s="222"/>
      <c r="AN130" s="222"/>
      <c r="AO130" s="222"/>
      <c r="AP130" s="222"/>
      <c r="AQ130" s="222"/>
      <c r="AR130" s="222"/>
      <c r="AS130" s="222"/>
      <c r="AT130" s="222"/>
      <c r="AU130" s="222"/>
      <c r="AV130" s="222"/>
      <c r="AW130" s="222"/>
      <c r="AX130" s="222"/>
      <c r="AY130" s="222"/>
      <c r="AZ130" s="222"/>
      <c r="BA130" s="222"/>
      <c r="BB130" s="222"/>
      <c r="BC130" s="222"/>
      <c r="BD130" s="222"/>
      <c r="BE130" s="222"/>
      <c r="BF130" s="222"/>
      <c r="BG130" s="222"/>
      <c r="BH130" s="222"/>
      <c r="BI130" s="222"/>
      <c r="BJ130" s="222"/>
      <c r="BK130" s="222"/>
      <c r="BL130" s="222"/>
      <c r="BM130" s="222"/>
      <c r="BN130" s="222"/>
      <c r="BO130" s="222"/>
      <c r="BP130" s="222"/>
      <c r="BQ130" s="222"/>
      <c r="BR130" s="222"/>
      <c r="BS130" s="222"/>
      <c r="BT130" s="222"/>
      <c r="BU130" s="222"/>
      <c r="BV130" s="222"/>
      <c r="BW130" s="222"/>
      <c r="BX130" s="222"/>
      <c r="BY130" s="222"/>
      <c r="BZ130" s="222"/>
      <c r="CA130" s="222"/>
      <c r="CB130" s="222"/>
      <c r="CC130" s="222"/>
      <c r="CD130" s="222"/>
      <c r="CE130" s="222"/>
      <c r="CF130" s="222"/>
      <c r="CG130" s="222"/>
      <c r="CH130" s="222"/>
      <c r="CI130" s="222"/>
      <c r="CJ130" s="222"/>
      <c r="CK130" s="222"/>
      <c r="CL130" s="222"/>
      <c r="CM130" s="222"/>
      <c r="CN130" s="222"/>
      <c r="CO130" s="222"/>
      <c r="CP130" s="222"/>
      <c r="CQ130" s="222"/>
      <c r="CR130" s="222"/>
      <c r="CS130" s="222"/>
      <c r="CT130" s="222"/>
      <c r="CU130" s="222"/>
      <c r="CV130" s="222"/>
      <c r="CW130" s="222"/>
      <c r="CX130" s="222"/>
      <c r="CY130" s="222"/>
      <c r="CZ130" s="222"/>
      <c r="DA130" s="222"/>
      <c r="DB130" s="222"/>
      <c r="DC130" s="222"/>
      <c r="DD130" s="222"/>
      <c r="DE130" s="222"/>
      <c r="DF130" s="222"/>
      <c r="DG130" s="222"/>
      <c r="DH130" s="222"/>
      <c r="DI130" s="222"/>
      <c r="DJ130" s="222"/>
      <c r="DK130" s="222"/>
      <c r="DL130" s="222"/>
      <c r="DM130" s="222"/>
      <c r="DN130" s="222"/>
      <c r="DO130" s="222"/>
      <c r="DP130" s="222"/>
      <c r="DQ130" s="222"/>
      <c r="DR130" s="222"/>
      <c r="DS130" s="222"/>
      <c r="DT130" s="222"/>
      <c r="DU130" s="222"/>
      <c r="DV130" s="222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</row>
    <row r="131" spans="1:138">
      <c r="A131" s="222"/>
      <c r="B131" s="318"/>
      <c r="C131" s="310" t="s">
        <v>304</v>
      </c>
      <c r="D131" s="311"/>
      <c r="E131" s="311">
        <f t="shared" ref="E131:BX131" si="45">-(E6+E92)</f>
        <v>0</v>
      </c>
      <c r="F131" s="311">
        <f t="shared" si="45"/>
        <v>0</v>
      </c>
      <c r="G131" s="311">
        <f t="shared" si="45"/>
        <v>0</v>
      </c>
      <c r="H131" s="311">
        <f t="shared" si="45"/>
        <v>0</v>
      </c>
      <c r="I131" s="311">
        <f t="shared" si="45"/>
        <v>0</v>
      </c>
      <c r="J131" s="311">
        <f t="shared" si="45"/>
        <v>0</v>
      </c>
      <c r="K131" s="311">
        <f t="shared" si="45"/>
        <v>-885000</v>
      </c>
      <c r="L131" s="311">
        <f t="shared" si="45"/>
        <v>-1940000</v>
      </c>
      <c r="M131" s="311">
        <f t="shared" si="45"/>
        <v>-4260000</v>
      </c>
      <c r="N131" s="311">
        <f t="shared" si="45"/>
        <v>0</v>
      </c>
      <c r="O131" s="311">
        <f t="shared" si="45"/>
        <v>-320000</v>
      </c>
      <c r="P131" s="311">
        <f t="shared" si="45"/>
        <v>-320000</v>
      </c>
      <c r="Q131" s="311">
        <f t="shared" si="45"/>
        <v>0</v>
      </c>
      <c r="R131" s="311">
        <f t="shared" si="45"/>
        <v>-1500000</v>
      </c>
      <c r="S131" s="311">
        <f t="shared" si="45"/>
        <v>-2300000</v>
      </c>
      <c r="T131" s="311">
        <f t="shared" si="45"/>
        <v>-7300000</v>
      </c>
      <c r="U131" s="311">
        <f t="shared" si="45"/>
        <v>-5000000</v>
      </c>
      <c r="V131" s="311">
        <f t="shared" si="45"/>
        <v>-1000000</v>
      </c>
      <c r="W131" s="311">
        <f t="shared" si="45"/>
        <v>0</v>
      </c>
      <c r="X131" s="311">
        <f t="shared" si="45"/>
        <v>0</v>
      </c>
      <c r="Y131" s="311">
        <f t="shared" si="45"/>
        <v>0</v>
      </c>
      <c r="Z131" s="311">
        <f t="shared" si="45"/>
        <v>0</v>
      </c>
      <c r="AA131" s="311">
        <f t="shared" si="45"/>
        <v>24825000</v>
      </c>
      <c r="AB131" s="311">
        <f t="shared" si="45"/>
        <v>0</v>
      </c>
      <c r="AC131" s="311">
        <f t="shared" si="45"/>
        <v>0</v>
      </c>
      <c r="AD131" s="311">
        <f t="shared" si="45"/>
        <v>0</v>
      </c>
      <c r="AE131" s="311">
        <f t="shared" si="45"/>
        <v>0</v>
      </c>
      <c r="AF131" s="311">
        <f t="shared" si="45"/>
        <v>0</v>
      </c>
      <c r="AG131" s="311">
        <f t="shared" si="45"/>
        <v>0</v>
      </c>
      <c r="AH131" s="311">
        <f t="shared" si="45"/>
        <v>0</v>
      </c>
      <c r="AI131" s="311">
        <f t="shared" si="45"/>
        <v>0</v>
      </c>
      <c r="AJ131" s="311">
        <f t="shared" si="45"/>
        <v>0</v>
      </c>
      <c r="AK131" s="311">
        <f t="shared" si="45"/>
        <v>0</v>
      </c>
      <c r="AL131" s="311">
        <f t="shared" si="45"/>
        <v>0</v>
      </c>
      <c r="AM131" s="311">
        <f t="shared" si="45"/>
        <v>0</v>
      </c>
      <c r="AN131" s="311">
        <f t="shared" si="45"/>
        <v>0</v>
      </c>
      <c r="AO131" s="311">
        <f t="shared" si="45"/>
        <v>0</v>
      </c>
      <c r="AP131" s="311">
        <f t="shared" si="45"/>
        <v>0</v>
      </c>
      <c r="AQ131" s="311">
        <f t="shared" si="45"/>
        <v>0</v>
      </c>
      <c r="AR131" s="311">
        <f t="shared" si="45"/>
        <v>0</v>
      </c>
      <c r="AS131" s="311">
        <f t="shared" si="45"/>
        <v>0</v>
      </c>
      <c r="AT131" s="311">
        <f t="shared" si="45"/>
        <v>0</v>
      </c>
      <c r="AU131" s="311">
        <f t="shared" si="45"/>
        <v>0</v>
      </c>
      <c r="AV131" s="311">
        <f t="shared" si="45"/>
        <v>0</v>
      </c>
      <c r="AW131" s="311">
        <f t="shared" si="45"/>
        <v>0</v>
      </c>
      <c r="AX131" s="311">
        <f t="shared" si="45"/>
        <v>0</v>
      </c>
      <c r="AY131" s="311">
        <f t="shared" si="45"/>
        <v>0</v>
      </c>
      <c r="AZ131" s="311">
        <f t="shared" si="45"/>
        <v>0</v>
      </c>
      <c r="BA131" s="311">
        <f t="shared" si="45"/>
        <v>0</v>
      </c>
      <c r="BB131" s="311">
        <f t="shared" si="45"/>
        <v>0</v>
      </c>
      <c r="BC131" s="311">
        <f t="shared" si="45"/>
        <v>0</v>
      </c>
      <c r="BD131" s="311">
        <f t="shared" si="45"/>
        <v>0</v>
      </c>
      <c r="BE131" s="311">
        <f t="shared" si="45"/>
        <v>0</v>
      </c>
      <c r="BF131" s="311">
        <f t="shared" si="45"/>
        <v>0</v>
      </c>
      <c r="BG131" s="311">
        <f t="shared" si="45"/>
        <v>0</v>
      </c>
      <c r="BH131" s="311">
        <f t="shared" si="45"/>
        <v>0</v>
      </c>
      <c r="BI131" s="311">
        <f t="shared" si="45"/>
        <v>0</v>
      </c>
      <c r="BJ131" s="311">
        <f t="shared" si="45"/>
        <v>0</v>
      </c>
      <c r="BK131" s="311">
        <f t="shared" si="45"/>
        <v>0</v>
      </c>
      <c r="BL131" s="311">
        <f t="shared" si="45"/>
        <v>0</v>
      </c>
      <c r="BM131" s="311">
        <f t="shared" si="45"/>
        <v>0</v>
      </c>
      <c r="BN131" s="311">
        <f t="shared" si="45"/>
        <v>0</v>
      </c>
      <c r="BO131" s="311">
        <f t="shared" si="45"/>
        <v>0</v>
      </c>
      <c r="BP131" s="311">
        <f t="shared" si="45"/>
        <v>0</v>
      </c>
      <c r="BQ131" s="311">
        <f t="shared" si="45"/>
        <v>0</v>
      </c>
      <c r="BR131" s="311">
        <f t="shared" si="45"/>
        <v>0</v>
      </c>
      <c r="BS131" s="311">
        <f t="shared" si="45"/>
        <v>0</v>
      </c>
      <c r="BT131" s="311">
        <f t="shared" si="45"/>
        <v>0</v>
      </c>
      <c r="BU131" s="311">
        <f t="shared" si="45"/>
        <v>0</v>
      </c>
      <c r="BV131" s="311">
        <f t="shared" si="45"/>
        <v>0</v>
      </c>
      <c r="BW131" s="311">
        <f t="shared" si="45"/>
        <v>0</v>
      </c>
      <c r="BX131" s="311">
        <f t="shared" si="45"/>
        <v>0</v>
      </c>
      <c r="BY131" s="222"/>
      <c r="BZ131" s="222"/>
      <c r="CA131" s="222"/>
      <c r="CB131" s="222"/>
      <c r="CC131" s="222"/>
      <c r="CD131" s="222"/>
      <c r="CE131" s="222"/>
      <c r="CF131" s="222"/>
      <c r="CG131" s="222"/>
      <c r="CH131" s="222"/>
      <c r="CI131" s="222"/>
      <c r="CJ131" s="222"/>
      <c r="CK131" s="222"/>
      <c r="CL131" s="222"/>
      <c r="CM131" s="222"/>
      <c r="CN131" s="222"/>
      <c r="CO131" s="222"/>
      <c r="CP131" s="222"/>
      <c r="CQ131" s="222"/>
      <c r="CR131" s="222"/>
      <c r="CS131" s="222"/>
      <c r="CT131" s="222"/>
      <c r="CU131" s="222"/>
      <c r="CV131" s="222"/>
      <c r="CW131" s="222"/>
      <c r="CX131" s="222"/>
      <c r="CY131" s="222"/>
      <c r="CZ131" s="222"/>
      <c r="DA131" s="222"/>
      <c r="DB131" s="222"/>
      <c r="DC131" s="222"/>
      <c r="DD131" s="222"/>
      <c r="DE131" s="222"/>
      <c r="DF131" s="222"/>
      <c r="DG131" s="222"/>
      <c r="DH131" s="222"/>
      <c r="DI131" s="222"/>
      <c r="DJ131" s="222"/>
      <c r="DK131" s="222"/>
      <c r="DL131" s="222"/>
      <c r="DM131" s="222"/>
      <c r="DN131" s="222"/>
      <c r="DO131" s="222"/>
      <c r="DP131" s="222"/>
      <c r="DQ131" s="222"/>
      <c r="DR131" s="222"/>
      <c r="DS131" s="222"/>
      <c r="DT131" s="222"/>
      <c r="DU131" s="222"/>
      <c r="DV131" s="222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</row>
    <row r="132" spans="1:138">
      <c r="A132" s="222"/>
      <c r="B132" s="318"/>
      <c r="C132" s="310" t="s">
        <v>305</v>
      </c>
      <c r="D132" s="319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  <c r="T132" s="311"/>
      <c r="U132" s="311"/>
      <c r="V132" s="311"/>
      <c r="W132" s="311"/>
      <c r="X132" s="311"/>
      <c r="Y132" s="311"/>
      <c r="Z132" s="311"/>
      <c r="AA132" s="311"/>
      <c r="AB132" s="311"/>
      <c r="AC132" s="311"/>
      <c r="AD132" s="311"/>
      <c r="AE132" s="311"/>
      <c r="AF132" s="311"/>
      <c r="AG132" s="311"/>
      <c r="AH132" s="311"/>
      <c r="AI132" s="311"/>
      <c r="AJ132" s="311"/>
      <c r="AK132" s="311"/>
      <c r="AL132" s="311"/>
      <c r="AM132" s="311"/>
      <c r="AN132" s="311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1"/>
      <c r="AZ132" s="311"/>
      <c r="BA132" s="311"/>
      <c r="BB132" s="311"/>
      <c r="BC132" s="311"/>
      <c r="BD132" s="311"/>
      <c r="BE132" s="311"/>
      <c r="BF132" s="311"/>
      <c r="BG132" s="311"/>
      <c r="BH132" s="311"/>
      <c r="BI132" s="311"/>
      <c r="BJ132" s="311"/>
      <c r="BK132" s="311"/>
      <c r="BL132" s="311"/>
      <c r="BM132" s="311"/>
      <c r="BN132" s="311"/>
      <c r="BO132" s="311"/>
      <c r="BP132" s="311"/>
      <c r="BQ132" s="311"/>
      <c r="BR132" s="311"/>
      <c r="BS132" s="311"/>
      <c r="BT132" s="311"/>
      <c r="BU132" s="311"/>
      <c r="BV132" s="311"/>
      <c r="BW132" s="311"/>
      <c r="BX132" s="311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2"/>
      <c r="DL132" s="222"/>
      <c r="DM132" s="222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</row>
    <row r="133" spans="1:138">
      <c r="A133" s="222"/>
      <c r="B133" s="318"/>
      <c r="C133" s="310" t="s">
        <v>296</v>
      </c>
      <c r="D133" s="319"/>
      <c r="E133" s="311">
        <f t="shared" ref="E133:BX133" si="46">-E57</f>
        <v>0</v>
      </c>
      <c r="F133" s="311">
        <f t="shared" si="46"/>
        <v>0</v>
      </c>
      <c r="G133" s="311">
        <f t="shared" si="46"/>
        <v>0</v>
      </c>
      <c r="H133" s="311">
        <f t="shared" si="46"/>
        <v>0</v>
      </c>
      <c r="I133" s="311">
        <f t="shared" si="46"/>
        <v>0</v>
      </c>
      <c r="J133" s="311">
        <f t="shared" si="46"/>
        <v>0</v>
      </c>
      <c r="K133" s="311">
        <f t="shared" si="46"/>
        <v>0</v>
      </c>
      <c r="L133" s="311">
        <f t="shared" si="46"/>
        <v>0</v>
      </c>
      <c r="M133" s="311">
        <f t="shared" si="46"/>
        <v>0</v>
      </c>
      <c r="N133" s="311">
        <f t="shared" si="46"/>
        <v>0</v>
      </c>
      <c r="O133" s="311">
        <f t="shared" si="46"/>
        <v>0</v>
      </c>
      <c r="P133" s="311">
        <f t="shared" si="46"/>
        <v>0</v>
      </c>
      <c r="Q133" s="311">
        <f t="shared" si="46"/>
        <v>0</v>
      </c>
      <c r="R133" s="311">
        <f t="shared" si="46"/>
        <v>0</v>
      </c>
      <c r="S133" s="311">
        <f t="shared" si="46"/>
        <v>0</v>
      </c>
      <c r="T133" s="311">
        <f t="shared" si="46"/>
        <v>0</v>
      </c>
      <c r="U133" s="311">
        <f t="shared" si="46"/>
        <v>0</v>
      </c>
      <c r="V133" s="311">
        <f t="shared" si="46"/>
        <v>0</v>
      </c>
      <c r="W133" s="311">
        <f t="shared" si="46"/>
        <v>0</v>
      </c>
      <c r="X133" s="311">
        <f t="shared" si="46"/>
        <v>0</v>
      </c>
      <c r="Y133" s="311">
        <f t="shared" si="46"/>
        <v>0</v>
      </c>
      <c r="Z133" s="311">
        <f t="shared" si="46"/>
        <v>0</v>
      </c>
      <c r="AA133" s="311">
        <f t="shared" si="46"/>
        <v>2535912.5</v>
      </c>
      <c r="AB133" s="311">
        <f t="shared" si="46"/>
        <v>0</v>
      </c>
      <c r="AC133" s="311">
        <f t="shared" si="46"/>
        <v>0</v>
      </c>
      <c r="AD133" s="311">
        <f t="shared" si="46"/>
        <v>0</v>
      </c>
      <c r="AE133" s="311">
        <f t="shared" si="46"/>
        <v>0</v>
      </c>
      <c r="AF133" s="311">
        <f t="shared" si="46"/>
        <v>0</v>
      </c>
      <c r="AG133" s="311">
        <f t="shared" si="46"/>
        <v>0</v>
      </c>
      <c r="AH133" s="311">
        <f t="shared" si="46"/>
        <v>0</v>
      </c>
      <c r="AI133" s="311">
        <f t="shared" si="46"/>
        <v>0</v>
      </c>
      <c r="AJ133" s="311">
        <f t="shared" si="46"/>
        <v>0</v>
      </c>
      <c r="AK133" s="311">
        <f t="shared" si="46"/>
        <v>0</v>
      </c>
      <c r="AL133" s="311">
        <f t="shared" si="46"/>
        <v>0</v>
      </c>
      <c r="AM133" s="311">
        <f t="shared" si="46"/>
        <v>0</v>
      </c>
      <c r="AN133" s="311">
        <f t="shared" si="46"/>
        <v>0</v>
      </c>
      <c r="AO133" s="311">
        <f t="shared" si="46"/>
        <v>0</v>
      </c>
      <c r="AP133" s="311">
        <f t="shared" si="46"/>
        <v>0</v>
      </c>
      <c r="AQ133" s="311">
        <f t="shared" si="46"/>
        <v>0</v>
      </c>
      <c r="AR133" s="311">
        <f t="shared" si="46"/>
        <v>0</v>
      </c>
      <c r="AS133" s="311">
        <f t="shared" si="46"/>
        <v>0</v>
      </c>
      <c r="AT133" s="311">
        <f t="shared" si="46"/>
        <v>0</v>
      </c>
      <c r="AU133" s="311">
        <f t="shared" si="46"/>
        <v>0</v>
      </c>
      <c r="AV133" s="311">
        <f t="shared" si="46"/>
        <v>0</v>
      </c>
      <c r="AW133" s="311">
        <f t="shared" si="46"/>
        <v>0</v>
      </c>
      <c r="AX133" s="311">
        <f t="shared" si="46"/>
        <v>0</v>
      </c>
      <c r="AY133" s="311">
        <f t="shared" si="46"/>
        <v>0</v>
      </c>
      <c r="AZ133" s="311">
        <f t="shared" si="46"/>
        <v>0</v>
      </c>
      <c r="BA133" s="311">
        <f t="shared" si="46"/>
        <v>0</v>
      </c>
      <c r="BB133" s="311">
        <f t="shared" si="46"/>
        <v>0</v>
      </c>
      <c r="BC133" s="311">
        <f t="shared" si="46"/>
        <v>0</v>
      </c>
      <c r="BD133" s="311">
        <f t="shared" si="46"/>
        <v>0</v>
      </c>
      <c r="BE133" s="311">
        <f t="shared" si="46"/>
        <v>0</v>
      </c>
      <c r="BF133" s="311">
        <f t="shared" si="46"/>
        <v>0</v>
      </c>
      <c r="BG133" s="311">
        <f t="shared" si="46"/>
        <v>0</v>
      </c>
      <c r="BH133" s="311">
        <f t="shared" si="46"/>
        <v>0</v>
      </c>
      <c r="BI133" s="311">
        <f t="shared" si="46"/>
        <v>0</v>
      </c>
      <c r="BJ133" s="311">
        <f t="shared" si="46"/>
        <v>0</v>
      </c>
      <c r="BK133" s="311">
        <f t="shared" si="46"/>
        <v>0</v>
      </c>
      <c r="BL133" s="311">
        <f t="shared" si="46"/>
        <v>0</v>
      </c>
      <c r="BM133" s="311">
        <f t="shared" si="46"/>
        <v>0</v>
      </c>
      <c r="BN133" s="311">
        <f t="shared" si="46"/>
        <v>0</v>
      </c>
      <c r="BO133" s="311">
        <f t="shared" si="46"/>
        <v>0</v>
      </c>
      <c r="BP133" s="311">
        <f t="shared" si="46"/>
        <v>0</v>
      </c>
      <c r="BQ133" s="311">
        <f t="shared" si="46"/>
        <v>0</v>
      </c>
      <c r="BR133" s="311">
        <f t="shared" si="46"/>
        <v>0</v>
      </c>
      <c r="BS133" s="311">
        <f t="shared" si="46"/>
        <v>0</v>
      </c>
      <c r="BT133" s="311">
        <f t="shared" si="46"/>
        <v>0</v>
      </c>
      <c r="BU133" s="311">
        <f t="shared" si="46"/>
        <v>0</v>
      </c>
      <c r="BV133" s="311">
        <f t="shared" si="46"/>
        <v>0</v>
      </c>
      <c r="BW133" s="311">
        <f t="shared" si="46"/>
        <v>0</v>
      </c>
      <c r="BX133" s="311">
        <f t="shared" si="46"/>
        <v>0</v>
      </c>
      <c r="BY133" s="222"/>
      <c r="BZ133" s="222"/>
      <c r="CA133" s="222"/>
      <c r="CB133" s="222"/>
      <c r="CC133" s="222"/>
      <c r="CD133" s="222"/>
      <c r="CE133" s="222"/>
      <c r="CF133" s="222"/>
      <c r="CG133" s="222"/>
      <c r="CH133" s="222"/>
      <c r="CI133" s="222"/>
      <c r="CJ133" s="222"/>
      <c r="CK133" s="222"/>
      <c r="CL133" s="222"/>
      <c r="CM133" s="222"/>
      <c r="CN133" s="222"/>
      <c r="CO133" s="222"/>
      <c r="CP133" s="222"/>
      <c r="CQ133" s="222"/>
      <c r="CR133" s="222"/>
      <c r="CS133" s="222"/>
      <c r="CT133" s="222"/>
      <c r="CU133" s="222"/>
      <c r="CV133" s="222"/>
      <c r="CW133" s="222"/>
      <c r="CX133" s="222"/>
      <c r="CY133" s="222"/>
      <c r="CZ133" s="222"/>
      <c r="DA133" s="222"/>
      <c r="DB133" s="222"/>
      <c r="DC133" s="222"/>
      <c r="DD133" s="222"/>
      <c r="DE133" s="222"/>
      <c r="DF133" s="222"/>
      <c r="DG133" s="222"/>
      <c r="DH133" s="222"/>
      <c r="DI133" s="222"/>
      <c r="DJ133" s="222"/>
      <c r="DK133" s="222"/>
      <c r="DL133" s="222"/>
      <c r="DM133" s="222"/>
      <c r="DN133" s="222"/>
      <c r="DO133" s="222"/>
      <c r="DP133" s="222"/>
      <c r="DQ133" s="222"/>
      <c r="DR133" s="222"/>
      <c r="DS133" s="222"/>
      <c r="DT133" s="222"/>
      <c r="DU133" s="222"/>
      <c r="DV133" s="222"/>
      <c r="DW133" s="325"/>
      <c r="DX133" s="325"/>
      <c r="DY133" s="325"/>
      <c r="DZ133" s="325"/>
      <c r="EA133" s="325"/>
      <c r="EB133" s="325"/>
      <c r="EC133" s="325"/>
      <c r="ED133" s="325"/>
      <c r="EE133" s="325"/>
      <c r="EF133" s="325"/>
      <c r="EG133" s="325"/>
      <c r="EH133" s="325"/>
    </row>
    <row r="134" spans="1:138">
      <c r="A134" s="222"/>
      <c r="B134" s="318"/>
      <c r="C134" s="310" t="s">
        <v>297</v>
      </c>
      <c r="D134" s="319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  <c r="O134" s="311"/>
      <c r="P134" s="311"/>
      <c r="Q134" s="311"/>
      <c r="R134" s="311"/>
      <c r="S134" s="311"/>
      <c r="T134" s="311">
        <f>T101-T150-T166-T182</f>
        <v>-9238657.5970057808</v>
      </c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1"/>
      <c r="AJ134" s="311"/>
      <c r="AK134" s="311"/>
      <c r="AL134" s="311"/>
      <c r="AM134" s="311"/>
      <c r="AN134" s="311"/>
      <c r="AO134" s="311"/>
      <c r="AP134" s="311"/>
      <c r="AQ134" s="311"/>
      <c r="AR134" s="311"/>
      <c r="AS134" s="311"/>
      <c r="AT134" s="311"/>
      <c r="AU134" s="311"/>
      <c r="AV134" s="311"/>
      <c r="AW134" s="311"/>
      <c r="AX134" s="311"/>
      <c r="AY134" s="311"/>
      <c r="AZ134" s="311"/>
      <c r="BA134" s="311"/>
      <c r="BB134" s="311"/>
      <c r="BC134" s="311"/>
      <c r="BD134" s="311"/>
      <c r="BE134" s="311"/>
      <c r="BF134" s="311"/>
      <c r="BG134" s="311"/>
      <c r="BH134" s="311"/>
      <c r="BI134" s="311"/>
      <c r="BJ134" s="311"/>
      <c r="BK134" s="311"/>
      <c r="BL134" s="311"/>
      <c r="BM134" s="311"/>
      <c r="BN134" s="311"/>
      <c r="BO134" s="311"/>
      <c r="BP134" s="311"/>
      <c r="BQ134" s="311"/>
      <c r="BR134" s="311"/>
      <c r="BS134" s="311"/>
      <c r="BT134" s="311"/>
      <c r="BU134" s="311"/>
      <c r="BV134" s="311"/>
      <c r="BW134" s="311"/>
      <c r="BX134" s="311">
        <f>IF(D106&gt;0.25,(BX101-BX109)*D135,BX101*D135)</f>
        <v>0</v>
      </c>
      <c r="BY134" s="222"/>
      <c r="BZ134" s="222"/>
      <c r="CA134" s="222"/>
      <c r="CB134" s="222"/>
      <c r="CC134" s="222"/>
      <c r="CD134" s="222"/>
      <c r="CE134" s="222"/>
      <c r="CF134" s="222"/>
      <c r="CG134" s="222"/>
      <c r="CH134" s="222"/>
      <c r="CI134" s="222"/>
      <c r="CJ134" s="222"/>
      <c r="CK134" s="222"/>
      <c r="CL134" s="222"/>
      <c r="CM134" s="222"/>
      <c r="CN134" s="222"/>
      <c r="CO134" s="222"/>
      <c r="CP134" s="222"/>
      <c r="CQ134" s="222"/>
      <c r="CR134" s="222"/>
      <c r="CS134" s="222"/>
      <c r="CT134" s="222"/>
      <c r="CU134" s="222"/>
      <c r="CV134" s="222"/>
      <c r="CW134" s="222"/>
      <c r="CX134" s="222"/>
      <c r="CY134" s="222"/>
      <c r="CZ134" s="222"/>
      <c r="DA134" s="222"/>
      <c r="DB134" s="222"/>
      <c r="DC134" s="222"/>
      <c r="DD134" s="222"/>
      <c r="DE134" s="222"/>
      <c r="DF134" s="222"/>
      <c r="DG134" s="222"/>
      <c r="DH134" s="222"/>
      <c r="DI134" s="222"/>
      <c r="DJ134" s="222"/>
      <c r="DK134" s="222"/>
      <c r="DL134" s="222"/>
      <c r="DM134" s="222"/>
      <c r="DN134" s="222"/>
      <c r="DO134" s="222"/>
      <c r="DP134" s="222"/>
      <c r="DQ134" s="222"/>
      <c r="DR134" s="222"/>
      <c r="DS134" s="222"/>
      <c r="DT134" s="222"/>
      <c r="DU134" s="222"/>
      <c r="DV134" s="222"/>
      <c r="DW134" s="325"/>
      <c r="DX134" s="325"/>
      <c r="DY134" s="325"/>
      <c r="DZ134" s="325"/>
      <c r="EA134" s="325"/>
      <c r="EB134" s="325"/>
      <c r="EC134" s="325"/>
      <c r="ED134" s="325"/>
      <c r="EE134" s="325"/>
      <c r="EF134" s="325"/>
      <c r="EG134" s="325"/>
      <c r="EH134" s="325"/>
    </row>
    <row r="135" spans="1:138">
      <c r="A135" s="222"/>
      <c r="B135" s="318"/>
      <c r="C135" s="313" t="s">
        <v>298</v>
      </c>
      <c r="D135" s="319">
        <v>0</v>
      </c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22"/>
      <c r="BZ135" s="222"/>
      <c r="CA135" s="222"/>
      <c r="CB135" s="222"/>
      <c r="CC135" s="222"/>
      <c r="CD135" s="222"/>
      <c r="CE135" s="222"/>
      <c r="CF135" s="222"/>
      <c r="CG135" s="222"/>
      <c r="CH135" s="222"/>
      <c r="CI135" s="222"/>
      <c r="CJ135" s="222"/>
      <c r="CK135" s="222"/>
      <c r="CL135" s="222"/>
      <c r="CM135" s="222"/>
      <c r="CN135" s="222"/>
      <c r="CO135" s="222"/>
      <c r="CP135" s="222"/>
      <c r="CQ135" s="222"/>
      <c r="CR135" s="222"/>
      <c r="CS135" s="222"/>
      <c r="CT135" s="222"/>
      <c r="CU135" s="222"/>
      <c r="CV135" s="222"/>
      <c r="CW135" s="222"/>
      <c r="CX135" s="222"/>
      <c r="CY135" s="222"/>
      <c r="CZ135" s="222"/>
      <c r="DA135" s="222"/>
      <c r="DB135" s="222"/>
      <c r="DC135" s="222"/>
      <c r="DD135" s="222"/>
      <c r="DE135" s="222"/>
      <c r="DF135" s="222"/>
      <c r="DG135" s="222"/>
      <c r="DH135" s="222"/>
      <c r="DI135" s="222"/>
      <c r="DJ135" s="222"/>
      <c r="DK135" s="222"/>
      <c r="DL135" s="222"/>
      <c r="DM135" s="222"/>
      <c r="DN135" s="222"/>
      <c r="DO135" s="222"/>
      <c r="DP135" s="222"/>
      <c r="DQ135" s="222"/>
      <c r="DR135" s="222"/>
      <c r="DS135" s="222"/>
      <c r="DT135" s="222"/>
      <c r="DU135" s="222"/>
      <c r="DV135" s="222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</row>
    <row r="136" spans="1:138">
      <c r="A136" s="222"/>
      <c r="B136" s="318"/>
      <c r="C136" s="310" t="s">
        <v>299</v>
      </c>
      <c r="D136" s="311"/>
      <c r="E136" s="321">
        <f t="shared" ref="E136:BX136" si="47">E131+E132+E133+E134+E135</f>
        <v>0</v>
      </c>
      <c r="F136" s="321">
        <f t="shared" si="47"/>
        <v>0</v>
      </c>
      <c r="G136" s="321">
        <f t="shared" si="47"/>
        <v>0</v>
      </c>
      <c r="H136" s="321">
        <f t="shared" si="47"/>
        <v>0</v>
      </c>
      <c r="I136" s="321">
        <f t="shared" si="47"/>
        <v>0</v>
      </c>
      <c r="J136" s="321">
        <f t="shared" si="47"/>
        <v>0</v>
      </c>
      <c r="K136" s="321">
        <f t="shared" si="47"/>
        <v>-885000</v>
      </c>
      <c r="L136" s="321">
        <f t="shared" si="47"/>
        <v>-1940000</v>
      </c>
      <c r="M136" s="321">
        <f t="shared" si="47"/>
        <v>-4260000</v>
      </c>
      <c r="N136" s="321">
        <f t="shared" si="47"/>
        <v>0</v>
      </c>
      <c r="O136" s="321">
        <f t="shared" si="47"/>
        <v>-320000</v>
      </c>
      <c r="P136" s="321">
        <f t="shared" si="47"/>
        <v>-320000</v>
      </c>
      <c r="Q136" s="321">
        <f t="shared" si="47"/>
        <v>0</v>
      </c>
      <c r="R136" s="321">
        <f t="shared" si="47"/>
        <v>-1500000</v>
      </c>
      <c r="S136" s="321">
        <f t="shared" si="47"/>
        <v>-2300000</v>
      </c>
      <c r="T136" s="321">
        <f t="shared" si="47"/>
        <v>-16538657.597005781</v>
      </c>
      <c r="U136" s="321">
        <f t="shared" si="47"/>
        <v>-5000000</v>
      </c>
      <c r="V136" s="321">
        <f t="shared" si="47"/>
        <v>-1000000</v>
      </c>
      <c r="W136" s="321">
        <f t="shared" si="47"/>
        <v>0</v>
      </c>
      <c r="X136" s="321">
        <f t="shared" si="47"/>
        <v>0</v>
      </c>
      <c r="Y136" s="321">
        <f t="shared" si="47"/>
        <v>0</v>
      </c>
      <c r="Z136" s="321">
        <f t="shared" si="47"/>
        <v>0</v>
      </c>
      <c r="AA136" s="321">
        <f t="shared" si="47"/>
        <v>27360912.5</v>
      </c>
      <c r="AB136" s="321">
        <f t="shared" si="47"/>
        <v>0</v>
      </c>
      <c r="AC136" s="321">
        <f t="shared" si="47"/>
        <v>0</v>
      </c>
      <c r="AD136" s="321">
        <f t="shared" si="47"/>
        <v>0</v>
      </c>
      <c r="AE136" s="321">
        <f t="shared" si="47"/>
        <v>0</v>
      </c>
      <c r="AF136" s="321">
        <f t="shared" si="47"/>
        <v>0</v>
      </c>
      <c r="AG136" s="321">
        <f t="shared" si="47"/>
        <v>0</v>
      </c>
      <c r="AH136" s="321">
        <f t="shared" si="47"/>
        <v>0</v>
      </c>
      <c r="AI136" s="321">
        <f t="shared" si="47"/>
        <v>0</v>
      </c>
      <c r="AJ136" s="321">
        <f t="shared" si="47"/>
        <v>0</v>
      </c>
      <c r="AK136" s="321">
        <f t="shared" si="47"/>
        <v>0</v>
      </c>
      <c r="AL136" s="321">
        <f t="shared" si="47"/>
        <v>0</v>
      </c>
      <c r="AM136" s="321">
        <f t="shared" si="47"/>
        <v>0</v>
      </c>
      <c r="AN136" s="321">
        <f t="shared" si="47"/>
        <v>0</v>
      </c>
      <c r="AO136" s="321">
        <f t="shared" si="47"/>
        <v>0</v>
      </c>
      <c r="AP136" s="321">
        <f t="shared" si="47"/>
        <v>0</v>
      </c>
      <c r="AQ136" s="321">
        <f t="shared" si="47"/>
        <v>0</v>
      </c>
      <c r="AR136" s="321">
        <f t="shared" si="47"/>
        <v>0</v>
      </c>
      <c r="AS136" s="321">
        <f t="shared" si="47"/>
        <v>0</v>
      </c>
      <c r="AT136" s="321">
        <f t="shared" si="47"/>
        <v>0</v>
      </c>
      <c r="AU136" s="321">
        <f t="shared" si="47"/>
        <v>0</v>
      </c>
      <c r="AV136" s="321">
        <f t="shared" si="47"/>
        <v>0</v>
      </c>
      <c r="AW136" s="321">
        <f t="shared" si="47"/>
        <v>0</v>
      </c>
      <c r="AX136" s="321">
        <f t="shared" si="47"/>
        <v>0</v>
      </c>
      <c r="AY136" s="321">
        <f t="shared" si="47"/>
        <v>0</v>
      </c>
      <c r="AZ136" s="321">
        <f t="shared" si="47"/>
        <v>0</v>
      </c>
      <c r="BA136" s="321">
        <f t="shared" si="47"/>
        <v>0</v>
      </c>
      <c r="BB136" s="321">
        <f t="shared" si="47"/>
        <v>0</v>
      </c>
      <c r="BC136" s="321">
        <f t="shared" si="47"/>
        <v>0</v>
      </c>
      <c r="BD136" s="321">
        <f t="shared" si="47"/>
        <v>0</v>
      </c>
      <c r="BE136" s="321">
        <f t="shared" si="47"/>
        <v>0</v>
      </c>
      <c r="BF136" s="321">
        <f t="shared" si="47"/>
        <v>0</v>
      </c>
      <c r="BG136" s="321">
        <f t="shared" si="47"/>
        <v>0</v>
      </c>
      <c r="BH136" s="321">
        <f t="shared" si="47"/>
        <v>0</v>
      </c>
      <c r="BI136" s="321">
        <f t="shared" si="47"/>
        <v>0</v>
      </c>
      <c r="BJ136" s="321">
        <f t="shared" si="47"/>
        <v>0</v>
      </c>
      <c r="BK136" s="321">
        <f t="shared" si="47"/>
        <v>0</v>
      </c>
      <c r="BL136" s="321">
        <f t="shared" si="47"/>
        <v>0</v>
      </c>
      <c r="BM136" s="321">
        <f t="shared" si="47"/>
        <v>0</v>
      </c>
      <c r="BN136" s="321">
        <f t="shared" si="47"/>
        <v>0</v>
      </c>
      <c r="BO136" s="321">
        <f t="shared" si="47"/>
        <v>0</v>
      </c>
      <c r="BP136" s="321">
        <f t="shared" si="47"/>
        <v>0</v>
      </c>
      <c r="BQ136" s="321">
        <f t="shared" si="47"/>
        <v>0</v>
      </c>
      <c r="BR136" s="321">
        <f t="shared" si="47"/>
        <v>0</v>
      </c>
      <c r="BS136" s="321">
        <f t="shared" si="47"/>
        <v>0</v>
      </c>
      <c r="BT136" s="321">
        <f t="shared" si="47"/>
        <v>0</v>
      </c>
      <c r="BU136" s="321">
        <f t="shared" si="47"/>
        <v>0</v>
      </c>
      <c r="BV136" s="321">
        <f t="shared" si="47"/>
        <v>0</v>
      </c>
      <c r="BW136" s="321">
        <f t="shared" si="47"/>
        <v>0</v>
      </c>
      <c r="BX136" s="321">
        <f t="shared" si="47"/>
        <v>0</v>
      </c>
      <c r="BY136" s="222"/>
      <c r="BZ136" s="222"/>
      <c r="CA136" s="222"/>
      <c r="CB136" s="222"/>
      <c r="CC136" s="222"/>
      <c r="CD136" s="222"/>
      <c r="CE136" s="222"/>
      <c r="CF136" s="222"/>
      <c r="CG136" s="222"/>
      <c r="CH136" s="222"/>
      <c r="CI136" s="222"/>
      <c r="CJ136" s="222"/>
      <c r="CK136" s="222"/>
      <c r="CL136" s="222"/>
      <c r="CM136" s="222"/>
      <c r="CN136" s="222"/>
      <c r="CO136" s="222"/>
      <c r="CP136" s="222"/>
      <c r="CQ136" s="222"/>
      <c r="CR136" s="222"/>
      <c r="CS136" s="222"/>
      <c r="CT136" s="222"/>
      <c r="CU136" s="222"/>
      <c r="CV136" s="222"/>
      <c r="CW136" s="222"/>
      <c r="CX136" s="222"/>
      <c r="CY136" s="222"/>
      <c r="CZ136" s="222"/>
      <c r="DA136" s="222"/>
      <c r="DB136" s="222"/>
      <c r="DC136" s="222"/>
      <c r="DD136" s="222"/>
      <c r="DE136" s="222"/>
      <c r="DF136" s="222"/>
      <c r="DG136" s="222"/>
      <c r="DH136" s="222"/>
      <c r="DI136" s="222"/>
      <c r="DJ136" s="222"/>
      <c r="DK136" s="222"/>
      <c r="DL136" s="222"/>
      <c r="DM136" s="222"/>
      <c r="DN136" s="222"/>
      <c r="DO136" s="222"/>
      <c r="DP136" s="222"/>
      <c r="DQ136" s="222"/>
      <c r="DR136" s="222"/>
      <c r="DS136" s="222"/>
      <c r="DT136" s="222"/>
      <c r="DU136" s="222"/>
      <c r="DV136" s="222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</row>
    <row r="137" spans="1:138">
      <c r="A137" s="222"/>
      <c r="B137" s="318"/>
      <c r="C137" s="314"/>
      <c r="D137" s="322" t="s">
        <v>306</v>
      </c>
      <c r="E137" s="327">
        <f>E136</f>
        <v>0</v>
      </c>
      <c r="F137" s="327">
        <f t="shared" ref="F137:BX137" si="48">E137+F136</f>
        <v>0</v>
      </c>
      <c r="G137" s="327">
        <f t="shared" si="48"/>
        <v>0</v>
      </c>
      <c r="H137" s="327">
        <f t="shared" si="48"/>
        <v>0</v>
      </c>
      <c r="I137" s="327">
        <f t="shared" si="48"/>
        <v>0</v>
      </c>
      <c r="J137" s="327">
        <f t="shared" si="48"/>
        <v>0</v>
      </c>
      <c r="K137" s="327">
        <f t="shared" si="48"/>
        <v>-885000</v>
      </c>
      <c r="L137" s="327">
        <f t="shared" si="48"/>
        <v>-2825000</v>
      </c>
      <c r="M137" s="327">
        <f t="shared" si="48"/>
        <v>-7085000</v>
      </c>
      <c r="N137" s="327">
        <f t="shared" si="48"/>
        <v>-7085000</v>
      </c>
      <c r="O137" s="327">
        <f t="shared" si="48"/>
        <v>-7405000</v>
      </c>
      <c r="P137" s="327">
        <f t="shared" si="48"/>
        <v>-7725000</v>
      </c>
      <c r="Q137" s="327">
        <f t="shared" si="48"/>
        <v>-7725000</v>
      </c>
      <c r="R137" s="327">
        <f t="shared" si="48"/>
        <v>-9225000</v>
      </c>
      <c r="S137" s="327">
        <f t="shared" si="48"/>
        <v>-11525000</v>
      </c>
      <c r="T137" s="327">
        <f t="shared" si="48"/>
        <v>-28063657.597005781</v>
      </c>
      <c r="U137" s="327">
        <f t="shared" si="48"/>
        <v>-33063657.597005781</v>
      </c>
      <c r="V137" s="327">
        <f t="shared" si="48"/>
        <v>-34063657.597005785</v>
      </c>
      <c r="W137" s="327">
        <f t="shared" si="48"/>
        <v>-34063657.597005785</v>
      </c>
      <c r="X137" s="327">
        <f t="shared" si="48"/>
        <v>-34063657.597005785</v>
      </c>
      <c r="Y137" s="327">
        <f t="shared" si="48"/>
        <v>-34063657.597005785</v>
      </c>
      <c r="Z137" s="327">
        <f t="shared" si="48"/>
        <v>-34063657.597005785</v>
      </c>
      <c r="AA137" s="327">
        <f t="shared" si="48"/>
        <v>-6702745.0970057845</v>
      </c>
      <c r="AB137" s="327">
        <f t="shared" si="48"/>
        <v>-6702745.0970057845</v>
      </c>
      <c r="AC137" s="327">
        <f t="shared" si="48"/>
        <v>-6702745.0970057845</v>
      </c>
      <c r="AD137" s="327">
        <f t="shared" si="48"/>
        <v>-6702745.0970057845</v>
      </c>
      <c r="AE137" s="327">
        <f t="shared" si="48"/>
        <v>-6702745.0970057845</v>
      </c>
      <c r="AF137" s="327">
        <f t="shared" si="48"/>
        <v>-6702745.0970057845</v>
      </c>
      <c r="AG137" s="327">
        <f t="shared" si="48"/>
        <v>-6702745.0970057845</v>
      </c>
      <c r="AH137" s="327">
        <f t="shared" si="48"/>
        <v>-6702745.0970057845</v>
      </c>
      <c r="AI137" s="327">
        <f t="shared" si="48"/>
        <v>-6702745.0970057845</v>
      </c>
      <c r="AJ137" s="327">
        <f t="shared" si="48"/>
        <v>-6702745.0970057845</v>
      </c>
      <c r="AK137" s="327">
        <f t="shared" si="48"/>
        <v>-6702745.0970057845</v>
      </c>
      <c r="AL137" s="327">
        <f t="shared" si="48"/>
        <v>-6702745.0970057845</v>
      </c>
      <c r="AM137" s="327">
        <f t="shared" si="48"/>
        <v>-6702745.0970057845</v>
      </c>
      <c r="AN137" s="327">
        <f t="shared" si="48"/>
        <v>-6702745.0970057845</v>
      </c>
      <c r="AO137" s="327">
        <f t="shared" si="48"/>
        <v>-6702745.0970057845</v>
      </c>
      <c r="AP137" s="327">
        <f t="shared" si="48"/>
        <v>-6702745.0970057845</v>
      </c>
      <c r="AQ137" s="327">
        <f t="shared" si="48"/>
        <v>-6702745.0970057845</v>
      </c>
      <c r="AR137" s="327">
        <f t="shared" si="48"/>
        <v>-6702745.0970057845</v>
      </c>
      <c r="AS137" s="327">
        <f t="shared" si="48"/>
        <v>-6702745.0970057845</v>
      </c>
      <c r="AT137" s="327">
        <f t="shared" si="48"/>
        <v>-6702745.0970057845</v>
      </c>
      <c r="AU137" s="327">
        <f t="shared" si="48"/>
        <v>-6702745.0970057845</v>
      </c>
      <c r="AV137" s="327">
        <f t="shared" si="48"/>
        <v>-6702745.0970057845</v>
      </c>
      <c r="AW137" s="327">
        <f t="shared" si="48"/>
        <v>-6702745.0970057845</v>
      </c>
      <c r="AX137" s="327">
        <f t="shared" si="48"/>
        <v>-6702745.0970057845</v>
      </c>
      <c r="AY137" s="327">
        <f t="shared" si="48"/>
        <v>-6702745.0970057845</v>
      </c>
      <c r="AZ137" s="327">
        <f t="shared" si="48"/>
        <v>-6702745.0970057845</v>
      </c>
      <c r="BA137" s="327">
        <f t="shared" si="48"/>
        <v>-6702745.0970057845</v>
      </c>
      <c r="BB137" s="327">
        <f t="shared" si="48"/>
        <v>-6702745.0970057845</v>
      </c>
      <c r="BC137" s="327">
        <f t="shared" si="48"/>
        <v>-6702745.0970057845</v>
      </c>
      <c r="BD137" s="327">
        <f t="shared" si="48"/>
        <v>-6702745.0970057845</v>
      </c>
      <c r="BE137" s="327">
        <f t="shared" si="48"/>
        <v>-6702745.0970057845</v>
      </c>
      <c r="BF137" s="327">
        <f t="shared" si="48"/>
        <v>-6702745.0970057845</v>
      </c>
      <c r="BG137" s="327">
        <f t="shared" si="48"/>
        <v>-6702745.0970057845</v>
      </c>
      <c r="BH137" s="327">
        <f t="shared" si="48"/>
        <v>-6702745.0970057845</v>
      </c>
      <c r="BI137" s="327">
        <f t="shared" si="48"/>
        <v>-6702745.0970057845</v>
      </c>
      <c r="BJ137" s="327">
        <f t="shared" si="48"/>
        <v>-6702745.0970057845</v>
      </c>
      <c r="BK137" s="327">
        <f t="shared" si="48"/>
        <v>-6702745.0970057845</v>
      </c>
      <c r="BL137" s="327">
        <f t="shared" si="48"/>
        <v>-6702745.0970057845</v>
      </c>
      <c r="BM137" s="327">
        <f t="shared" si="48"/>
        <v>-6702745.0970057845</v>
      </c>
      <c r="BN137" s="327">
        <f t="shared" si="48"/>
        <v>-6702745.0970057845</v>
      </c>
      <c r="BO137" s="327">
        <f t="shared" si="48"/>
        <v>-6702745.0970057845</v>
      </c>
      <c r="BP137" s="327">
        <f t="shared" si="48"/>
        <v>-6702745.0970057845</v>
      </c>
      <c r="BQ137" s="327">
        <f t="shared" si="48"/>
        <v>-6702745.0970057845</v>
      </c>
      <c r="BR137" s="327">
        <f t="shared" si="48"/>
        <v>-6702745.0970057845</v>
      </c>
      <c r="BS137" s="327">
        <f t="shared" si="48"/>
        <v>-6702745.0970057845</v>
      </c>
      <c r="BT137" s="327">
        <f t="shared" si="48"/>
        <v>-6702745.0970057845</v>
      </c>
      <c r="BU137" s="327">
        <f t="shared" si="48"/>
        <v>-6702745.0970057845</v>
      </c>
      <c r="BV137" s="327">
        <f t="shared" si="48"/>
        <v>-6702745.0970057845</v>
      </c>
      <c r="BW137" s="327">
        <f t="shared" si="48"/>
        <v>-6702745.0970057845</v>
      </c>
      <c r="BX137" s="327">
        <f t="shared" si="48"/>
        <v>-6702745.0970057845</v>
      </c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2"/>
      <c r="CV137" s="222"/>
      <c r="CW137" s="222"/>
      <c r="CX137" s="222"/>
      <c r="CY137" s="222"/>
      <c r="CZ137" s="222"/>
      <c r="DA137" s="222"/>
      <c r="DB137" s="222"/>
      <c r="DC137" s="222"/>
      <c r="DD137" s="222"/>
      <c r="DE137" s="222"/>
      <c r="DF137" s="222"/>
      <c r="DG137" s="222"/>
      <c r="DH137" s="222"/>
      <c r="DI137" s="222"/>
      <c r="DJ137" s="222"/>
      <c r="DK137" s="222"/>
      <c r="DL137" s="222"/>
      <c r="DM137" s="222"/>
      <c r="DN137" s="222"/>
      <c r="DO137" s="222"/>
      <c r="DP137" s="222"/>
      <c r="DQ137" s="222"/>
      <c r="DR137" s="222"/>
      <c r="DS137" s="222"/>
      <c r="DT137" s="222"/>
      <c r="DU137" s="222"/>
      <c r="DV137" s="222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</row>
    <row r="138" spans="1:138">
      <c r="A138" s="222"/>
      <c r="B138" s="318"/>
      <c r="C138" s="313" t="s">
        <v>292</v>
      </c>
      <c r="D138" s="322">
        <f>IRR(E136:BX136)*12</f>
        <v>-0.30638732248877343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  <c r="BQ138" s="22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22"/>
      <c r="CO138" s="222"/>
      <c r="CP138" s="222"/>
      <c r="CQ138" s="222"/>
      <c r="CR138" s="222"/>
      <c r="CS138" s="222"/>
      <c r="CT138" s="222"/>
      <c r="CU138" s="222"/>
      <c r="CV138" s="222"/>
      <c r="CW138" s="222"/>
      <c r="CX138" s="222"/>
      <c r="CY138" s="222"/>
      <c r="CZ138" s="222"/>
      <c r="DA138" s="222"/>
      <c r="DB138" s="222"/>
      <c r="DC138" s="222"/>
      <c r="DD138" s="222"/>
      <c r="DE138" s="222"/>
      <c r="DF138" s="222"/>
      <c r="DG138" s="222"/>
      <c r="DH138" s="222"/>
      <c r="DI138" s="222"/>
      <c r="DJ138" s="222"/>
      <c r="DK138" s="222"/>
      <c r="DL138" s="222"/>
      <c r="DM138" s="222"/>
      <c r="DN138" s="222"/>
      <c r="DO138" s="222"/>
      <c r="DP138" s="222"/>
      <c r="DQ138" s="222"/>
      <c r="DR138" s="222"/>
      <c r="DS138" s="222"/>
      <c r="DT138" s="222"/>
      <c r="DU138" s="222"/>
      <c r="DV138" s="222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</row>
    <row r="139" spans="1:138">
      <c r="A139" s="222"/>
      <c r="B139" s="318"/>
      <c r="C139" s="323" t="s">
        <v>300</v>
      </c>
      <c r="D139" s="324">
        <f>-MIN(E131:BL131)</f>
        <v>7300000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  <c r="BQ139" s="22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22"/>
      <c r="CO139" s="222"/>
      <c r="CP139" s="222"/>
      <c r="CQ139" s="222"/>
      <c r="CR139" s="222"/>
      <c r="CS139" s="222"/>
      <c r="CT139" s="222"/>
      <c r="CU139" s="222"/>
      <c r="CV139" s="222"/>
      <c r="CW139" s="222"/>
      <c r="CX139" s="222"/>
      <c r="CY139" s="222"/>
      <c r="CZ139" s="222"/>
      <c r="DA139" s="222"/>
      <c r="DB139" s="222"/>
      <c r="DC139" s="222"/>
      <c r="DD139" s="222"/>
      <c r="DE139" s="222"/>
      <c r="DF139" s="222"/>
      <c r="DG139" s="222"/>
      <c r="DH139" s="222"/>
      <c r="DI139" s="222"/>
      <c r="DJ139" s="222"/>
      <c r="DK139" s="222"/>
      <c r="DL139" s="222"/>
      <c r="DM139" s="222"/>
      <c r="DN139" s="222"/>
      <c r="DO139" s="222"/>
      <c r="DP139" s="222"/>
      <c r="DQ139" s="222"/>
      <c r="DR139" s="222"/>
      <c r="DS139" s="222"/>
      <c r="DT139" s="222"/>
      <c r="DU139" s="222"/>
      <c r="DV139" s="222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</row>
    <row r="140" spans="1:138">
      <c r="A140" s="222"/>
      <c r="B140" s="318"/>
      <c r="C140" s="323" t="s">
        <v>301</v>
      </c>
      <c r="D140" s="324">
        <f>-SUM(M135:BB135)</f>
        <v>0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  <c r="BQ140" s="22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22"/>
      <c r="CO140" s="222"/>
      <c r="CP140" s="222"/>
      <c r="CQ140" s="222"/>
      <c r="CR140" s="222"/>
      <c r="CS140" s="222"/>
      <c r="CT140" s="222"/>
      <c r="CU140" s="222"/>
      <c r="CV140" s="222"/>
      <c r="CW140" s="222"/>
      <c r="CX140" s="222"/>
      <c r="CY140" s="222"/>
      <c r="CZ140" s="222"/>
      <c r="DA140" s="222"/>
      <c r="DB140" s="222"/>
      <c r="DC140" s="222"/>
      <c r="DD140" s="222"/>
      <c r="DE140" s="222"/>
      <c r="DF140" s="222"/>
      <c r="DG140" s="222"/>
      <c r="DH140" s="222"/>
      <c r="DI140" s="222"/>
      <c r="DJ140" s="222"/>
      <c r="DK140" s="222"/>
      <c r="DL140" s="222"/>
      <c r="DM140" s="222"/>
      <c r="DN140" s="222"/>
      <c r="DO140" s="222"/>
      <c r="DP140" s="222"/>
      <c r="DQ140" s="222"/>
      <c r="DR140" s="222"/>
      <c r="DS140" s="222"/>
      <c r="DT140" s="222"/>
      <c r="DU140" s="222"/>
      <c r="DV140" s="222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</row>
    <row r="141" spans="1:138">
      <c r="A141" s="222"/>
      <c r="B141" s="318"/>
      <c r="C141" s="313" t="s">
        <v>302</v>
      </c>
      <c r="D141" s="326">
        <f>D140+D139</f>
        <v>7300000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  <c r="BQ141" s="22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22"/>
      <c r="CO141" s="222"/>
      <c r="CP141" s="222"/>
      <c r="CQ141" s="222"/>
      <c r="CR141" s="222"/>
      <c r="CS141" s="222"/>
      <c r="CT141" s="222"/>
      <c r="CU141" s="222"/>
      <c r="CV141" s="222"/>
      <c r="CW141" s="222"/>
      <c r="CX141" s="222"/>
      <c r="CY141" s="222"/>
      <c r="CZ141" s="222"/>
      <c r="DA141" s="222"/>
      <c r="DB141" s="222"/>
      <c r="DC141" s="222"/>
      <c r="DD141" s="222"/>
      <c r="DE141" s="222"/>
      <c r="DF141" s="222"/>
      <c r="DG141" s="222"/>
      <c r="DH141" s="222"/>
      <c r="DI141" s="222"/>
      <c r="DJ141" s="222"/>
      <c r="DK141" s="222"/>
      <c r="DL141" s="222"/>
      <c r="DM141" s="222"/>
      <c r="DN141" s="222"/>
      <c r="DO141" s="222"/>
      <c r="DP141" s="222"/>
      <c r="DQ141" s="222"/>
      <c r="DR141" s="222"/>
      <c r="DS141" s="222"/>
      <c r="DT141" s="222"/>
      <c r="DU141" s="222"/>
      <c r="DV141" s="222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</row>
    <row r="142" spans="1:138">
      <c r="A142" s="222"/>
      <c r="B142" s="318"/>
      <c r="C142" s="313" t="s">
        <v>303</v>
      </c>
      <c r="D142" s="326">
        <f>BX133+BX134</f>
        <v>0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222"/>
      <c r="AF142" s="222"/>
      <c r="AG142" s="222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222"/>
      <c r="BN142" s="222"/>
      <c r="BO142" s="222"/>
      <c r="BP142" s="222"/>
      <c r="BQ142" s="22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2"/>
      <c r="CV142" s="222"/>
      <c r="CW142" s="222"/>
      <c r="CX142" s="222"/>
      <c r="CY142" s="222"/>
      <c r="CZ142" s="222"/>
      <c r="DA142" s="222"/>
      <c r="DB142" s="222"/>
      <c r="DC142" s="222"/>
      <c r="DD142" s="222"/>
      <c r="DE142" s="222"/>
      <c r="DF142" s="222"/>
      <c r="DG142" s="222"/>
      <c r="DH142" s="222"/>
      <c r="DI142" s="222"/>
      <c r="DJ142" s="222"/>
      <c r="DK142" s="222"/>
      <c r="DL142" s="222"/>
      <c r="DM142" s="222"/>
      <c r="DN142" s="222"/>
      <c r="DO142" s="222"/>
      <c r="DP142" s="222"/>
      <c r="DQ142" s="222"/>
      <c r="DR142" s="222"/>
      <c r="DS142" s="222"/>
      <c r="DT142" s="222"/>
      <c r="DU142" s="222"/>
      <c r="DV142" s="222"/>
      <c r="DW142" s="325"/>
      <c r="DX142" s="325"/>
      <c r="DY142" s="325"/>
      <c r="DZ142" s="325"/>
      <c r="EA142" s="325"/>
      <c r="EB142" s="325"/>
      <c r="EC142" s="325"/>
      <c r="ED142" s="325"/>
      <c r="EE142" s="325"/>
      <c r="EF142" s="325"/>
      <c r="EG142" s="325"/>
      <c r="EH142" s="325"/>
    </row>
    <row r="143" spans="1:138">
      <c r="A143" s="222"/>
      <c r="B143" s="318"/>
      <c r="C143" s="313" t="s">
        <v>147</v>
      </c>
      <c r="D143" s="322">
        <f>(D142-D140)/D141</f>
        <v>0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  <c r="BL143" s="222"/>
      <c r="BM143" s="222"/>
      <c r="BN143" s="222"/>
      <c r="BO143" s="222"/>
      <c r="BP143" s="222"/>
      <c r="BQ143" s="22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22"/>
      <c r="CL143" s="222"/>
      <c r="CM143" s="222"/>
      <c r="CN143" s="222"/>
      <c r="CO143" s="222"/>
      <c r="CP143" s="222"/>
      <c r="CQ143" s="222"/>
      <c r="CR143" s="222"/>
      <c r="CS143" s="222"/>
      <c r="CT143" s="222"/>
      <c r="CU143" s="222"/>
      <c r="CV143" s="222"/>
      <c r="CW143" s="222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2"/>
      <c r="DI143" s="222"/>
      <c r="DJ143" s="222"/>
      <c r="DK143" s="222"/>
      <c r="DL143" s="222"/>
      <c r="DM143" s="222"/>
      <c r="DN143" s="222"/>
      <c r="DO143" s="222"/>
      <c r="DP143" s="222"/>
      <c r="DQ143" s="222"/>
      <c r="DR143" s="222"/>
      <c r="DS143" s="222"/>
      <c r="DT143" s="222"/>
      <c r="DU143" s="222"/>
      <c r="DV143" s="222"/>
      <c r="DW143" s="325"/>
      <c r="DX143" s="325"/>
      <c r="DY143" s="325"/>
      <c r="DZ143" s="325"/>
      <c r="EA143" s="325"/>
      <c r="EB143" s="325"/>
      <c r="EC143" s="325"/>
      <c r="ED143" s="325"/>
      <c r="EE143" s="325"/>
      <c r="EF143" s="325"/>
      <c r="EG143" s="325"/>
      <c r="EH143" s="325"/>
    </row>
    <row r="144" spans="1:138">
      <c r="A144" s="222"/>
      <c r="B144" s="318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AT144" s="222"/>
      <c r="AU144" s="222"/>
      <c r="AV144" s="222"/>
      <c r="AW144" s="222"/>
      <c r="AX144" s="222"/>
      <c r="AY144" s="222"/>
      <c r="AZ144" s="222"/>
      <c r="BA144" s="222"/>
      <c r="BB144" s="222"/>
      <c r="BC144" s="222"/>
      <c r="BD144" s="222"/>
      <c r="BE144" s="222"/>
      <c r="BF144" s="222"/>
      <c r="BG144" s="222"/>
      <c r="BH144" s="222"/>
      <c r="BI144" s="222"/>
      <c r="BJ144" s="222"/>
      <c r="BK144" s="222"/>
      <c r="BL144" s="222"/>
      <c r="BM144" s="222"/>
      <c r="BN144" s="222"/>
      <c r="BO144" s="222"/>
      <c r="BP144" s="222"/>
      <c r="BQ144" s="22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22"/>
      <c r="CL144" s="222"/>
      <c r="CM144" s="222"/>
      <c r="CN144" s="222"/>
      <c r="CO144" s="222"/>
      <c r="CP144" s="222"/>
      <c r="CQ144" s="222"/>
      <c r="CR144" s="222"/>
      <c r="CS144" s="222"/>
      <c r="CT144" s="222"/>
      <c r="CU144" s="222"/>
      <c r="CV144" s="222"/>
      <c r="CW144" s="222"/>
      <c r="CX144" s="222"/>
      <c r="CY144" s="222"/>
      <c r="CZ144" s="222"/>
      <c r="DA144" s="222"/>
      <c r="DB144" s="222"/>
      <c r="DC144" s="222"/>
      <c r="DD144" s="222"/>
      <c r="DE144" s="222"/>
      <c r="DF144" s="222"/>
      <c r="DG144" s="222"/>
      <c r="DH144" s="222"/>
      <c r="DI144" s="222"/>
      <c r="DJ144" s="222"/>
      <c r="DK144" s="222"/>
      <c r="DL144" s="222"/>
      <c r="DM144" s="222"/>
      <c r="DN144" s="222"/>
      <c r="DO144" s="222"/>
      <c r="DP144" s="222"/>
      <c r="DQ144" s="222"/>
      <c r="DR144" s="222"/>
      <c r="DS144" s="222"/>
      <c r="DT144" s="222"/>
      <c r="DU144" s="222"/>
      <c r="DV144" s="222"/>
      <c r="DW144" s="325"/>
      <c r="DX144" s="325"/>
      <c r="DY144" s="325"/>
      <c r="DZ144" s="325"/>
      <c r="EA144" s="325"/>
      <c r="EB144" s="325"/>
      <c r="EC144" s="325"/>
      <c r="ED144" s="325"/>
      <c r="EE144" s="325"/>
      <c r="EF144" s="325"/>
      <c r="EG144" s="325"/>
      <c r="EH144" s="325"/>
    </row>
    <row r="145" spans="1:138">
      <c r="A145" s="222"/>
      <c r="B145" s="318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222"/>
      <c r="AF145" s="222"/>
      <c r="AG145" s="222"/>
      <c r="AH145" s="222"/>
      <c r="AI145" s="222"/>
      <c r="AJ145" s="222"/>
      <c r="AK145" s="222"/>
      <c r="AL145" s="222"/>
      <c r="AM145" s="222"/>
      <c r="AN145" s="222"/>
      <c r="AO145" s="222"/>
      <c r="AP145" s="222"/>
      <c r="AQ145" s="222"/>
      <c r="AR145" s="222"/>
      <c r="AS145" s="222"/>
      <c r="AT145" s="222"/>
      <c r="AU145" s="222"/>
      <c r="AV145" s="222"/>
      <c r="AW145" s="222"/>
      <c r="AX145" s="222"/>
      <c r="AY145" s="222"/>
      <c r="AZ145" s="222"/>
      <c r="BA145" s="222"/>
      <c r="BB145" s="222"/>
      <c r="BC145" s="222"/>
      <c r="BD145" s="222"/>
      <c r="BE145" s="222"/>
      <c r="BF145" s="222"/>
      <c r="BG145" s="222"/>
      <c r="BH145" s="222"/>
      <c r="BI145" s="222"/>
      <c r="BJ145" s="222"/>
      <c r="BK145" s="222"/>
      <c r="BL145" s="222"/>
      <c r="BM145" s="222"/>
      <c r="BN145" s="222"/>
      <c r="BO145" s="222"/>
      <c r="BP145" s="222"/>
      <c r="BQ145" s="222"/>
      <c r="BR145" s="222"/>
      <c r="BS145" s="222"/>
      <c r="BT145" s="22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22"/>
      <c r="CL145" s="222"/>
      <c r="CM145" s="222"/>
      <c r="CN145" s="222"/>
      <c r="CO145" s="222"/>
      <c r="CP145" s="222"/>
      <c r="CQ145" s="222"/>
      <c r="CR145" s="222"/>
      <c r="CS145" s="222"/>
      <c r="CT145" s="222"/>
      <c r="CU145" s="222"/>
      <c r="CV145" s="222"/>
      <c r="CW145" s="222"/>
      <c r="CX145" s="222"/>
      <c r="CY145" s="222"/>
      <c r="CZ145" s="222"/>
      <c r="DA145" s="222"/>
      <c r="DB145" s="222"/>
      <c r="DC145" s="222"/>
      <c r="DD145" s="222"/>
      <c r="DE145" s="222"/>
      <c r="DF145" s="222"/>
      <c r="DG145" s="222"/>
      <c r="DH145" s="222"/>
      <c r="DI145" s="222"/>
      <c r="DJ145" s="222"/>
      <c r="DK145" s="222"/>
      <c r="DL145" s="222"/>
      <c r="DM145" s="222"/>
      <c r="DN145" s="222"/>
      <c r="DO145" s="222"/>
      <c r="DP145" s="222"/>
      <c r="DQ145" s="222"/>
      <c r="DR145" s="222"/>
      <c r="DS145" s="222"/>
      <c r="DT145" s="222"/>
      <c r="DU145" s="222"/>
      <c r="DV145" s="222"/>
      <c r="DW145" s="325"/>
      <c r="DX145" s="325"/>
      <c r="DY145" s="325"/>
      <c r="DZ145" s="325"/>
      <c r="EA145" s="325"/>
      <c r="EB145" s="325"/>
      <c r="EC145" s="325"/>
      <c r="ED145" s="325"/>
      <c r="EE145" s="325"/>
      <c r="EF145" s="325"/>
      <c r="EG145" s="325"/>
      <c r="EH145" s="325"/>
    </row>
    <row r="146" spans="1:138">
      <c r="A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2"/>
      <c r="BN146" s="222"/>
      <c r="BO146" s="222"/>
      <c r="BP146" s="222"/>
      <c r="BQ146" s="222"/>
      <c r="BR146" s="222"/>
      <c r="BS146" s="222"/>
      <c r="BT146" s="22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22"/>
      <c r="CO146" s="222"/>
      <c r="CP146" s="222"/>
      <c r="CQ146" s="222"/>
      <c r="CR146" s="222"/>
      <c r="CS146" s="222"/>
      <c r="CT146" s="222"/>
      <c r="CU146" s="222"/>
      <c r="CV146" s="222"/>
      <c r="CW146" s="222"/>
      <c r="CX146" s="222"/>
      <c r="CY146" s="222"/>
      <c r="CZ146" s="222"/>
      <c r="DA146" s="222"/>
      <c r="DB146" s="222"/>
      <c r="DC146" s="222"/>
      <c r="DD146" s="222"/>
      <c r="DE146" s="222"/>
      <c r="DF146" s="222"/>
      <c r="DG146" s="222"/>
      <c r="DH146" s="222"/>
      <c r="DI146" s="222"/>
      <c r="DJ146" s="222"/>
      <c r="DK146" s="222"/>
      <c r="DL146" s="222"/>
      <c r="DM146" s="222"/>
      <c r="DN146" s="222"/>
      <c r="DO146" s="222"/>
      <c r="DP146" s="222"/>
      <c r="DQ146" s="222"/>
      <c r="DR146" s="222"/>
      <c r="DS146" s="222"/>
      <c r="DT146" s="222"/>
      <c r="DU146" s="222"/>
      <c r="DV146" s="222"/>
      <c r="DW146" s="325"/>
      <c r="DX146" s="325"/>
      <c r="DY146" s="325"/>
      <c r="DZ146" s="325"/>
      <c r="EA146" s="325"/>
      <c r="EB146" s="325"/>
      <c r="EC146" s="325"/>
      <c r="ED146" s="325"/>
      <c r="EE146" s="325"/>
      <c r="EF146" s="325"/>
      <c r="EG146" s="325"/>
      <c r="EH146" s="325"/>
    </row>
    <row r="147" spans="1:138">
      <c r="A147" s="222"/>
      <c r="B147" s="318"/>
      <c r="C147" s="310" t="s">
        <v>307</v>
      </c>
      <c r="D147" s="311"/>
      <c r="E147" s="312">
        <f t="shared" ref="E147:G147" si="49">-(E24+E111)</f>
        <v>0</v>
      </c>
      <c r="F147" s="312">
        <f t="shared" si="49"/>
        <v>0</v>
      </c>
      <c r="G147" s="312">
        <f t="shared" si="49"/>
        <v>0</v>
      </c>
      <c r="H147" s="312">
        <f>-10682501</f>
        <v>-10682501</v>
      </c>
      <c r="I147" s="312">
        <v>0</v>
      </c>
      <c r="J147" s="312">
        <f>-(J24+J111)</f>
        <v>0</v>
      </c>
      <c r="K147" s="312">
        <v>0</v>
      </c>
      <c r="L147" s="312">
        <f t="shared" ref="L147:S147" si="50">-(L24+L111)</f>
        <v>15913.92</v>
      </c>
      <c r="M147" s="312">
        <f t="shared" si="50"/>
        <v>0</v>
      </c>
      <c r="N147" s="312">
        <f t="shared" si="50"/>
        <v>0</v>
      </c>
      <c r="O147" s="312">
        <f t="shared" si="50"/>
        <v>0</v>
      </c>
      <c r="P147" s="312">
        <f t="shared" si="50"/>
        <v>0</v>
      </c>
      <c r="Q147" s="312">
        <f t="shared" si="50"/>
        <v>36051</v>
      </c>
      <c r="R147" s="312">
        <f t="shared" si="50"/>
        <v>393250</v>
      </c>
      <c r="S147" s="312">
        <f t="shared" si="50"/>
        <v>393250</v>
      </c>
      <c r="T147" s="312">
        <f>-H147</f>
        <v>10682501</v>
      </c>
      <c r="U147" s="312">
        <f t="shared" ref="U147:BX147" si="51">-(U24+U111)</f>
        <v>0</v>
      </c>
      <c r="V147" s="312">
        <f t="shared" si="51"/>
        <v>0</v>
      </c>
      <c r="W147" s="312">
        <f t="shared" si="51"/>
        <v>0</v>
      </c>
      <c r="X147" s="312">
        <f t="shared" si="51"/>
        <v>0</v>
      </c>
      <c r="Y147" s="312">
        <f t="shared" si="51"/>
        <v>0</v>
      </c>
      <c r="Z147" s="312">
        <f t="shared" si="51"/>
        <v>0</v>
      </c>
      <c r="AA147" s="312">
        <f t="shared" si="51"/>
        <v>0</v>
      </c>
      <c r="AB147" s="312">
        <f t="shared" si="51"/>
        <v>0</v>
      </c>
      <c r="AC147" s="312">
        <f t="shared" si="51"/>
        <v>0</v>
      </c>
      <c r="AD147" s="312">
        <f t="shared" si="51"/>
        <v>0</v>
      </c>
      <c r="AE147" s="312">
        <f t="shared" si="51"/>
        <v>0</v>
      </c>
      <c r="AF147" s="312">
        <f t="shared" si="51"/>
        <v>0</v>
      </c>
      <c r="AG147" s="312">
        <f t="shared" si="51"/>
        <v>0</v>
      </c>
      <c r="AH147" s="312">
        <f t="shared" si="51"/>
        <v>0</v>
      </c>
      <c r="AI147" s="312">
        <f t="shared" si="51"/>
        <v>0</v>
      </c>
      <c r="AJ147" s="312">
        <f t="shared" si="51"/>
        <v>0</v>
      </c>
      <c r="AK147" s="312">
        <f t="shared" si="51"/>
        <v>0</v>
      </c>
      <c r="AL147" s="312">
        <f t="shared" si="51"/>
        <v>0</v>
      </c>
      <c r="AM147" s="312">
        <f t="shared" si="51"/>
        <v>0</v>
      </c>
      <c r="AN147" s="312">
        <f t="shared" si="51"/>
        <v>0</v>
      </c>
      <c r="AO147" s="312">
        <f t="shared" si="51"/>
        <v>0</v>
      </c>
      <c r="AP147" s="312">
        <f t="shared" si="51"/>
        <v>0</v>
      </c>
      <c r="AQ147" s="312">
        <f t="shared" si="51"/>
        <v>0</v>
      </c>
      <c r="AR147" s="312">
        <f t="shared" si="51"/>
        <v>0</v>
      </c>
      <c r="AS147" s="312">
        <f t="shared" si="51"/>
        <v>0</v>
      </c>
      <c r="AT147" s="312">
        <f t="shared" si="51"/>
        <v>0</v>
      </c>
      <c r="AU147" s="312">
        <f t="shared" si="51"/>
        <v>0</v>
      </c>
      <c r="AV147" s="312">
        <f t="shared" si="51"/>
        <v>0</v>
      </c>
      <c r="AW147" s="312">
        <f t="shared" si="51"/>
        <v>0</v>
      </c>
      <c r="AX147" s="312">
        <f t="shared" si="51"/>
        <v>0</v>
      </c>
      <c r="AY147" s="312">
        <f t="shared" si="51"/>
        <v>0</v>
      </c>
      <c r="AZ147" s="312">
        <f t="shared" si="51"/>
        <v>0</v>
      </c>
      <c r="BA147" s="312">
        <f t="shared" si="51"/>
        <v>0</v>
      </c>
      <c r="BB147" s="312">
        <f t="shared" si="51"/>
        <v>0</v>
      </c>
      <c r="BC147" s="312">
        <f t="shared" si="51"/>
        <v>0</v>
      </c>
      <c r="BD147" s="312">
        <f t="shared" si="51"/>
        <v>0</v>
      </c>
      <c r="BE147" s="312">
        <f t="shared" si="51"/>
        <v>0</v>
      </c>
      <c r="BF147" s="312">
        <f t="shared" si="51"/>
        <v>0</v>
      </c>
      <c r="BG147" s="312">
        <f t="shared" si="51"/>
        <v>0</v>
      </c>
      <c r="BH147" s="312">
        <f t="shared" si="51"/>
        <v>0</v>
      </c>
      <c r="BI147" s="312">
        <f t="shared" si="51"/>
        <v>0</v>
      </c>
      <c r="BJ147" s="312">
        <f t="shared" si="51"/>
        <v>0</v>
      </c>
      <c r="BK147" s="312">
        <f t="shared" si="51"/>
        <v>0</v>
      </c>
      <c r="BL147" s="312">
        <f t="shared" si="51"/>
        <v>0</v>
      </c>
      <c r="BM147" s="312">
        <f t="shared" si="51"/>
        <v>0</v>
      </c>
      <c r="BN147" s="312">
        <f t="shared" si="51"/>
        <v>0</v>
      </c>
      <c r="BO147" s="312">
        <f t="shared" si="51"/>
        <v>0</v>
      </c>
      <c r="BP147" s="312">
        <f t="shared" si="51"/>
        <v>0</v>
      </c>
      <c r="BQ147" s="312">
        <f t="shared" si="51"/>
        <v>0</v>
      </c>
      <c r="BR147" s="312">
        <f t="shared" si="51"/>
        <v>0</v>
      </c>
      <c r="BS147" s="312">
        <f t="shared" si="51"/>
        <v>0</v>
      </c>
      <c r="BT147" s="312">
        <f t="shared" si="51"/>
        <v>0</v>
      </c>
      <c r="BU147" s="312">
        <f t="shared" si="51"/>
        <v>0</v>
      </c>
      <c r="BV147" s="312">
        <f t="shared" si="51"/>
        <v>0</v>
      </c>
      <c r="BW147" s="312">
        <f t="shared" si="51"/>
        <v>0</v>
      </c>
      <c r="BX147" s="312">
        <f t="shared" si="51"/>
        <v>0</v>
      </c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22"/>
      <c r="CO147" s="222"/>
      <c r="CP147" s="222"/>
      <c r="CQ147" s="222"/>
      <c r="CR147" s="222"/>
      <c r="CS147" s="222"/>
      <c r="CT147" s="222"/>
      <c r="CU147" s="222"/>
      <c r="CV147" s="222"/>
      <c r="CW147" s="222"/>
      <c r="CX147" s="222"/>
      <c r="CY147" s="222"/>
      <c r="CZ147" s="222"/>
      <c r="DA147" s="222"/>
      <c r="DB147" s="222"/>
      <c r="DC147" s="222"/>
      <c r="DD147" s="222"/>
      <c r="DE147" s="222"/>
      <c r="DF147" s="222"/>
      <c r="DG147" s="222"/>
      <c r="DH147" s="222"/>
      <c r="DI147" s="222"/>
      <c r="DJ147" s="222"/>
      <c r="DK147" s="222"/>
      <c r="DL147" s="222"/>
      <c r="DM147" s="222"/>
      <c r="DN147" s="222"/>
      <c r="DO147" s="222"/>
      <c r="DP147" s="222"/>
      <c r="DQ147" s="222"/>
      <c r="DR147" s="222"/>
      <c r="DS147" s="222"/>
      <c r="DT147" s="222"/>
      <c r="DU147" s="222"/>
      <c r="DV147" s="222"/>
      <c r="DW147" s="222"/>
      <c r="DX147" s="222"/>
      <c r="DY147" s="222"/>
      <c r="DZ147" s="222"/>
      <c r="EA147" s="222"/>
      <c r="EB147" s="222"/>
      <c r="EC147" s="222"/>
      <c r="ED147" s="222"/>
      <c r="EE147" s="222"/>
      <c r="EF147" s="222"/>
      <c r="EG147" s="222"/>
      <c r="EH147" s="222"/>
    </row>
    <row r="148" spans="1:138">
      <c r="A148" s="222"/>
      <c r="B148" s="318"/>
      <c r="C148" s="310" t="s">
        <v>305</v>
      </c>
      <c r="D148" s="319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/>
      <c r="R148" s="311"/>
      <c r="S148" s="311"/>
      <c r="T148" s="311"/>
      <c r="U148" s="311"/>
      <c r="V148" s="311"/>
      <c r="W148" s="311"/>
      <c r="X148" s="311"/>
      <c r="Y148" s="311"/>
      <c r="Z148" s="311"/>
      <c r="AA148" s="311"/>
      <c r="AB148" s="311"/>
      <c r="AC148" s="311"/>
      <c r="AD148" s="311"/>
      <c r="AE148" s="311"/>
      <c r="AF148" s="311"/>
      <c r="AG148" s="311"/>
      <c r="AH148" s="311"/>
      <c r="AI148" s="311"/>
      <c r="AJ148" s="311"/>
      <c r="AK148" s="311"/>
      <c r="AL148" s="311"/>
      <c r="AM148" s="311"/>
      <c r="AN148" s="311"/>
      <c r="AO148" s="311"/>
      <c r="AP148" s="311"/>
      <c r="AQ148" s="311"/>
      <c r="AR148" s="311"/>
      <c r="AS148" s="311"/>
      <c r="AT148" s="311"/>
      <c r="AU148" s="311"/>
      <c r="AV148" s="311"/>
      <c r="AW148" s="311"/>
      <c r="AX148" s="311"/>
      <c r="AY148" s="311"/>
      <c r="AZ148" s="311"/>
      <c r="BA148" s="311"/>
      <c r="BB148" s="311"/>
      <c r="BC148" s="312"/>
      <c r="BD148" s="311"/>
      <c r="BE148" s="311"/>
      <c r="BF148" s="311"/>
      <c r="BG148" s="311"/>
      <c r="BH148" s="311"/>
      <c r="BI148" s="311"/>
      <c r="BJ148" s="311"/>
      <c r="BK148" s="311"/>
      <c r="BL148" s="311"/>
      <c r="BM148" s="311"/>
      <c r="BN148" s="311"/>
      <c r="BO148" s="311"/>
      <c r="BP148" s="311"/>
      <c r="BQ148" s="311"/>
      <c r="BR148" s="311"/>
      <c r="BS148" s="311"/>
      <c r="BT148" s="311"/>
      <c r="BU148" s="311"/>
      <c r="BV148" s="311"/>
      <c r="BW148" s="311"/>
      <c r="BX148" s="311"/>
      <c r="BY148" s="307"/>
      <c r="BZ148" s="307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2"/>
      <c r="CU148" s="222"/>
      <c r="CV148" s="222"/>
      <c r="CW148" s="222"/>
      <c r="CX148" s="222"/>
      <c r="CY148" s="222"/>
      <c r="CZ148" s="222"/>
      <c r="DA148" s="222"/>
      <c r="DB148" s="222"/>
      <c r="DC148" s="222"/>
      <c r="DD148" s="222"/>
      <c r="DE148" s="222"/>
      <c r="DF148" s="222"/>
      <c r="DG148" s="222"/>
      <c r="DH148" s="222"/>
      <c r="DI148" s="222"/>
      <c r="DJ148" s="222"/>
      <c r="DK148" s="222"/>
      <c r="DL148" s="222"/>
      <c r="DM148" s="222"/>
      <c r="DN148" s="222"/>
      <c r="DO148" s="222"/>
      <c r="DP148" s="222"/>
      <c r="DQ148" s="222"/>
      <c r="DR148" s="222"/>
      <c r="DS148" s="222"/>
      <c r="DT148" s="222"/>
      <c r="DU148" s="222"/>
      <c r="DV148" s="222"/>
      <c r="DW148" s="222"/>
      <c r="DX148" s="222"/>
      <c r="DY148" s="222"/>
      <c r="DZ148" s="222"/>
      <c r="EA148" s="222"/>
      <c r="EB148" s="222"/>
      <c r="EC148" s="222"/>
      <c r="ED148" s="222"/>
      <c r="EE148" s="222"/>
      <c r="EF148" s="222"/>
      <c r="EG148" s="222"/>
      <c r="EH148" s="222"/>
    </row>
    <row r="149" spans="1:138">
      <c r="A149" s="222"/>
      <c r="B149" s="318"/>
      <c r="C149" s="310" t="s">
        <v>296</v>
      </c>
      <c r="D149" s="319"/>
      <c r="E149" s="311">
        <f t="shared" ref="E149:BX149" si="52">-E75</f>
        <v>0</v>
      </c>
      <c r="F149" s="311">
        <f t="shared" si="52"/>
        <v>0</v>
      </c>
      <c r="G149" s="311">
        <f t="shared" si="52"/>
        <v>0</v>
      </c>
      <c r="H149" s="311">
        <f t="shared" si="52"/>
        <v>0</v>
      </c>
      <c r="I149" s="311">
        <f t="shared" si="52"/>
        <v>0</v>
      </c>
      <c r="J149" s="311">
        <f t="shared" si="52"/>
        <v>0</v>
      </c>
      <c r="K149" s="311">
        <f t="shared" si="52"/>
        <v>0</v>
      </c>
      <c r="L149" s="311">
        <f t="shared" si="52"/>
        <v>0</v>
      </c>
      <c r="M149" s="311">
        <f t="shared" si="52"/>
        <v>0</v>
      </c>
      <c r="N149" s="311">
        <f t="shared" si="52"/>
        <v>0</v>
      </c>
      <c r="O149" s="311">
        <f t="shared" si="52"/>
        <v>0</v>
      </c>
      <c r="P149" s="311">
        <f t="shared" si="52"/>
        <v>0</v>
      </c>
      <c r="Q149" s="311">
        <f t="shared" si="52"/>
        <v>0</v>
      </c>
      <c r="R149" s="311">
        <f t="shared" si="52"/>
        <v>0</v>
      </c>
      <c r="S149" s="311">
        <f t="shared" si="52"/>
        <v>0</v>
      </c>
      <c r="T149" s="311">
        <f t="shared" si="52"/>
        <v>0</v>
      </c>
      <c r="U149" s="311">
        <f t="shared" si="52"/>
        <v>0</v>
      </c>
      <c r="V149" s="311">
        <f t="shared" si="52"/>
        <v>0</v>
      </c>
      <c r="W149" s="311">
        <f t="shared" si="52"/>
        <v>0</v>
      </c>
      <c r="X149" s="311">
        <f t="shared" si="52"/>
        <v>0</v>
      </c>
      <c r="Y149" s="311">
        <f t="shared" si="52"/>
        <v>0</v>
      </c>
      <c r="Z149" s="311">
        <f t="shared" si="52"/>
        <v>0</v>
      </c>
      <c r="AA149" s="311">
        <f t="shared" si="52"/>
        <v>0</v>
      </c>
      <c r="AB149" s="311">
        <f t="shared" si="52"/>
        <v>0</v>
      </c>
      <c r="AC149" s="311">
        <f t="shared" si="52"/>
        <v>0</v>
      </c>
      <c r="AD149" s="311">
        <f t="shared" si="52"/>
        <v>0</v>
      </c>
      <c r="AE149" s="311">
        <f t="shared" si="52"/>
        <v>0</v>
      </c>
      <c r="AF149" s="311">
        <f t="shared" si="52"/>
        <v>0</v>
      </c>
      <c r="AG149" s="311">
        <f t="shared" si="52"/>
        <v>0</v>
      </c>
      <c r="AH149" s="311">
        <f t="shared" si="52"/>
        <v>0</v>
      </c>
      <c r="AI149" s="311">
        <f t="shared" si="52"/>
        <v>0</v>
      </c>
      <c r="AJ149" s="311">
        <f t="shared" si="52"/>
        <v>0</v>
      </c>
      <c r="AK149" s="311">
        <f t="shared" si="52"/>
        <v>0</v>
      </c>
      <c r="AL149" s="311">
        <f t="shared" si="52"/>
        <v>0</v>
      </c>
      <c r="AM149" s="311">
        <f t="shared" si="52"/>
        <v>0</v>
      </c>
      <c r="AN149" s="311">
        <f t="shared" si="52"/>
        <v>0</v>
      </c>
      <c r="AO149" s="311">
        <f t="shared" si="52"/>
        <v>0</v>
      </c>
      <c r="AP149" s="311">
        <f t="shared" si="52"/>
        <v>0</v>
      </c>
      <c r="AQ149" s="311">
        <f t="shared" si="52"/>
        <v>0</v>
      </c>
      <c r="AR149" s="311">
        <f t="shared" si="52"/>
        <v>0</v>
      </c>
      <c r="AS149" s="311">
        <f t="shared" si="52"/>
        <v>0</v>
      </c>
      <c r="AT149" s="311">
        <f t="shared" si="52"/>
        <v>0</v>
      </c>
      <c r="AU149" s="311">
        <f t="shared" si="52"/>
        <v>0</v>
      </c>
      <c r="AV149" s="311">
        <f t="shared" si="52"/>
        <v>0</v>
      </c>
      <c r="AW149" s="311">
        <f t="shared" si="52"/>
        <v>0</v>
      </c>
      <c r="AX149" s="311">
        <f t="shared" si="52"/>
        <v>0</v>
      </c>
      <c r="AY149" s="311">
        <f t="shared" si="52"/>
        <v>0</v>
      </c>
      <c r="AZ149" s="311">
        <f t="shared" si="52"/>
        <v>0</v>
      </c>
      <c r="BA149" s="311">
        <f t="shared" si="52"/>
        <v>0</v>
      </c>
      <c r="BB149" s="311">
        <f t="shared" si="52"/>
        <v>0</v>
      </c>
      <c r="BC149" s="311">
        <f t="shared" si="52"/>
        <v>0</v>
      </c>
      <c r="BD149" s="311">
        <f t="shared" si="52"/>
        <v>0</v>
      </c>
      <c r="BE149" s="311">
        <f t="shared" si="52"/>
        <v>0</v>
      </c>
      <c r="BF149" s="311">
        <f t="shared" si="52"/>
        <v>0</v>
      </c>
      <c r="BG149" s="311">
        <f t="shared" si="52"/>
        <v>0</v>
      </c>
      <c r="BH149" s="311">
        <f t="shared" si="52"/>
        <v>0</v>
      </c>
      <c r="BI149" s="311">
        <f t="shared" si="52"/>
        <v>0</v>
      </c>
      <c r="BJ149" s="311">
        <f t="shared" si="52"/>
        <v>0</v>
      </c>
      <c r="BK149" s="311">
        <f t="shared" si="52"/>
        <v>0</v>
      </c>
      <c r="BL149" s="311">
        <f t="shared" si="52"/>
        <v>0</v>
      </c>
      <c r="BM149" s="311">
        <f t="shared" si="52"/>
        <v>0</v>
      </c>
      <c r="BN149" s="311">
        <f t="shared" si="52"/>
        <v>0</v>
      </c>
      <c r="BO149" s="311">
        <f t="shared" si="52"/>
        <v>0</v>
      </c>
      <c r="BP149" s="311">
        <f t="shared" si="52"/>
        <v>0</v>
      </c>
      <c r="BQ149" s="311">
        <f t="shared" si="52"/>
        <v>0</v>
      </c>
      <c r="BR149" s="311">
        <f t="shared" si="52"/>
        <v>0</v>
      </c>
      <c r="BS149" s="311">
        <f t="shared" si="52"/>
        <v>0</v>
      </c>
      <c r="BT149" s="311">
        <f t="shared" si="52"/>
        <v>0</v>
      </c>
      <c r="BU149" s="311">
        <f t="shared" si="52"/>
        <v>0</v>
      </c>
      <c r="BV149" s="311">
        <f t="shared" si="52"/>
        <v>0</v>
      </c>
      <c r="BW149" s="311">
        <f t="shared" si="52"/>
        <v>0</v>
      </c>
      <c r="BX149" s="311">
        <f t="shared" si="52"/>
        <v>0</v>
      </c>
      <c r="BY149" s="307"/>
      <c r="BZ149" s="307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22"/>
      <c r="CO149" s="222"/>
      <c r="CP149" s="222"/>
      <c r="CQ149" s="222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222"/>
      <c r="DC149" s="222"/>
      <c r="DD149" s="222"/>
      <c r="DE149" s="222"/>
      <c r="DF149" s="222"/>
      <c r="DG149" s="222"/>
      <c r="DH149" s="222"/>
      <c r="DI149" s="222"/>
      <c r="DJ149" s="222"/>
      <c r="DK149" s="222"/>
      <c r="DL149" s="222"/>
      <c r="DM149" s="222"/>
      <c r="DN149" s="222"/>
      <c r="DO149" s="222"/>
      <c r="DP149" s="222"/>
      <c r="DQ149" s="222"/>
      <c r="DR149" s="222"/>
      <c r="DS149" s="222"/>
      <c r="DT149" s="222"/>
      <c r="DU149" s="222"/>
      <c r="DV149" s="222"/>
      <c r="DW149" s="222"/>
      <c r="DX149" s="222"/>
      <c r="DY149" s="222"/>
      <c r="DZ149" s="222"/>
      <c r="EA149" s="222"/>
      <c r="EB149" s="222"/>
      <c r="EC149" s="222"/>
      <c r="ED149" s="222"/>
      <c r="EE149" s="222"/>
      <c r="EF149" s="222"/>
      <c r="EG149" s="222"/>
      <c r="EH149" s="222"/>
    </row>
    <row r="150" spans="1:138">
      <c r="A150" s="222"/>
      <c r="B150" s="318"/>
      <c r="C150" s="310" t="s">
        <v>297</v>
      </c>
      <c r="D150" s="319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311"/>
      <c r="P150" s="311"/>
      <c r="Q150" s="311"/>
      <c r="R150" s="311"/>
      <c r="S150" s="311"/>
      <c r="T150" s="311">
        <f>5500000</f>
        <v>5500000</v>
      </c>
      <c r="U150" s="311"/>
      <c r="V150" s="311"/>
      <c r="W150" s="311"/>
      <c r="X150" s="311"/>
      <c r="Y150" s="311"/>
      <c r="Z150" s="311"/>
      <c r="AA150" s="311"/>
      <c r="AB150" s="311"/>
      <c r="AC150" s="311"/>
      <c r="AD150" s="311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1"/>
      <c r="AZ150" s="311"/>
      <c r="BA150" s="311"/>
      <c r="BB150" s="311"/>
      <c r="BC150" s="312"/>
      <c r="BD150" s="311"/>
      <c r="BE150" s="311"/>
      <c r="BF150" s="311"/>
      <c r="BG150" s="311"/>
      <c r="BH150" s="311"/>
      <c r="BI150" s="311"/>
      <c r="BJ150" s="311"/>
      <c r="BK150" s="311"/>
      <c r="BL150" s="311"/>
      <c r="BM150" s="311"/>
      <c r="BN150" s="311"/>
      <c r="BO150" s="311"/>
      <c r="BP150" s="311"/>
      <c r="BQ150" s="311"/>
      <c r="BR150" s="311"/>
      <c r="BS150" s="311"/>
      <c r="BT150" s="311"/>
      <c r="BU150" s="311"/>
      <c r="BV150" s="311"/>
      <c r="BW150" s="311"/>
      <c r="BX150" s="311">
        <f>IF(D122&gt;0.25,(BX117-BX125)*D151,BX117*D151)</f>
        <v>0</v>
      </c>
      <c r="BY150" s="307"/>
      <c r="BZ150" s="307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22"/>
      <c r="CO150" s="222"/>
      <c r="CP150" s="222"/>
      <c r="CQ150" s="222"/>
      <c r="CR150" s="222"/>
      <c r="CS150" s="222"/>
      <c r="CT150" s="222"/>
      <c r="CU150" s="222"/>
      <c r="CV150" s="222"/>
      <c r="CW150" s="222"/>
      <c r="CX150" s="222"/>
      <c r="CY150" s="222"/>
      <c r="CZ150" s="222"/>
      <c r="DA150" s="222"/>
      <c r="DB150" s="222"/>
      <c r="DC150" s="222"/>
      <c r="DD150" s="222"/>
      <c r="DE150" s="222"/>
      <c r="DF150" s="222"/>
      <c r="DG150" s="222"/>
      <c r="DH150" s="222"/>
      <c r="DI150" s="222"/>
      <c r="DJ150" s="222"/>
      <c r="DK150" s="222"/>
      <c r="DL150" s="222"/>
      <c r="DM150" s="222"/>
      <c r="DN150" s="222"/>
      <c r="DO150" s="222"/>
      <c r="DP150" s="222"/>
      <c r="DQ150" s="222"/>
      <c r="DR150" s="222"/>
      <c r="DS150" s="222"/>
      <c r="DT150" s="222"/>
      <c r="DU150" s="222"/>
      <c r="DV150" s="222"/>
      <c r="DW150" s="222"/>
      <c r="DX150" s="222"/>
      <c r="DY150" s="222"/>
      <c r="DZ150" s="222"/>
      <c r="EA150" s="222"/>
      <c r="EB150" s="222"/>
      <c r="EC150" s="222"/>
      <c r="ED150" s="222"/>
      <c r="EE150" s="222"/>
      <c r="EF150" s="222"/>
      <c r="EG150" s="222"/>
      <c r="EH150" s="222"/>
    </row>
    <row r="151" spans="1:138">
      <c r="A151" s="222"/>
      <c r="B151" s="318"/>
      <c r="C151" s="313" t="s">
        <v>298</v>
      </c>
      <c r="D151" s="319">
        <v>0</v>
      </c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311"/>
      <c r="AA151" s="311"/>
      <c r="AB151" s="311"/>
      <c r="AC151" s="311"/>
      <c r="AD151" s="311"/>
      <c r="AE151" s="311"/>
      <c r="AF151" s="311"/>
      <c r="AG151" s="311"/>
      <c r="AH151" s="311"/>
      <c r="AI151" s="311"/>
      <c r="AJ151" s="311"/>
      <c r="AK151" s="311"/>
      <c r="AL151" s="311"/>
      <c r="AM151" s="311"/>
      <c r="AN151" s="311"/>
      <c r="AO151" s="311"/>
      <c r="AP151" s="311"/>
      <c r="AQ151" s="311"/>
      <c r="AR151" s="311"/>
      <c r="AS151" s="311"/>
      <c r="AT151" s="311"/>
      <c r="AU151" s="311"/>
      <c r="AV151" s="311"/>
      <c r="AW151" s="311"/>
      <c r="AX151" s="311"/>
      <c r="AY151" s="311"/>
      <c r="AZ151" s="311"/>
      <c r="BA151" s="311"/>
      <c r="BB151" s="311"/>
      <c r="BC151" s="312"/>
      <c r="BD151" s="311"/>
      <c r="BE151" s="311"/>
      <c r="BF151" s="311"/>
      <c r="BG151" s="311"/>
      <c r="BH151" s="311"/>
      <c r="BI151" s="311"/>
      <c r="BJ151" s="311"/>
      <c r="BK151" s="311"/>
      <c r="BL151" s="311"/>
      <c r="BM151" s="311"/>
      <c r="BN151" s="311"/>
      <c r="BO151" s="311"/>
      <c r="BP151" s="311"/>
      <c r="BQ151" s="311"/>
      <c r="BR151" s="311"/>
      <c r="BS151" s="311"/>
      <c r="BT151" s="311"/>
      <c r="BU151" s="311"/>
      <c r="BV151" s="311"/>
      <c r="BW151" s="311"/>
      <c r="BX151" s="311"/>
      <c r="BY151" s="307"/>
      <c r="BZ151" s="307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222"/>
      <c r="DX151" s="222"/>
      <c r="DY151" s="222"/>
      <c r="DZ151" s="222"/>
      <c r="EA151" s="222"/>
      <c r="EB151" s="222"/>
      <c r="EC151" s="222"/>
      <c r="ED151" s="222"/>
      <c r="EE151" s="222"/>
      <c r="EF151" s="222"/>
      <c r="EG151" s="222"/>
      <c r="EH151" s="222"/>
    </row>
    <row r="152" spans="1:138">
      <c r="A152" s="222"/>
      <c r="B152" s="318"/>
      <c r="C152" s="310" t="s">
        <v>299</v>
      </c>
      <c r="D152" s="311"/>
      <c r="E152" s="321">
        <f t="shared" ref="E152:BX152" si="53">E147+E148+E149+E150+E151</f>
        <v>0</v>
      </c>
      <c r="F152" s="321">
        <f t="shared" si="53"/>
        <v>0</v>
      </c>
      <c r="G152" s="321">
        <f t="shared" si="53"/>
        <v>0</v>
      </c>
      <c r="H152" s="321">
        <f t="shared" si="53"/>
        <v>-10682501</v>
      </c>
      <c r="I152" s="321">
        <f t="shared" si="53"/>
        <v>0</v>
      </c>
      <c r="J152" s="321">
        <f t="shared" si="53"/>
        <v>0</v>
      </c>
      <c r="K152" s="321">
        <f t="shared" si="53"/>
        <v>0</v>
      </c>
      <c r="L152" s="321">
        <f t="shared" si="53"/>
        <v>15913.92</v>
      </c>
      <c r="M152" s="321">
        <f t="shared" si="53"/>
        <v>0</v>
      </c>
      <c r="N152" s="321">
        <f t="shared" si="53"/>
        <v>0</v>
      </c>
      <c r="O152" s="321">
        <f t="shared" si="53"/>
        <v>0</v>
      </c>
      <c r="P152" s="321">
        <f t="shared" si="53"/>
        <v>0</v>
      </c>
      <c r="Q152" s="321">
        <f t="shared" si="53"/>
        <v>36051</v>
      </c>
      <c r="R152" s="321">
        <f t="shared" si="53"/>
        <v>393250</v>
      </c>
      <c r="S152" s="321">
        <f t="shared" si="53"/>
        <v>393250</v>
      </c>
      <c r="T152" s="321">
        <f t="shared" si="53"/>
        <v>16182501</v>
      </c>
      <c r="U152" s="321">
        <f t="shared" si="53"/>
        <v>0</v>
      </c>
      <c r="V152" s="321">
        <f t="shared" si="53"/>
        <v>0</v>
      </c>
      <c r="W152" s="321">
        <f t="shared" si="53"/>
        <v>0</v>
      </c>
      <c r="X152" s="321">
        <f t="shared" si="53"/>
        <v>0</v>
      </c>
      <c r="Y152" s="321">
        <f t="shared" si="53"/>
        <v>0</v>
      </c>
      <c r="Z152" s="321">
        <f t="shared" si="53"/>
        <v>0</v>
      </c>
      <c r="AA152" s="321">
        <f t="shared" si="53"/>
        <v>0</v>
      </c>
      <c r="AB152" s="321">
        <f t="shared" si="53"/>
        <v>0</v>
      </c>
      <c r="AC152" s="321">
        <f t="shared" si="53"/>
        <v>0</v>
      </c>
      <c r="AD152" s="321">
        <f t="shared" si="53"/>
        <v>0</v>
      </c>
      <c r="AE152" s="321">
        <f t="shared" si="53"/>
        <v>0</v>
      </c>
      <c r="AF152" s="321">
        <f t="shared" si="53"/>
        <v>0</v>
      </c>
      <c r="AG152" s="321">
        <f t="shared" si="53"/>
        <v>0</v>
      </c>
      <c r="AH152" s="321">
        <f t="shared" si="53"/>
        <v>0</v>
      </c>
      <c r="AI152" s="321">
        <f t="shared" si="53"/>
        <v>0</v>
      </c>
      <c r="AJ152" s="321">
        <f t="shared" si="53"/>
        <v>0</v>
      </c>
      <c r="AK152" s="321">
        <f t="shared" si="53"/>
        <v>0</v>
      </c>
      <c r="AL152" s="321">
        <f t="shared" si="53"/>
        <v>0</v>
      </c>
      <c r="AM152" s="321">
        <f t="shared" si="53"/>
        <v>0</v>
      </c>
      <c r="AN152" s="321">
        <f t="shared" si="53"/>
        <v>0</v>
      </c>
      <c r="AO152" s="321">
        <f t="shared" si="53"/>
        <v>0</v>
      </c>
      <c r="AP152" s="321">
        <f t="shared" si="53"/>
        <v>0</v>
      </c>
      <c r="AQ152" s="321">
        <f t="shared" si="53"/>
        <v>0</v>
      </c>
      <c r="AR152" s="321">
        <f t="shared" si="53"/>
        <v>0</v>
      </c>
      <c r="AS152" s="321">
        <f t="shared" si="53"/>
        <v>0</v>
      </c>
      <c r="AT152" s="321">
        <f t="shared" si="53"/>
        <v>0</v>
      </c>
      <c r="AU152" s="321">
        <f t="shared" si="53"/>
        <v>0</v>
      </c>
      <c r="AV152" s="321">
        <f t="shared" si="53"/>
        <v>0</v>
      </c>
      <c r="AW152" s="321">
        <f t="shared" si="53"/>
        <v>0</v>
      </c>
      <c r="AX152" s="321">
        <f t="shared" si="53"/>
        <v>0</v>
      </c>
      <c r="AY152" s="321">
        <f t="shared" si="53"/>
        <v>0</v>
      </c>
      <c r="AZ152" s="321">
        <f t="shared" si="53"/>
        <v>0</v>
      </c>
      <c r="BA152" s="321">
        <f t="shared" si="53"/>
        <v>0</v>
      </c>
      <c r="BB152" s="321">
        <f t="shared" si="53"/>
        <v>0</v>
      </c>
      <c r="BC152" s="321">
        <f t="shared" si="53"/>
        <v>0</v>
      </c>
      <c r="BD152" s="321">
        <f t="shared" si="53"/>
        <v>0</v>
      </c>
      <c r="BE152" s="321">
        <f t="shared" si="53"/>
        <v>0</v>
      </c>
      <c r="BF152" s="321">
        <f t="shared" si="53"/>
        <v>0</v>
      </c>
      <c r="BG152" s="321">
        <f t="shared" si="53"/>
        <v>0</v>
      </c>
      <c r="BH152" s="321">
        <f t="shared" si="53"/>
        <v>0</v>
      </c>
      <c r="BI152" s="321">
        <f t="shared" si="53"/>
        <v>0</v>
      </c>
      <c r="BJ152" s="321">
        <f t="shared" si="53"/>
        <v>0</v>
      </c>
      <c r="BK152" s="321">
        <f t="shared" si="53"/>
        <v>0</v>
      </c>
      <c r="BL152" s="321">
        <f t="shared" si="53"/>
        <v>0</v>
      </c>
      <c r="BM152" s="321">
        <f t="shared" si="53"/>
        <v>0</v>
      </c>
      <c r="BN152" s="321">
        <f t="shared" si="53"/>
        <v>0</v>
      </c>
      <c r="BO152" s="321">
        <f t="shared" si="53"/>
        <v>0</v>
      </c>
      <c r="BP152" s="321">
        <f t="shared" si="53"/>
        <v>0</v>
      </c>
      <c r="BQ152" s="321">
        <f t="shared" si="53"/>
        <v>0</v>
      </c>
      <c r="BR152" s="321">
        <f t="shared" si="53"/>
        <v>0</v>
      </c>
      <c r="BS152" s="321">
        <f t="shared" si="53"/>
        <v>0</v>
      </c>
      <c r="BT152" s="321">
        <f t="shared" si="53"/>
        <v>0</v>
      </c>
      <c r="BU152" s="321">
        <f t="shared" si="53"/>
        <v>0</v>
      </c>
      <c r="BV152" s="321">
        <f t="shared" si="53"/>
        <v>0</v>
      </c>
      <c r="BW152" s="321">
        <f t="shared" si="53"/>
        <v>0</v>
      </c>
      <c r="BX152" s="321">
        <f t="shared" si="53"/>
        <v>0</v>
      </c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22"/>
      <c r="CO152" s="222"/>
      <c r="CP152" s="222"/>
      <c r="CQ152" s="222"/>
      <c r="CR152" s="222"/>
      <c r="CS152" s="222"/>
      <c r="CT152" s="222"/>
      <c r="CU152" s="222"/>
      <c r="CV152" s="222"/>
      <c r="CW152" s="222"/>
      <c r="CX152" s="222"/>
      <c r="CY152" s="222"/>
      <c r="CZ152" s="222"/>
      <c r="DA152" s="222"/>
      <c r="DB152" s="222"/>
      <c r="DC152" s="222"/>
      <c r="DD152" s="222"/>
      <c r="DE152" s="222"/>
      <c r="DF152" s="222"/>
      <c r="DG152" s="222"/>
      <c r="DH152" s="222"/>
      <c r="DI152" s="222"/>
      <c r="DJ152" s="222"/>
      <c r="DK152" s="222"/>
      <c r="DL152" s="222"/>
      <c r="DM152" s="222"/>
      <c r="DN152" s="222"/>
      <c r="DO152" s="222"/>
      <c r="DP152" s="222"/>
      <c r="DQ152" s="222"/>
      <c r="DR152" s="222"/>
      <c r="DS152" s="222"/>
      <c r="DT152" s="222"/>
      <c r="DU152" s="222"/>
      <c r="DV152" s="222"/>
      <c r="DW152" s="222"/>
      <c r="DX152" s="222"/>
      <c r="DY152" s="222"/>
      <c r="DZ152" s="222"/>
      <c r="EA152" s="222"/>
      <c r="EB152" s="222"/>
      <c r="EC152" s="222"/>
      <c r="ED152" s="222"/>
      <c r="EE152" s="222"/>
      <c r="EF152" s="222"/>
      <c r="EG152" s="222"/>
      <c r="EH152" s="222"/>
    </row>
    <row r="153" spans="1:138">
      <c r="A153" s="222"/>
      <c r="B153" s="318"/>
      <c r="C153" s="314"/>
      <c r="D153" s="322" t="s">
        <v>306</v>
      </c>
      <c r="E153" s="327">
        <f>E152</f>
        <v>0</v>
      </c>
      <c r="F153" s="327">
        <f t="shared" ref="F153:BX153" si="54">E153+F152</f>
        <v>0</v>
      </c>
      <c r="G153" s="327">
        <f t="shared" si="54"/>
        <v>0</v>
      </c>
      <c r="H153" s="327">
        <f t="shared" si="54"/>
        <v>-10682501</v>
      </c>
      <c r="I153" s="327">
        <f t="shared" si="54"/>
        <v>-10682501</v>
      </c>
      <c r="J153" s="327">
        <f t="shared" si="54"/>
        <v>-10682501</v>
      </c>
      <c r="K153" s="327">
        <f t="shared" si="54"/>
        <v>-10682501</v>
      </c>
      <c r="L153" s="327">
        <f t="shared" si="54"/>
        <v>-10666587.08</v>
      </c>
      <c r="M153" s="327">
        <f t="shared" si="54"/>
        <v>-10666587.08</v>
      </c>
      <c r="N153" s="327">
        <f t="shared" si="54"/>
        <v>-10666587.08</v>
      </c>
      <c r="O153" s="327">
        <f t="shared" si="54"/>
        <v>-10666587.08</v>
      </c>
      <c r="P153" s="327">
        <f t="shared" si="54"/>
        <v>-10666587.08</v>
      </c>
      <c r="Q153" s="327">
        <f t="shared" si="54"/>
        <v>-10630536.08</v>
      </c>
      <c r="R153" s="327">
        <f t="shared" si="54"/>
        <v>-10237286.08</v>
      </c>
      <c r="S153" s="327">
        <f t="shared" si="54"/>
        <v>-9844036.0800000001</v>
      </c>
      <c r="T153" s="327">
        <f t="shared" si="54"/>
        <v>6338464.9199999999</v>
      </c>
      <c r="U153" s="327">
        <f t="shared" si="54"/>
        <v>6338464.9199999999</v>
      </c>
      <c r="V153" s="328">
        <f t="shared" si="54"/>
        <v>6338464.9199999999</v>
      </c>
      <c r="W153" s="328">
        <f t="shared" si="54"/>
        <v>6338464.9199999999</v>
      </c>
      <c r="X153" s="328">
        <f t="shared" si="54"/>
        <v>6338464.9199999999</v>
      </c>
      <c r="Y153" s="328">
        <f t="shared" si="54"/>
        <v>6338464.9199999999</v>
      </c>
      <c r="Z153" s="328">
        <f t="shared" si="54"/>
        <v>6338464.9199999999</v>
      </c>
      <c r="AA153" s="328">
        <f t="shared" si="54"/>
        <v>6338464.9199999999</v>
      </c>
      <c r="AB153" s="328">
        <f t="shared" si="54"/>
        <v>6338464.9199999999</v>
      </c>
      <c r="AC153" s="328">
        <f t="shared" si="54"/>
        <v>6338464.9199999999</v>
      </c>
      <c r="AD153" s="328">
        <f t="shared" si="54"/>
        <v>6338464.9199999999</v>
      </c>
      <c r="AE153" s="328">
        <f t="shared" si="54"/>
        <v>6338464.9199999999</v>
      </c>
      <c r="AF153" s="328">
        <f t="shared" si="54"/>
        <v>6338464.9199999999</v>
      </c>
      <c r="AG153" s="328">
        <f t="shared" si="54"/>
        <v>6338464.9199999999</v>
      </c>
      <c r="AH153" s="328">
        <f t="shared" si="54"/>
        <v>6338464.9199999999</v>
      </c>
      <c r="AI153" s="328">
        <f t="shared" si="54"/>
        <v>6338464.9199999999</v>
      </c>
      <c r="AJ153" s="328">
        <f t="shared" si="54"/>
        <v>6338464.9199999999</v>
      </c>
      <c r="AK153" s="328">
        <f t="shared" si="54"/>
        <v>6338464.9199999999</v>
      </c>
      <c r="AL153" s="328">
        <f t="shared" si="54"/>
        <v>6338464.9199999999</v>
      </c>
      <c r="AM153" s="328">
        <f t="shared" si="54"/>
        <v>6338464.9199999999</v>
      </c>
      <c r="AN153" s="328">
        <f t="shared" si="54"/>
        <v>6338464.9199999999</v>
      </c>
      <c r="AO153" s="328">
        <f t="shared" si="54"/>
        <v>6338464.9199999999</v>
      </c>
      <c r="AP153" s="328">
        <f t="shared" si="54"/>
        <v>6338464.9199999999</v>
      </c>
      <c r="AQ153" s="328">
        <f t="shared" si="54"/>
        <v>6338464.9199999999</v>
      </c>
      <c r="AR153" s="328">
        <f t="shared" si="54"/>
        <v>6338464.9199999999</v>
      </c>
      <c r="AS153" s="328">
        <f t="shared" si="54"/>
        <v>6338464.9199999999</v>
      </c>
      <c r="AT153" s="328">
        <f t="shared" si="54"/>
        <v>6338464.9199999999</v>
      </c>
      <c r="AU153" s="328">
        <f t="shared" si="54"/>
        <v>6338464.9199999999</v>
      </c>
      <c r="AV153" s="328">
        <f t="shared" si="54"/>
        <v>6338464.9199999999</v>
      </c>
      <c r="AW153" s="328">
        <f t="shared" si="54"/>
        <v>6338464.9199999999</v>
      </c>
      <c r="AX153" s="328">
        <f t="shared" si="54"/>
        <v>6338464.9199999999</v>
      </c>
      <c r="AY153" s="328">
        <f t="shared" si="54"/>
        <v>6338464.9199999999</v>
      </c>
      <c r="AZ153" s="328">
        <f t="shared" si="54"/>
        <v>6338464.9199999999</v>
      </c>
      <c r="BA153" s="328">
        <f t="shared" si="54"/>
        <v>6338464.9199999999</v>
      </c>
      <c r="BB153" s="328">
        <f t="shared" si="54"/>
        <v>6338464.9199999999</v>
      </c>
      <c r="BC153" s="327">
        <f t="shared" si="54"/>
        <v>6338464.9199999999</v>
      </c>
      <c r="BD153" s="327">
        <f t="shared" si="54"/>
        <v>6338464.9199999999</v>
      </c>
      <c r="BE153" s="327">
        <f t="shared" si="54"/>
        <v>6338464.9199999999</v>
      </c>
      <c r="BF153" s="327">
        <f t="shared" si="54"/>
        <v>6338464.9199999999</v>
      </c>
      <c r="BG153" s="327">
        <f t="shared" si="54"/>
        <v>6338464.9199999999</v>
      </c>
      <c r="BH153" s="327">
        <f t="shared" si="54"/>
        <v>6338464.9199999999</v>
      </c>
      <c r="BI153" s="327">
        <f t="shared" si="54"/>
        <v>6338464.9199999999</v>
      </c>
      <c r="BJ153" s="327">
        <f t="shared" si="54"/>
        <v>6338464.9199999999</v>
      </c>
      <c r="BK153" s="327">
        <f t="shared" si="54"/>
        <v>6338464.9199999999</v>
      </c>
      <c r="BL153" s="327">
        <f t="shared" si="54"/>
        <v>6338464.9199999999</v>
      </c>
      <c r="BM153" s="327">
        <f t="shared" si="54"/>
        <v>6338464.9199999999</v>
      </c>
      <c r="BN153" s="327">
        <f t="shared" si="54"/>
        <v>6338464.9199999999</v>
      </c>
      <c r="BO153" s="327">
        <f t="shared" si="54"/>
        <v>6338464.9199999999</v>
      </c>
      <c r="BP153" s="327">
        <f t="shared" si="54"/>
        <v>6338464.9199999999</v>
      </c>
      <c r="BQ153" s="327">
        <f t="shared" si="54"/>
        <v>6338464.9199999999</v>
      </c>
      <c r="BR153" s="327">
        <f t="shared" si="54"/>
        <v>6338464.9199999999</v>
      </c>
      <c r="BS153" s="327">
        <f t="shared" si="54"/>
        <v>6338464.9199999999</v>
      </c>
      <c r="BT153" s="327">
        <f t="shared" si="54"/>
        <v>6338464.9199999999</v>
      </c>
      <c r="BU153" s="327">
        <f t="shared" si="54"/>
        <v>6338464.9199999999</v>
      </c>
      <c r="BV153" s="327">
        <f t="shared" si="54"/>
        <v>6338464.9199999999</v>
      </c>
      <c r="BW153" s="327">
        <f t="shared" si="54"/>
        <v>6338464.9199999999</v>
      </c>
      <c r="BX153" s="327">
        <f t="shared" si="54"/>
        <v>6338464.9199999999</v>
      </c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22"/>
      <c r="CO153" s="222"/>
      <c r="CP153" s="222"/>
      <c r="CQ153" s="222"/>
      <c r="CR153" s="222"/>
      <c r="CS153" s="222"/>
      <c r="CT153" s="222"/>
      <c r="CU153" s="222"/>
      <c r="CV153" s="222"/>
      <c r="CW153" s="222"/>
      <c r="CX153" s="222"/>
      <c r="CY153" s="222"/>
      <c r="CZ153" s="222"/>
      <c r="DA153" s="222"/>
      <c r="DB153" s="222"/>
      <c r="DC153" s="222"/>
      <c r="DD153" s="222"/>
      <c r="DE153" s="222"/>
      <c r="DF153" s="222"/>
      <c r="DG153" s="222"/>
      <c r="DH153" s="222"/>
      <c r="DI153" s="222"/>
      <c r="DJ153" s="222"/>
      <c r="DK153" s="222"/>
      <c r="DL153" s="222"/>
      <c r="DM153" s="222"/>
      <c r="DN153" s="222"/>
      <c r="DO153" s="222"/>
      <c r="DP153" s="222"/>
      <c r="DQ153" s="222"/>
      <c r="DR153" s="222"/>
      <c r="DS153" s="222"/>
      <c r="DT153" s="222"/>
      <c r="DU153" s="222"/>
      <c r="DV153" s="222"/>
      <c r="DW153" s="222"/>
      <c r="DX153" s="222"/>
      <c r="DY153" s="222"/>
      <c r="DZ153" s="222"/>
      <c r="EA153" s="222"/>
      <c r="EB153" s="222"/>
      <c r="EC153" s="222"/>
      <c r="ED153" s="222"/>
      <c r="EE153" s="222"/>
      <c r="EF153" s="222"/>
      <c r="EG153" s="222"/>
      <c r="EH153" s="222"/>
    </row>
    <row r="154" spans="1:138">
      <c r="A154" s="222"/>
      <c r="B154" s="318"/>
      <c r="C154" s="313" t="s">
        <v>292</v>
      </c>
      <c r="D154" s="322">
        <f>IRR(H152:T152)*12</f>
        <v>0.4785360924188149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2"/>
      <c r="BN154" s="222"/>
      <c r="BO154" s="222"/>
      <c r="BP154" s="222"/>
      <c r="BQ154" s="22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22"/>
      <c r="CO154" s="222"/>
      <c r="CP154" s="222"/>
      <c r="CQ154" s="222"/>
      <c r="CR154" s="222"/>
      <c r="CS154" s="222"/>
      <c r="CT154" s="222"/>
      <c r="CU154" s="222"/>
      <c r="CV154" s="222"/>
      <c r="CW154" s="222"/>
      <c r="CX154" s="222"/>
      <c r="CY154" s="222"/>
      <c r="CZ154" s="222"/>
      <c r="DA154" s="222"/>
      <c r="DB154" s="222"/>
      <c r="DC154" s="222"/>
      <c r="DD154" s="222"/>
      <c r="DE154" s="222"/>
      <c r="DF154" s="222"/>
      <c r="DG154" s="222"/>
      <c r="DH154" s="222"/>
      <c r="DI154" s="222"/>
      <c r="DJ154" s="222"/>
      <c r="DK154" s="222"/>
      <c r="DL154" s="222"/>
      <c r="DM154" s="222"/>
      <c r="DN154" s="222"/>
      <c r="DO154" s="222"/>
      <c r="DP154" s="222"/>
      <c r="DQ154" s="222"/>
      <c r="DR154" s="222"/>
      <c r="DS154" s="222"/>
      <c r="DT154" s="222"/>
      <c r="DU154" s="222"/>
      <c r="DV154" s="222"/>
      <c r="DW154" s="222"/>
      <c r="DX154" s="222"/>
      <c r="DY154" s="222"/>
      <c r="DZ154" s="222"/>
      <c r="EA154" s="222"/>
      <c r="EB154" s="222"/>
      <c r="EC154" s="222"/>
      <c r="ED154" s="222"/>
      <c r="EE154" s="222"/>
      <c r="EF154" s="222"/>
      <c r="EG154" s="222"/>
      <c r="EH154" s="222"/>
    </row>
    <row r="155" spans="1:138">
      <c r="A155" s="222"/>
      <c r="B155" s="318"/>
      <c r="C155" s="323" t="s">
        <v>300</v>
      </c>
      <c r="D155" s="324">
        <f>-MIN(M153:BL153)-D156</f>
        <v>10666587.08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  <c r="BQ155" s="22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22"/>
      <c r="CO155" s="222"/>
      <c r="CP155" s="222"/>
      <c r="CQ155" s="222"/>
      <c r="CR155" s="222"/>
      <c r="CS155" s="222"/>
      <c r="CT155" s="222"/>
      <c r="CU155" s="222"/>
      <c r="CV155" s="222"/>
      <c r="CW155" s="222"/>
      <c r="CX155" s="222"/>
      <c r="CY155" s="222"/>
      <c r="CZ155" s="222"/>
      <c r="DA155" s="222"/>
      <c r="DB155" s="222"/>
      <c r="DC155" s="222"/>
      <c r="DD155" s="222"/>
      <c r="DE155" s="222"/>
      <c r="DF155" s="222"/>
      <c r="DG155" s="222"/>
      <c r="DH155" s="222"/>
      <c r="DI155" s="222"/>
      <c r="DJ155" s="222"/>
      <c r="DK155" s="222"/>
      <c r="DL155" s="222"/>
      <c r="DM155" s="222"/>
      <c r="DN155" s="222"/>
      <c r="DO155" s="222"/>
      <c r="DP155" s="222"/>
      <c r="DQ155" s="222"/>
      <c r="DR155" s="222"/>
      <c r="DS155" s="222"/>
      <c r="DT155" s="222"/>
      <c r="DU155" s="222"/>
      <c r="DV155" s="222"/>
      <c r="DW155" s="222"/>
      <c r="DX155" s="222"/>
      <c r="DY155" s="222"/>
      <c r="DZ155" s="222"/>
      <c r="EA155" s="222"/>
      <c r="EB155" s="222"/>
      <c r="EC155" s="222"/>
      <c r="ED155" s="222"/>
      <c r="EE155" s="222"/>
      <c r="EF155" s="222"/>
      <c r="EG155" s="222"/>
      <c r="EH155" s="222"/>
    </row>
    <row r="156" spans="1:138">
      <c r="A156" s="222"/>
      <c r="B156" s="318"/>
      <c r="C156" s="323" t="s">
        <v>301</v>
      </c>
      <c r="D156" s="324">
        <f>-SUM(M151:BB151)</f>
        <v>0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2"/>
      <c r="BN156" s="222"/>
      <c r="BO156" s="222"/>
      <c r="BP156" s="222"/>
      <c r="BQ156" s="222"/>
      <c r="BR156" s="222"/>
      <c r="BS156" s="222"/>
      <c r="BT156" s="222"/>
      <c r="BU156" s="222"/>
      <c r="BV156" s="222"/>
      <c r="BW156" s="222"/>
      <c r="BX156" s="222"/>
      <c r="BY156" s="222"/>
      <c r="BZ156" s="222"/>
      <c r="CA156" s="222"/>
      <c r="CB156" s="222"/>
      <c r="CC156" s="222"/>
      <c r="CD156" s="222"/>
      <c r="CE156" s="222"/>
      <c r="CF156" s="222"/>
      <c r="CG156" s="222"/>
      <c r="CH156" s="222"/>
      <c r="CI156" s="222"/>
      <c r="CJ156" s="222"/>
      <c r="CK156" s="222"/>
      <c r="CL156" s="222"/>
      <c r="CM156" s="222"/>
      <c r="CN156" s="222"/>
      <c r="CO156" s="222"/>
      <c r="CP156" s="222"/>
      <c r="CQ156" s="222"/>
      <c r="CR156" s="222"/>
      <c r="CS156" s="222"/>
      <c r="CT156" s="222"/>
      <c r="CU156" s="222"/>
      <c r="CV156" s="222"/>
      <c r="CW156" s="222"/>
      <c r="CX156" s="222"/>
      <c r="CY156" s="222"/>
      <c r="CZ156" s="222"/>
      <c r="DA156" s="222"/>
      <c r="DB156" s="222"/>
      <c r="DC156" s="222"/>
      <c r="DD156" s="222"/>
      <c r="DE156" s="222"/>
      <c r="DF156" s="222"/>
      <c r="DG156" s="222"/>
      <c r="DH156" s="222"/>
      <c r="DI156" s="222"/>
      <c r="DJ156" s="222"/>
      <c r="DK156" s="222"/>
      <c r="DL156" s="222"/>
      <c r="DM156" s="222"/>
      <c r="DN156" s="222"/>
      <c r="DO156" s="222"/>
      <c r="DP156" s="222"/>
      <c r="DQ156" s="222"/>
      <c r="DR156" s="222"/>
      <c r="DS156" s="222"/>
      <c r="DT156" s="222"/>
      <c r="DU156" s="222"/>
      <c r="DV156" s="222"/>
      <c r="DW156" s="222"/>
      <c r="DX156" s="222"/>
      <c r="DY156" s="222"/>
      <c r="DZ156" s="222"/>
      <c r="EA156" s="222"/>
      <c r="EB156" s="222"/>
      <c r="EC156" s="222"/>
      <c r="ED156" s="222"/>
      <c r="EE156" s="222"/>
      <c r="EF156" s="222"/>
      <c r="EG156" s="222"/>
      <c r="EH156" s="222"/>
    </row>
    <row r="157" spans="1:138">
      <c r="A157" s="222"/>
      <c r="B157" s="318"/>
      <c r="C157" s="313" t="s">
        <v>302</v>
      </c>
      <c r="D157" s="326">
        <f>D156+D155</f>
        <v>10666587.08</v>
      </c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  <c r="BQ157" s="222"/>
      <c r="BR157" s="222"/>
      <c r="BS157" s="222"/>
      <c r="BT157" s="222"/>
      <c r="BU157" s="222"/>
      <c r="BV157" s="222"/>
      <c r="BW157" s="222"/>
      <c r="BX157" s="222"/>
      <c r="BY157" s="222"/>
      <c r="BZ157" s="222"/>
      <c r="CA157" s="222"/>
      <c r="CB157" s="222"/>
      <c r="CC157" s="222"/>
      <c r="CD157" s="222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2"/>
      <c r="CV157" s="222"/>
      <c r="CW157" s="222"/>
      <c r="CX157" s="222"/>
      <c r="CY157" s="222"/>
      <c r="CZ157" s="222"/>
      <c r="DA157" s="222"/>
      <c r="DB157" s="222"/>
      <c r="DC157" s="222"/>
      <c r="DD157" s="222"/>
      <c r="DE157" s="222"/>
      <c r="DF157" s="222"/>
      <c r="DG157" s="222"/>
      <c r="DH157" s="222"/>
      <c r="DI157" s="222"/>
      <c r="DJ157" s="222"/>
      <c r="DK157" s="222"/>
      <c r="DL157" s="222"/>
      <c r="DM157" s="222"/>
      <c r="DN157" s="222"/>
      <c r="DO157" s="222"/>
      <c r="DP157" s="222"/>
      <c r="DQ157" s="222"/>
      <c r="DR157" s="222"/>
      <c r="DS157" s="222"/>
      <c r="DT157" s="222"/>
      <c r="DU157" s="222"/>
      <c r="DV157" s="222"/>
      <c r="DW157" s="325"/>
      <c r="DX157" s="325"/>
      <c r="DY157" s="325"/>
      <c r="DZ157" s="325"/>
      <c r="EA157" s="325"/>
      <c r="EB157" s="325"/>
      <c r="EC157" s="325"/>
      <c r="ED157" s="325"/>
      <c r="EE157" s="325"/>
      <c r="EF157" s="325"/>
      <c r="EG157" s="325"/>
      <c r="EH157" s="325"/>
    </row>
    <row r="158" spans="1:138">
      <c r="A158" s="222"/>
      <c r="B158" s="318"/>
      <c r="C158" s="313" t="s">
        <v>303</v>
      </c>
      <c r="D158" s="326">
        <f>BX149+BX150</f>
        <v>0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  <c r="BL158" s="222"/>
      <c r="BM158" s="222"/>
      <c r="BN158" s="222"/>
      <c r="BO158" s="222"/>
      <c r="BP158" s="222"/>
      <c r="BQ158" s="222"/>
      <c r="BR158" s="222"/>
      <c r="BS158" s="222"/>
      <c r="BT158" s="222"/>
      <c r="BU158" s="222"/>
      <c r="BV158" s="222"/>
      <c r="BW158" s="222"/>
      <c r="BX158" s="222"/>
      <c r="BY158" s="222"/>
      <c r="BZ158" s="222"/>
      <c r="CA158" s="222"/>
      <c r="CB158" s="222"/>
      <c r="CC158" s="222"/>
      <c r="CD158" s="222"/>
      <c r="CE158" s="222"/>
      <c r="CF158" s="222"/>
      <c r="CG158" s="222"/>
      <c r="CH158" s="222"/>
      <c r="CI158" s="222"/>
      <c r="CJ158" s="222"/>
      <c r="CK158" s="222"/>
      <c r="CL158" s="222"/>
      <c r="CM158" s="222"/>
      <c r="CN158" s="222"/>
      <c r="CO158" s="222"/>
      <c r="CP158" s="222"/>
      <c r="CQ158" s="222"/>
      <c r="CR158" s="222"/>
      <c r="CS158" s="222"/>
      <c r="CT158" s="222"/>
      <c r="CU158" s="222"/>
      <c r="CV158" s="222"/>
      <c r="CW158" s="222"/>
      <c r="CX158" s="222"/>
      <c r="CY158" s="222"/>
      <c r="CZ158" s="222"/>
      <c r="DA158" s="222"/>
      <c r="DB158" s="222"/>
      <c r="DC158" s="222"/>
      <c r="DD158" s="222"/>
      <c r="DE158" s="222"/>
      <c r="DF158" s="222"/>
      <c r="DG158" s="222"/>
      <c r="DH158" s="222"/>
      <c r="DI158" s="222"/>
      <c r="DJ158" s="222"/>
      <c r="DK158" s="222"/>
      <c r="DL158" s="222"/>
      <c r="DM158" s="222"/>
      <c r="DN158" s="222"/>
      <c r="DO158" s="222"/>
      <c r="DP158" s="222"/>
      <c r="DQ158" s="222"/>
      <c r="DR158" s="222"/>
      <c r="DS158" s="222"/>
      <c r="DT158" s="222"/>
      <c r="DU158" s="222"/>
      <c r="DV158" s="222"/>
      <c r="DW158" s="325"/>
      <c r="DX158" s="325"/>
      <c r="DY158" s="325"/>
      <c r="DZ158" s="325"/>
      <c r="EA158" s="325"/>
      <c r="EB158" s="325"/>
      <c r="EC158" s="325"/>
      <c r="ED158" s="325"/>
      <c r="EE158" s="325"/>
      <c r="EF158" s="325"/>
      <c r="EG158" s="325"/>
      <c r="EH158" s="325"/>
    </row>
    <row r="159" spans="1:138">
      <c r="A159" s="222"/>
      <c r="B159" s="318"/>
      <c r="C159" s="313" t="s">
        <v>147</v>
      </c>
      <c r="D159" s="322">
        <f>T150/T147</f>
        <v>0.51486070537227191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2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2"/>
      <c r="BK159" s="222"/>
      <c r="BL159" s="222"/>
      <c r="BM159" s="222"/>
      <c r="BN159" s="222"/>
      <c r="BO159" s="222"/>
      <c r="BP159" s="222"/>
      <c r="BQ159" s="222"/>
      <c r="BR159" s="222"/>
      <c r="BS159" s="222"/>
      <c r="BT159" s="222"/>
      <c r="BU159" s="222"/>
      <c r="BV159" s="222"/>
      <c r="BW159" s="222"/>
      <c r="BX159" s="222"/>
      <c r="BY159" s="222"/>
      <c r="BZ159" s="222"/>
      <c r="CA159" s="222"/>
      <c r="CB159" s="222"/>
      <c r="CC159" s="222"/>
      <c r="CD159" s="222"/>
      <c r="CE159" s="222"/>
      <c r="CF159" s="222"/>
      <c r="CG159" s="222"/>
      <c r="CH159" s="222"/>
      <c r="CI159" s="222"/>
      <c r="CJ159" s="222"/>
      <c r="CK159" s="222"/>
      <c r="CL159" s="222"/>
      <c r="CM159" s="222"/>
      <c r="CN159" s="222"/>
      <c r="CO159" s="222"/>
      <c r="CP159" s="222"/>
      <c r="CQ159" s="222"/>
      <c r="CR159" s="222"/>
      <c r="CS159" s="222"/>
      <c r="CT159" s="222"/>
      <c r="CU159" s="222"/>
      <c r="CV159" s="222"/>
      <c r="CW159" s="222"/>
      <c r="CX159" s="222"/>
      <c r="CY159" s="222"/>
      <c r="CZ159" s="222"/>
      <c r="DA159" s="222"/>
      <c r="DB159" s="222"/>
      <c r="DC159" s="222"/>
      <c r="DD159" s="222"/>
      <c r="DE159" s="222"/>
      <c r="DF159" s="222"/>
      <c r="DG159" s="222"/>
      <c r="DH159" s="222"/>
      <c r="DI159" s="222"/>
      <c r="DJ159" s="222"/>
      <c r="DK159" s="222"/>
      <c r="DL159" s="222"/>
      <c r="DM159" s="222"/>
      <c r="DN159" s="222"/>
      <c r="DO159" s="222"/>
      <c r="DP159" s="222"/>
      <c r="DQ159" s="222"/>
      <c r="DR159" s="222"/>
      <c r="DS159" s="222"/>
      <c r="DT159" s="222"/>
      <c r="DU159" s="222"/>
      <c r="DV159" s="222"/>
      <c r="DW159" s="325"/>
      <c r="DX159" s="325"/>
      <c r="DY159" s="325"/>
      <c r="DZ159" s="325"/>
      <c r="EA159" s="325"/>
      <c r="EB159" s="325"/>
      <c r="EC159" s="325"/>
      <c r="ED159" s="325"/>
      <c r="EE159" s="325"/>
      <c r="EF159" s="325"/>
      <c r="EG159" s="325"/>
      <c r="EH159" s="325"/>
    </row>
    <row r="162" spans="1:138">
      <c r="A162" s="222"/>
      <c r="B162" s="318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222"/>
      <c r="AF162" s="222"/>
      <c r="AG162" s="222"/>
      <c r="AH162" s="222"/>
      <c r="AI162" s="222"/>
      <c r="AJ162" s="222"/>
      <c r="AK162" s="222"/>
      <c r="AL162" s="222"/>
      <c r="AM162" s="222"/>
      <c r="AN162" s="222"/>
      <c r="AO162" s="222"/>
      <c r="AP162" s="222"/>
      <c r="AQ162" s="222"/>
      <c r="AR162" s="222"/>
      <c r="AS162" s="222"/>
      <c r="AT162" s="222"/>
      <c r="AU162" s="222"/>
      <c r="AV162" s="222"/>
      <c r="AW162" s="222"/>
      <c r="AX162" s="222"/>
      <c r="AY162" s="222"/>
      <c r="AZ162" s="222"/>
      <c r="BA162" s="222"/>
      <c r="BB162" s="222"/>
      <c r="BC162" s="222"/>
      <c r="BD162" s="222"/>
      <c r="BE162" s="222"/>
      <c r="BF162" s="222"/>
      <c r="BG162" s="222"/>
      <c r="BH162" s="222"/>
      <c r="BI162" s="222"/>
      <c r="BJ162" s="222"/>
      <c r="BK162" s="222"/>
      <c r="BL162" s="222"/>
      <c r="BM162" s="222"/>
      <c r="BN162" s="222"/>
      <c r="BO162" s="222"/>
      <c r="BP162" s="222"/>
      <c r="BQ162" s="222"/>
      <c r="BR162" s="222"/>
      <c r="BS162" s="222"/>
      <c r="BT162" s="222"/>
      <c r="BU162" s="222"/>
      <c r="BV162" s="222"/>
      <c r="BW162" s="222"/>
      <c r="BX162" s="222"/>
      <c r="BY162" s="222"/>
      <c r="BZ162" s="222"/>
      <c r="CA162" s="222"/>
      <c r="CB162" s="222"/>
      <c r="CC162" s="222"/>
      <c r="CD162" s="222"/>
      <c r="CE162" s="222"/>
      <c r="CF162" s="222"/>
      <c r="CG162" s="222"/>
      <c r="CH162" s="222"/>
      <c r="CI162" s="222"/>
      <c r="CJ162" s="222"/>
      <c r="CK162" s="222"/>
      <c r="CL162" s="222"/>
      <c r="CM162" s="222"/>
      <c r="CN162" s="222"/>
      <c r="CO162" s="222"/>
      <c r="CP162" s="222"/>
      <c r="CQ162" s="222"/>
      <c r="CR162" s="222"/>
      <c r="CS162" s="222"/>
      <c r="CT162" s="222"/>
      <c r="CU162" s="222"/>
      <c r="CV162" s="222"/>
      <c r="CW162" s="222"/>
      <c r="CX162" s="222"/>
      <c r="CY162" s="222"/>
      <c r="CZ162" s="222"/>
      <c r="DA162" s="222"/>
      <c r="DB162" s="222"/>
      <c r="DC162" s="222"/>
      <c r="DD162" s="222"/>
      <c r="DE162" s="222"/>
      <c r="DF162" s="222"/>
      <c r="DG162" s="222"/>
      <c r="DH162" s="222"/>
      <c r="DI162" s="222"/>
      <c r="DJ162" s="222"/>
      <c r="DK162" s="222"/>
      <c r="DL162" s="222"/>
      <c r="DM162" s="222"/>
      <c r="DN162" s="222"/>
      <c r="DO162" s="222"/>
      <c r="DP162" s="222"/>
      <c r="DQ162" s="222"/>
      <c r="DR162" s="222"/>
      <c r="DS162" s="222"/>
      <c r="DT162" s="222"/>
      <c r="DU162" s="222"/>
      <c r="DV162" s="222"/>
      <c r="DW162" s="325"/>
      <c r="DX162" s="325"/>
      <c r="DY162" s="325"/>
      <c r="DZ162" s="325"/>
      <c r="EA162" s="325"/>
      <c r="EB162" s="325"/>
      <c r="EC162" s="325"/>
      <c r="ED162" s="325"/>
      <c r="EE162" s="325"/>
      <c r="EF162" s="325"/>
      <c r="EG162" s="325"/>
      <c r="EH162" s="325"/>
    </row>
    <row r="163" spans="1:138">
      <c r="A163" s="222"/>
      <c r="B163" s="318"/>
      <c r="C163" s="310" t="s">
        <v>308</v>
      </c>
      <c r="D163" s="311"/>
      <c r="E163" s="311">
        <f t="shared" ref="E163:G163" si="55">-(E7+E93)</f>
        <v>0</v>
      </c>
      <c r="F163" s="311">
        <f t="shared" si="55"/>
        <v>0</v>
      </c>
      <c r="G163" s="311">
        <f t="shared" si="55"/>
        <v>0</v>
      </c>
      <c r="H163" s="311">
        <f>-5341205.5</f>
        <v>-5341205.5</v>
      </c>
      <c r="I163" s="311">
        <f t="shared" ref="I163:S163" si="56">-(I7+I93)</f>
        <v>0</v>
      </c>
      <c r="J163" s="311">
        <f t="shared" si="56"/>
        <v>0</v>
      </c>
      <c r="K163" s="311">
        <f t="shared" si="56"/>
        <v>0</v>
      </c>
      <c r="L163" s="311">
        <f t="shared" si="56"/>
        <v>0</v>
      </c>
      <c r="M163" s="311">
        <f t="shared" si="56"/>
        <v>0</v>
      </c>
      <c r="N163" s="311">
        <f t="shared" si="56"/>
        <v>0</v>
      </c>
      <c r="O163" s="311">
        <f t="shared" si="56"/>
        <v>0</v>
      </c>
      <c r="P163" s="311">
        <f t="shared" si="56"/>
        <v>0</v>
      </c>
      <c r="Q163" s="311">
        <f t="shared" si="56"/>
        <v>0</v>
      </c>
      <c r="R163" s="311">
        <f t="shared" si="56"/>
        <v>0</v>
      </c>
      <c r="S163" s="311">
        <f t="shared" si="56"/>
        <v>0</v>
      </c>
      <c r="T163" s="311">
        <f>5341205.5</f>
        <v>5341205.5</v>
      </c>
      <c r="U163" s="311">
        <f t="shared" ref="U163:BX163" si="57">-(U7+U93)</f>
        <v>0</v>
      </c>
      <c r="V163" s="311">
        <f t="shared" si="57"/>
        <v>0</v>
      </c>
      <c r="W163" s="311">
        <f t="shared" si="57"/>
        <v>0</v>
      </c>
      <c r="X163" s="311">
        <f t="shared" si="57"/>
        <v>0</v>
      </c>
      <c r="Y163" s="311">
        <f t="shared" si="57"/>
        <v>0</v>
      </c>
      <c r="Z163" s="311">
        <f t="shared" si="57"/>
        <v>0</v>
      </c>
      <c r="AA163" s="311">
        <f t="shared" si="57"/>
        <v>0</v>
      </c>
      <c r="AB163" s="311">
        <f t="shared" si="57"/>
        <v>0</v>
      </c>
      <c r="AC163" s="311">
        <f t="shared" si="57"/>
        <v>0</v>
      </c>
      <c r="AD163" s="311">
        <f t="shared" si="57"/>
        <v>0</v>
      </c>
      <c r="AE163" s="311">
        <f t="shared" si="57"/>
        <v>0</v>
      </c>
      <c r="AF163" s="311">
        <f t="shared" si="57"/>
        <v>0</v>
      </c>
      <c r="AG163" s="311">
        <f t="shared" si="57"/>
        <v>0</v>
      </c>
      <c r="AH163" s="311">
        <f t="shared" si="57"/>
        <v>0</v>
      </c>
      <c r="AI163" s="311">
        <f t="shared" si="57"/>
        <v>0</v>
      </c>
      <c r="AJ163" s="311">
        <f t="shared" si="57"/>
        <v>0</v>
      </c>
      <c r="AK163" s="311">
        <f t="shared" si="57"/>
        <v>0</v>
      </c>
      <c r="AL163" s="311">
        <f t="shared" si="57"/>
        <v>0</v>
      </c>
      <c r="AM163" s="311">
        <f t="shared" si="57"/>
        <v>0</v>
      </c>
      <c r="AN163" s="311">
        <f t="shared" si="57"/>
        <v>0</v>
      </c>
      <c r="AO163" s="311">
        <f t="shared" si="57"/>
        <v>0</v>
      </c>
      <c r="AP163" s="311">
        <f t="shared" si="57"/>
        <v>0</v>
      </c>
      <c r="AQ163" s="311">
        <f t="shared" si="57"/>
        <v>0</v>
      </c>
      <c r="AR163" s="311">
        <f t="shared" si="57"/>
        <v>0</v>
      </c>
      <c r="AS163" s="311">
        <f t="shared" si="57"/>
        <v>0</v>
      </c>
      <c r="AT163" s="311">
        <f t="shared" si="57"/>
        <v>0</v>
      </c>
      <c r="AU163" s="311">
        <f t="shared" si="57"/>
        <v>0</v>
      </c>
      <c r="AV163" s="311">
        <f t="shared" si="57"/>
        <v>0</v>
      </c>
      <c r="AW163" s="311">
        <f t="shared" si="57"/>
        <v>0</v>
      </c>
      <c r="AX163" s="311">
        <f t="shared" si="57"/>
        <v>0</v>
      </c>
      <c r="AY163" s="311">
        <f t="shared" si="57"/>
        <v>0</v>
      </c>
      <c r="AZ163" s="311">
        <f t="shared" si="57"/>
        <v>0</v>
      </c>
      <c r="BA163" s="311">
        <f t="shared" si="57"/>
        <v>0</v>
      </c>
      <c r="BB163" s="311">
        <f t="shared" si="57"/>
        <v>0</v>
      </c>
      <c r="BC163" s="311">
        <f t="shared" si="57"/>
        <v>0</v>
      </c>
      <c r="BD163" s="311">
        <f t="shared" si="57"/>
        <v>0</v>
      </c>
      <c r="BE163" s="311">
        <f t="shared" si="57"/>
        <v>0</v>
      </c>
      <c r="BF163" s="311">
        <f t="shared" si="57"/>
        <v>0</v>
      </c>
      <c r="BG163" s="311">
        <f t="shared" si="57"/>
        <v>0</v>
      </c>
      <c r="BH163" s="311">
        <f t="shared" si="57"/>
        <v>0</v>
      </c>
      <c r="BI163" s="311">
        <f t="shared" si="57"/>
        <v>0</v>
      </c>
      <c r="BJ163" s="311">
        <f t="shared" si="57"/>
        <v>0</v>
      </c>
      <c r="BK163" s="311">
        <f t="shared" si="57"/>
        <v>0</v>
      </c>
      <c r="BL163" s="311">
        <f t="shared" si="57"/>
        <v>0</v>
      </c>
      <c r="BM163" s="311">
        <f t="shared" si="57"/>
        <v>0</v>
      </c>
      <c r="BN163" s="311">
        <f t="shared" si="57"/>
        <v>0</v>
      </c>
      <c r="BO163" s="311">
        <f t="shared" si="57"/>
        <v>0</v>
      </c>
      <c r="BP163" s="311">
        <f t="shared" si="57"/>
        <v>0</v>
      </c>
      <c r="BQ163" s="311">
        <f t="shared" si="57"/>
        <v>0</v>
      </c>
      <c r="BR163" s="311">
        <f t="shared" si="57"/>
        <v>0</v>
      </c>
      <c r="BS163" s="311">
        <f t="shared" si="57"/>
        <v>0</v>
      </c>
      <c r="BT163" s="311">
        <f t="shared" si="57"/>
        <v>0</v>
      </c>
      <c r="BU163" s="311">
        <f t="shared" si="57"/>
        <v>0</v>
      </c>
      <c r="BV163" s="311">
        <f t="shared" si="57"/>
        <v>0</v>
      </c>
      <c r="BW163" s="311">
        <f t="shared" si="57"/>
        <v>0</v>
      </c>
      <c r="BX163" s="311">
        <f t="shared" si="57"/>
        <v>0</v>
      </c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  <c r="CJ163" s="222"/>
      <c r="CK163" s="222"/>
      <c r="CL163" s="222"/>
      <c r="CM163" s="222"/>
      <c r="CN163" s="222"/>
      <c r="CO163" s="222"/>
      <c r="CP163" s="222"/>
      <c r="CQ163" s="222"/>
      <c r="CR163" s="222"/>
      <c r="CS163" s="222"/>
      <c r="CT163" s="222"/>
      <c r="CU163" s="222"/>
      <c r="CV163" s="222"/>
      <c r="CW163" s="222"/>
      <c r="CX163" s="222"/>
      <c r="CY163" s="222"/>
      <c r="CZ163" s="222"/>
      <c r="DA163" s="222"/>
      <c r="DB163" s="222"/>
      <c r="DC163" s="222"/>
      <c r="DD163" s="222"/>
      <c r="DE163" s="222"/>
      <c r="DF163" s="222"/>
      <c r="DG163" s="222"/>
      <c r="DH163" s="222"/>
      <c r="DI163" s="222"/>
      <c r="DJ163" s="222"/>
      <c r="DK163" s="222"/>
      <c r="DL163" s="222"/>
      <c r="DM163" s="222"/>
      <c r="DN163" s="222"/>
      <c r="DO163" s="222"/>
      <c r="DP163" s="222"/>
      <c r="DQ163" s="222"/>
      <c r="DR163" s="222"/>
      <c r="DS163" s="222"/>
      <c r="DT163" s="222"/>
      <c r="DU163" s="222"/>
      <c r="DV163" s="222"/>
      <c r="DW163" s="325"/>
      <c r="DX163" s="325"/>
      <c r="DY163" s="325"/>
      <c r="DZ163" s="325"/>
      <c r="EA163" s="325"/>
      <c r="EB163" s="325"/>
      <c r="EC163" s="325"/>
      <c r="ED163" s="325"/>
      <c r="EE163" s="325"/>
      <c r="EF163" s="325"/>
      <c r="EG163" s="325"/>
      <c r="EH163" s="325"/>
    </row>
    <row r="164" spans="1:138">
      <c r="A164" s="222"/>
      <c r="B164" s="318"/>
      <c r="C164" s="310" t="s">
        <v>305</v>
      </c>
      <c r="D164" s="319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222"/>
      <c r="BZ164" s="222"/>
      <c r="CA164" s="222"/>
      <c r="CB164" s="222"/>
      <c r="CC164" s="222"/>
      <c r="CD164" s="222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2"/>
      <c r="CV164" s="222"/>
      <c r="CW164" s="222"/>
      <c r="CX164" s="222"/>
      <c r="CY164" s="222"/>
      <c r="CZ164" s="222"/>
      <c r="DA164" s="222"/>
      <c r="DB164" s="222"/>
      <c r="DC164" s="222"/>
      <c r="DD164" s="222"/>
      <c r="DE164" s="222"/>
      <c r="DF164" s="222"/>
      <c r="DG164" s="222"/>
      <c r="DH164" s="222"/>
      <c r="DI164" s="222"/>
      <c r="DJ164" s="222"/>
      <c r="DK164" s="222"/>
      <c r="DL164" s="222"/>
      <c r="DM164" s="222"/>
      <c r="DN164" s="222"/>
      <c r="DO164" s="222"/>
      <c r="DP164" s="222"/>
      <c r="DQ164" s="222"/>
      <c r="DR164" s="222"/>
      <c r="DS164" s="222"/>
      <c r="DT164" s="222"/>
      <c r="DU164" s="222"/>
      <c r="DV164" s="222"/>
      <c r="DW164" s="325"/>
      <c r="DX164" s="325"/>
      <c r="DY164" s="325"/>
      <c r="DZ164" s="325"/>
      <c r="EA164" s="325"/>
      <c r="EB164" s="325"/>
      <c r="EC164" s="325"/>
      <c r="ED164" s="325"/>
      <c r="EE164" s="325"/>
      <c r="EF164" s="325"/>
      <c r="EG164" s="325"/>
      <c r="EH164" s="325"/>
    </row>
    <row r="165" spans="1:138">
      <c r="A165" s="222"/>
      <c r="B165" s="318"/>
      <c r="C165" s="310" t="s">
        <v>296</v>
      </c>
      <c r="D165" s="319"/>
      <c r="E165" s="311">
        <f t="shared" ref="E165:BX165" si="58">-E58</f>
        <v>0</v>
      </c>
      <c r="F165" s="311">
        <f t="shared" si="58"/>
        <v>0</v>
      </c>
      <c r="G165" s="311">
        <f t="shared" si="58"/>
        <v>0</v>
      </c>
      <c r="H165" s="311">
        <f t="shared" si="58"/>
        <v>0</v>
      </c>
      <c r="I165" s="311">
        <f t="shared" si="58"/>
        <v>0</v>
      </c>
      <c r="J165" s="311">
        <f t="shared" si="58"/>
        <v>0</v>
      </c>
      <c r="K165" s="311">
        <f t="shared" si="58"/>
        <v>0</v>
      </c>
      <c r="L165" s="311">
        <f t="shared" si="58"/>
        <v>0</v>
      </c>
      <c r="M165" s="311">
        <f t="shared" si="58"/>
        <v>0</v>
      </c>
      <c r="N165" s="311">
        <f t="shared" si="58"/>
        <v>0</v>
      </c>
      <c r="O165" s="311">
        <f t="shared" si="58"/>
        <v>0</v>
      </c>
      <c r="P165" s="311">
        <f t="shared" si="58"/>
        <v>0</v>
      </c>
      <c r="Q165" s="311">
        <f t="shared" si="58"/>
        <v>0</v>
      </c>
      <c r="R165" s="311">
        <f t="shared" si="58"/>
        <v>0</v>
      </c>
      <c r="S165" s="311">
        <f t="shared" si="58"/>
        <v>0</v>
      </c>
      <c r="T165" s="311">
        <f t="shared" si="58"/>
        <v>0</v>
      </c>
      <c r="U165" s="311">
        <f t="shared" si="58"/>
        <v>0</v>
      </c>
      <c r="V165" s="311">
        <f t="shared" si="58"/>
        <v>0</v>
      </c>
      <c r="W165" s="311">
        <f t="shared" si="58"/>
        <v>0</v>
      </c>
      <c r="X165" s="311">
        <f t="shared" si="58"/>
        <v>0</v>
      </c>
      <c r="Y165" s="311">
        <f t="shared" si="58"/>
        <v>0</v>
      </c>
      <c r="Z165" s="311">
        <f t="shared" si="58"/>
        <v>0</v>
      </c>
      <c r="AA165" s="311">
        <f t="shared" si="58"/>
        <v>0</v>
      </c>
      <c r="AB165" s="311">
        <f t="shared" si="58"/>
        <v>0</v>
      </c>
      <c r="AC165" s="311">
        <f t="shared" si="58"/>
        <v>0</v>
      </c>
      <c r="AD165" s="311">
        <f t="shared" si="58"/>
        <v>0</v>
      </c>
      <c r="AE165" s="311">
        <f t="shared" si="58"/>
        <v>0</v>
      </c>
      <c r="AF165" s="311">
        <f t="shared" si="58"/>
        <v>0</v>
      </c>
      <c r="AG165" s="311">
        <f t="shared" si="58"/>
        <v>0</v>
      </c>
      <c r="AH165" s="311">
        <f t="shared" si="58"/>
        <v>0</v>
      </c>
      <c r="AI165" s="311">
        <f t="shared" si="58"/>
        <v>0</v>
      </c>
      <c r="AJ165" s="311">
        <f t="shared" si="58"/>
        <v>0</v>
      </c>
      <c r="AK165" s="311">
        <f t="shared" si="58"/>
        <v>0</v>
      </c>
      <c r="AL165" s="311">
        <f t="shared" si="58"/>
        <v>0</v>
      </c>
      <c r="AM165" s="311">
        <f t="shared" si="58"/>
        <v>0</v>
      </c>
      <c r="AN165" s="311">
        <f t="shared" si="58"/>
        <v>0</v>
      </c>
      <c r="AO165" s="311">
        <f t="shared" si="58"/>
        <v>0</v>
      </c>
      <c r="AP165" s="311">
        <f t="shared" si="58"/>
        <v>0</v>
      </c>
      <c r="AQ165" s="311">
        <f t="shared" si="58"/>
        <v>0</v>
      </c>
      <c r="AR165" s="311">
        <f t="shared" si="58"/>
        <v>0</v>
      </c>
      <c r="AS165" s="311">
        <f t="shared" si="58"/>
        <v>0</v>
      </c>
      <c r="AT165" s="311">
        <f t="shared" si="58"/>
        <v>0</v>
      </c>
      <c r="AU165" s="311">
        <f t="shared" si="58"/>
        <v>0</v>
      </c>
      <c r="AV165" s="311">
        <f t="shared" si="58"/>
        <v>0</v>
      </c>
      <c r="AW165" s="311">
        <f t="shared" si="58"/>
        <v>0</v>
      </c>
      <c r="AX165" s="311">
        <f t="shared" si="58"/>
        <v>0</v>
      </c>
      <c r="AY165" s="311">
        <f t="shared" si="58"/>
        <v>0</v>
      </c>
      <c r="AZ165" s="311">
        <f t="shared" si="58"/>
        <v>0</v>
      </c>
      <c r="BA165" s="311">
        <f t="shared" si="58"/>
        <v>0</v>
      </c>
      <c r="BB165" s="311">
        <f t="shared" si="58"/>
        <v>0</v>
      </c>
      <c r="BC165" s="311">
        <f t="shared" si="58"/>
        <v>0</v>
      </c>
      <c r="BD165" s="311">
        <f t="shared" si="58"/>
        <v>0</v>
      </c>
      <c r="BE165" s="311">
        <f t="shared" si="58"/>
        <v>0</v>
      </c>
      <c r="BF165" s="311">
        <f t="shared" si="58"/>
        <v>0</v>
      </c>
      <c r="BG165" s="311">
        <f t="shared" si="58"/>
        <v>0</v>
      </c>
      <c r="BH165" s="311">
        <f t="shared" si="58"/>
        <v>0</v>
      </c>
      <c r="BI165" s="311">
        <f t="shared" si="58"/>
        <v>0</v>
      </c>
      <c r="BJ165" s="311">
        <f t="shared" si="58"/>
        <v>0</v>
      </c>
      <c r="BK165" s="311">
        <f t="shared" si="58"/>
        <v>0</v>
      </c>
      <c r="BL165" s="311">
        <f t="shared" si="58"/>
        <v>0</v>
      </c>
      <c r="BM165" s="311">
        <f t="shared" si="58"/>
        <v>0</v>
      </c>
      <c r="BN165" s="311">
        <f t="shared" si="58"/>
        <v>0</v>
      </c>
      <c r="BO165" s="311">
        <f t="shared" si="58"/>
        <v>0</v>
      </c>
      <c r="BP165" s="311">
        <f t="shared" si="58"/>
        <v>0</v>
      </c>
      <c r="BQ165" s="311">
        <f t="shared" si="58"/>
        <v>0</v>
      </c>
      <c r="BR165" s="311">
        <f t="shared" si="58"/>
        <v>0</v>
      </c>
      <c r="BS165" s="311">
        <f t="shared" si="58"/>
        <v>0</v>
      </c>
      <c r="BT165" s="311">
        <f t="shared" si="58"/>
        <v>0</v>
      </c>
      <c r="BU165" s="311">
        <f t="shared" si="58"/>
        <v>0</v>
      </c>
      <c r="BV165" s="311">
        <f t="shared" si="58"/>
        <v>0</v>
      </c>
      <c r="BW165" s="311">
        <f t="shared" si="58"/>
        <v>0</v>
      </c>
      <c r="BX165" s="311">
        <f t="shared" si="58"/>
        <v>0</v>
      </c>
      <c r="BY165" s="222"/>
      <c r="BZ165" s="222"/>
      <c r="CA165" s="222"/>
      <c r="CB165" s="222"/>
      <c r="CC165" s="222"/>
      <c r="CD165" s="222"/>
      <c r="CE165" s="222"/>
      <c r="CF165" s="222"/>
      <c r="CG165" s="222"/>
      <c r="CH165" s="222"/>
      <c r="CI165" s="222"/>
      <c r="CJ165" s="222"/>
      <c r="CK165" s="222"/>
      <c r="CL165" s="222"/>
      <c r="CM165" s="222"/>
      <c r="CN165" s="222"/>
      <c r="CO165" s="222"/>
      <c r="CP165" s="222"/>
      <c r="CQ165" s="222"/>
      <c r="CR165" s="222"/>
      <c r="CS165" s="222"/>
      <c r="CT165" s="222"/>
      <c r="CU165" s="222"/>
      <c r="CV165" s="222"/>
      <c r="CW165" s="222"/>
      <c r="CX165" s="222"/>
      <c r="CY165" s="222"/>
      <c r="CZ165" s="222"/>
      <c r="DA165" s="222"/>
      <c r="DB165" s="222"/>
      <c r="DC165" s="222"/>
      <c r="DD165" s="222"/>
      <c r="DE165" s="222"/>
      <c r="DF165" s="222"/>
      <c r="DG165" s="222"/>
      <c r="DH165" s="222"/>
      <c r="DI165" s="222"/>
      <c r="DJ165" s="222"/>
      <c r="DK165" s="222"/>
      <c r="DL165" s="222"/>
      <c r="DM165" s="222"/>
      <c r="DN165" s="222"/>
      <c r="DO165" s="222"/>
      <c r="DP165" s="222"/>
      <c r="DQ165" s="222"/>
      <c r="DR165" s="222"/>
      <c r="DS165" s="222"/>
      <c r="DT165" s="222"/>
      <c r="DU165" s="222"/>
      <c r="DV165" s="222"/>
      <c r="DW165" s="325"/>
      <c r="DX165" s="325"/>
      <c r="DY165" s="325"/>
      <c r="DZ165" s="325"/>
      <c r="EA165" s="325"/>
      <c r="EB165" s="325"/>
      <c r="EC165" s="325"/>
      <c r="ED165" s="325"/>
      <c r="EE165" s="325"/>
      <c r="EF165" s="325"/>
      <c r="EG165" s="325"/>
      <c r="EH165" s="325"/>
    </row>
    <row r="166" spans="1:138">
      <c r="A166" s="222"/>
      <c r="B166" s="318"/>
      <c r="C166" s="310" t="s">
        <v>297</v>
      </c>
      <c r="D166" s="319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  <c r="O166" s="311"/>
      <c r="P166" s="311"/>
      <c r="Q166" s="311"/>
      <c r="R166" s="311"/>
      <c r="S166" s="311"/>
      <c r="T166" s="311">
        <v>2750000</v>
      </c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1"/>
      <c r="AH166" s="311"/>
      <c r="AI166" s="311"/>
      <c r="AJ166" s="311"/>
      <c r="AK166" s="311"/>
      <c r="AL166" s="311"/>
      <c r="AM166" s="311"/>
      <c r="AN166" s="311"/>
      <c r="AO166" s="311"/>
      <c r="AP166" s="311"/>
      <c r="AQ166" s="311"/>
      <c r="AR166" s="311"/>
      <c r="AS166" s="311"/>
      <c r="AT166" s="311"/>
      <c r="AU166" s="311"/>
      <c r="AV166" s="311"/>
      <c r="AW166" s="311"/>
      <c r="AX166" s="311"/>
      <c r="AY166" s="311"/>
      <c r="AZ166" s="311"/>
      <c r="BA166" s="311"/>
      <c r="BB166" s="311"/>
      <c r="BC166" s="311"/>
      <c r="BD166" s="311"/>
      <c r="BE166" s="311"/>
      <c r="BF166" s="311"/>
      <c r="BG166" s="311"/>
      <c r="BH166" s="311"/>
      <c r="BI166" s="311"/>
      <c r="BJ166" s="311"/>
      <c r="BK166" s="311"/>
      <c r="BL166" s="311"/>
      <c r="BM166" s="311"/>
      <c r="BN166" s="311"/>
      <c r="BO166" s="311"/>
      <c r="BP166" s="311"/>
      <c r="BQ166" s="311"/>
      <c r="BR166" s="311"/>
      <c r="BS166" s="311"/>
      <c r="BT166" s="311"/>
      <c r="BU166" s="311"/>
      <c r="BV166" s="311"/>
      <c r="BW166" s="311"/>
      <c r="BX166" s="311">
        <f>IF(D106&gt;0.25,(BX101-BX109)*D167,BX101*D167)</f>
        <v>0</v>
      </c>
      <c r="BY166" s="222"/>
      <c r="BZ166" s="222"/>
      <c r="CA166" s="222"/>
      <c r="CB166" s="222"/>
      <c r="CC166" s="222"/>
      <c r="CD166" s="222"/>
      <c r="CE166" s="222"/>
      <c r="CF166" s="222"/>
      <c r="CG166" s="222"/>
      <c r="CH166" s="222"/>
      <c r="CI166" s="222"/>
      <c r="CJ166" s="222"/>
      <c r="CK166" s="222"/>
      <c r="CL166" s="222"/>
      <c r="CM166" s="222"/>
      <c r="CN166" s="222"/>
      <c r="CO166" s="222"/>
      <c r="CP166" s="222"/>
      <c r="CQ166" s="222"/>
      <c r="CR166" s="222"/>
      <c r="CS166" s="222"/>
      <c r="CT166" s="222"/>
      <c r="CU166" s="222"/>
      <c r="CV166" s="222"/>
      <c r="CW166" s="222"/>
      <c r="CX166" s="222"/>
      <c r="CY166" s="222"/>
      <c r="CZ166" s="222"/>
      <c r="DA166" s="222"/>
      <c r="DB166" s="222"/>
      <c r="DC166" s="222"/>
      <c r="DD166" s="222"/>
      <c r="DE166" s="222"/>
      <c r="DF166" s="222"/>
      <c r="DG166" s="222"/>
      <c r="DH166" s="222"/>
      <c r="DI166" s="222"/>
      <c r="DJ166" s="222"/>
      <c r="DK166" s="222"/>
      <c r="DL166" s="222"/>
      <c r="DM166" s="222"/>
      <c r="DN166" s="222"/>
      <c r="DO166" s="222"/>
      <c r="DP166" s="222"/>
      <c r="DQ166" s="222"/>
      <c r="DR166" s="222"/>
      <c r="DS166" s="222"/>
      <c r="DT166" s="222"/>
      <c r="DU166" s="222"/>
      <c r="DV166" s="222"/>
      <c r="DW166" s="325"/>
      <c r="DX166" s="325"/>
      <c r="DY166" s="325"/>
      <c r="DZ166" s="325"/>
      <c r="EA166" s="325"/>
      <c r="EB166" s="325"/>
      <c r="EC166" s="325"/>
      <c r="ED166" s="325"/>
      <c r="EE166" s="325"/>
      <c r="EF166" s="325"/>
      <c r="EG166" s="325"/>
      <c r="EH166" s="325"/>
    </row>
    <row r="167" spans="1:138">
      <c r="A167" s="222"/>
      <c r="B167" s="318"/>
      <c r="C167" s="313" t="s">
        <v>298</v>
      </c>
      <c r="D167" s="319">
        <v>0</v>
      </c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  <c r="CJ167" s="222"/>
      <c r="CK167" s="222"/>
      <c r="CL167" s="222"/>
      <c r="CM167" s="222"/>
      <c r="CN167" s="222"/>
      <c r="CO167" s="222"/>
      <c r="CP167" s="222"/>
      <c r="CQ167" s="222"/>
      <c r="CR167" s="222"/>
      <c r="CS167" s="222"/>
      <c r="CT167" s="222"/>
      <c r="CU167" s="222"/>
      <c r="CV167" s="222"/>
      <c r="CW167" s="222"/>
      <c r="CX167" s="222"/>
      <c r="CY167" s="222"/>
      <c r="CZ167" s="222"/>
      <c r="DA167" s="222"/>
      <c r="DB167" s="222"/>
      <c r="DC167" s="222"/>
      <c r="DD167" s="222"/>
      <c r="DE167" s="222"/>
      <c r="DF167" s="222"/>
      <c r="DG167" s="222"/>
      <c r="DH167" s="222"/>
      <c r="DI167" s="222"/>
      <c r="DJ167" s="222"/>
      <c r="DK167" s="222"/>
      <c r="DL167" s="222"/>
      <c r="DM167" s="222"/>
      <c r="DN167" s="222"/>
      <c r="DO167" s="222"/>
      <c r="DP167" s="222"/>
      <c r="DQ167" s="222"/>
      <c r="DR167" s="222"/>
      <c r="DS167" s="222"/>
      <c r="DT167" s="222"/>
      <c r="DU167" s="222"/>
      <c r="DV167" s="222"/>
      <c r="DW167" s="325"/>
      <c r="DX167" s="325"/>
      <c r="DY167" s="325"/>
      <c r="DZ167" s="325"/>
      <c r="EA167" s="325"/>
      <c r="EB167" s="325"/>
      <c r="EC167" s="325"/>
      <c r="ED167" s="325"/>
      <c r="EE167" s="325"/>
      <c r="EF167" s="325"/>
      <c r="EG167" s="325"/>
      <c r="EH167" s="325"/>
    </row>
    <row r="168" spans="1:138">
      <c r="A168" s="222"/>
      <c r="B168" s="318"/>
      <c r="C168" s="310" t="s">
        <v>299</v>
      </c>
      <c r="D168" s="311"/>
      <c r="E168" s="321">
        <f t="shared" ref="E168:BX168" si="59">E163+E164+E165+E166+E167</f>
        <v>0</v>
      </c>
      <c r="F168" s="321">
        <f t="shared" si="59"/>
        <v>0</v>
      </c>
      <c r="G168" s="321">
        <f t="shared" si="59"/>
        <v>0</v>
      </c>
      <c r="H168" s="321">
        <f t="shared" si="59"/>
        <v>-5341205.5</v>
      </c>
      <c r="I168" s="321">
        <f t="shared" si="59"/>
        <v>0</v>
      </c>
      <c r="J168" s="321">
        <f t="shared" si="59"/>
        <v>0</v>
      </c>
      <c r="K168" s="321">
        <f t="shared" si="59"/>
        <v>0</v>
      </c>
      <c r="L168" s="321">
        <f t="shared" si="59"/>
        <v>0</v>
      </c>
      <c r="M168" s="321">
        <f t="shared" si="59"/>
        <v>0</v>
      </c>
      <c r="N168" s="321">
        <f t="shared" si="59"/>
        <v>0</v>
      </c>
      <c r="O168" s="321">
        <f t="shared" si="59"/>
        <v>0</v>
      </c>
      <c r="P168" s="321">
        <f t="shared" si="59"/>
        <v>0</v>
      </c>
      <c r="Q168" s="321">
        <f t="shared" si="59"/>
        <v>0</v>
      </c>
      <c r="R168" s="321">
        <f t="shared" si="59"/>
        <v>0</v>
      </c>
      <c r="S168" s="321">
        <f t="shared" si="59"/>
        <v>0</v>
      </c>
      <c r="T168" s="321">
        <f t="shared" si="59"/>
        <v>8091205.5</v>
      </c>
      <c r="U168" s="321">
        <f t="shared" si="59"/>
        <v>0</v>
      </c>
      <c r="V168" s="321">
        <f t="shared" si="59"/>
        <v>0</v>
      </c>
      <c r="W168" s="321">
        <f t="shared" si="59"/>
        <v>0</v>
      </c>
      <c r="X168" s="321">
        <f t="shared" si="59"/>
        <v>0</v>
      </c>
      <c r="Y168" s="321">
        <f t="shared" si="59"/>
        <v>0</v>
      </c>
      <c r="Z168" s="321">
        <f t="shared" si="59"/>
        <v>0</v>
      </c>
      <c r="AA168" s="321">
        <f t="shared" si="59"/>
        <v>0</v>
      </c>
      <c r="AB168" s="321">
        <f t="shared" si="59"/>
        <v>0</v>
      </c>
      <c r="AC168" s="321">
        <f t="shared" si="59"/>
        <v>0</v>
      </c>
      <c r="AD168" s="321">
        <f t="shared" si="59"/>
        <v>0</v>
      </c>
      <c r="AE168" s="321">
        <f t="shared" si="59"/>
        <v>0</v>
      </c>
      <c r="AF168" s="321">
        <f t="shared" si="59"/>
        <v>0</v>
      </c>
      <c r="AG168" s="321">
        <f t="shared" si="59"/>
        <v>0</v>
      </c>
      <c r="AH168" s="321">
        <f t="shared" si="59"/>
        <v>0</v>
      </c>
      <c r="AI168" s="321">
        <f t="shared" si="59"/>
        <v>0</v>
      </c>
      <c r="AJ168" s="321">
        <f t="shared" si="59"/>
        <v>0</v>
      </c>
      <c r="AK168" s="321">
        <f t="shared" si="59"/>
        <v>0</v>
      </c>
      <c r="AL168" s="321">
        <f t="shared" si="59"/>
        <v>0</v>
      </c>
      <c r="AM168" s="321">
        <f t="shared" si="59"/>
        <v>0</v>
      </c>
      <c r="AN168" s="321">
        <f t="shared" si="59"/>
        <v>0</v>
      </c>
      <c r="AO168" s="321">
        <f t="shared" si="59"/>
        <v>0</v>
      </c>
      <c r="AP168" s="321">
        <f t="shared" si="59"/>
        <v>0</v>
      </c>
      <c r="AQ168" s="321">
        <f t="shared" si="59"/>
        <v>0</v>
      </c>
      <c r="AR168" s="321">
        <f t="shared" si="59"/>
        <v>0</v>
      </c>
      <c r="AS168" s="321">
        <f t="shared" si="59"/>
        <v>0</v>
      </c>
      <c r="AT168" s="321">
        <f t="shared" si="59"/>
        <v>0</v>
      </c>
      <c r="AU168" s="321">
        <f t="shared" si="59"/>
        <v>0</v>
      </c>
      <c r="AV168" s="321">
        <f t="shared" si="59"/>
        <v>0</v>
      </c>
      <c r="AW168" s="321">
        <f t="shared" si="59"/>
        <v>0</v>
      </c>
      <c r="AX168" s="321">
        <f t="shared" si="59"/>
        <v>0</v>
      </c>
      <c r="AY168" s="321">
        <f t="shared" si="59"/>
        <v>0</v>
      </c>
      <c r="AZ168" s="321">
        <f t="shared" si="59"/>
        <v>0</v>
      </c>
      <c r="BA168" s="321">
        <f t="shared" si="59"/>
        <v>0</v>
      </c>
      <c r="BB168" s="321">
        <f t="shared" si="59"/>
        <v>0</v>
      </c>
      <c r="BC168" s="321">
        <f t="shared" si="59"/>
        <v>0</v>
      </c>
      <c r="BD168" s="321">
        <f t="shared" si="59"/>
        <v>0</v>
      </c>
      <c r="BE168" s="321">
        <f t="shared" si="59"/>
        <v>0</v>
      </c>
      <c r="BF168" s="321">
        <f t="shared" si="59"/>
        <v>0</v>
      </c>
      <c r="BG168" s="321">
        <f t="shared" si="59"/>
        <v>0</v>
      </c>
      <c r="BH168" s="321">
        <f t="shared" si="59"/>
        <v>0</v>
      </c>
      <c r="BI168" s="321">
        <f t="shared" si="59"/>
        <v>0</v>
      </c>
      <c r="BJ168" s="321">
        <f t="shared" si="59"/>
        <v>0</v>
      </c>
      <c r="BK168" s="321">
        <f t="shared" si="59"/>
        <v>0</v>
      </c>
      <c r="BL168" s="321">
        <f t="shared" si="59"/>
        <v>0</v>
      </c>
      <c r="BM168" s="321">
        <f t="shared" si="59"/>
        <v>0</v>
      </c>
      <c r="BN168" s="321">
        <f t="shared" si="59"/>
        <v>0</v>
      </c>
      <c r="BO168" s="321">
        <f t="shared" si="59"/>
        <v>0</v>
      </c>
      <c r="BP168" s="321">
        <f t="shared" si="59"/>
        <v>0</v>
      </c>
      <c r="BQ168" s="321">
        <f t="shared" si="59"/>
        <v>0</v>
      </c>
      <c r="BR168" s="321">
        <f t="shared" si="59"/>
        <v>0</v>
      </c>
      <c r="BS168" s="321">
        <f t="shared" si="59"/>
        <v>0</v>
      </c>
      <c r="BT168" s="321">
        <f t="shared" si="59"/>
        <v>0</v>
      </c>
      <c r="BU168" s="321">
        <f t="shared" si="59"/>
        <v>0</v>
      </c>
      <c r="BV168" s="321">
        <f t="shared" si="59"/>
        <v>0</v>
      </c>
      <c r="BW168" s="321">
        <f t="shared" si="59"/>
        <v>0</v>
      </c>
      <c r="BX168" s="321">
        <f t="shared" si="59"/>
        <v>0</v>
      </c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  <c r="CJ168" s="222"/>
      <c r="CK168" s="222"/>
      <c r="CL168" s="222"/>
      <c r="CM168" s="222"/>
      <c r="CN168" s="222"/>
      <c r="CO168" s="222"/>
      <c r="CP168" s="222"/>
      <c r="CQ168" s="222"/>
      <c r="CR168" s="222"/>
      <c r="CS168" s="222"/>
      <c r="CT168" s="222"/>
      <c r="CU168" s="222"/>
      <c r="CV168" s="222"/>
      <c r="CW168" s="222"/>
      <c r="CX168" s="222"/>
      <c r="CY168" s="222"/>
      <c r="CZ168" s="222"/>
      <c r="DA168" s="222"/>
      <c r="DB168" s="222"/>
      <c r="DC168" s="222"/>
      <c r="DD168" s="222"/>
      <c r="DE168" s="222"/>
      <c r="DF168" s="222"/>
      <c r="DG168" s="222"/>
      <c r="DH168" s="222"/>
      <c r="DI168" s="222"/>
      <c r="DJ168" s="222"/>
      <c r="DK168" s="222"/>
      <c r="DL168" s="222"/>
      <c r="DM168" s="222"/>
      <c r="DN168" s="222"/>
      <c r="DO168" s="222"/>
      <c r="DP168" s="222"/>
      <c r="DQ168" s="222"/>
      <c r="DR168" s="222"/>
      <c r="DS168" s="222"/>
      <c r="DT168" s="222"/>
      <c r="DU168" s="222"/>
      <c r="DV168" s="222"/>
      <c r="DW168" s="325"/>
      <c r="DX168" s="325"/>
      <c r="DY168" s="325"/>
      <c r="DZ168" s="325"/>
      <c r="EA168" s="325"/>
      <c r="EB168" s="325"/>
      <c r="EC168" s="325"/>
      <c r="ED168" s="325"/>
      <c r="EE168" s="325"/>
      <c r="EF168" s="325"/>
      <c r="EG168" s="325"/>
      <c r="EH168" s="325"/>
    </row>
    <row r="169" spans="1:138">
      <c r="A169" s="222"/>
      <c r="B169" s="318"/>
      <c r="C169" s="314"/>
      <c r="D169" s="322" t="s">
        <v>306</v>
      </c>
      <c r="E169" s="327">
        <f>E168</f>
        <v>0</v>
      </c>
      <c r="F169" s="327">
        <f t="shared" ref="F169:BX169" si="60">E169+F168</f>
        <v>0</v>
      </c>
      <c r="G169" s="327">
        <f t="shared" si="60"/>
        <v>0</v>
      </c>
      <c r="H169" s="327">
        <f t="shared" si="60"/>
        <v>-5341205.5</v>
      </c>
      <c r="I169" s="327">
        <f t="shared" si="60"/>
        <v>-5341205.5</v>
      </c>
      <c r="J169" s="327">
        <f t="shared" si="60"/>
        <v>-5341205.5</v>
      </c>
      <c r="K169" s="327">
        <f t="shared" si="60"/>
        <v>-5341205.5</v>
      </c>
      <c r="L169" s="327">
        <f t="shared" si="60"/>
        <v>-5341205.5</v>
      </c>
      <c r="M169" s="327">
        <f t="shared" si="60"/>
        <v>-5341205.5</v>
      </c>
      <c r="N169" s="327">
        <f t="shared" si="60"/>
        <v>-5341205.5</v>
      </c>
      <c r="O169" s="327">
        <f t="shared" si="60"/>
        <v>-5341205.5</v>
      </c>
      <c r="P169" s="327">
        <f t="shared" si="60"/>
        <v>-5341205.5</v>
      </c>
      <c r="Q169" s="327">
        <f t="shared" si="60"/>
        <v>-5341205.5</v>
      </c>
      <c r="R169" s="327">
        <f t="shared" si="60"/>
        <v>-5341205.5</v>
      </c>
      <c r="S169" s="327">
        <f t="shared" si="60"/>
        <v>-5341205.5</v>
      </c>
      <c r="T169" s="327">
        <f t="shared" si="60"/>
        <v>2750000</v>
      </c>
      <c r="U169" s="327">
        <f t="shared" si="60"/>
        <v>2750000</v>
      </c>
      <c r="V169" s="327">
        <f t="shared" si="60"/>
        <v>2750000</v>
      </c>
      <c r="W169" s="327">
        <f t="shared" si="60"/>
        <v>2750000</v>
      </c>
      <c r="X169" s="327">
        <f t="shared" si="60"/>
        <v>2750000</v>
      </c>
      <c r="Y169" s="327">
        <f t="shared" si="60"/>
        <v>2750000</v>
      </c>
      <c r="Z169" s="327">
        <f t="shared" si="60"/>
        <v>2750000</v>
      </c>
      <c r="AA169" s="327">
        <f t="shared" si="60"/>
        <v>2750000</v>
      </c>
      <c r="AB169" s="327">
        <f t="shared" si="60"/>
        <v>2750000</v>
      </c>
      <c r="AC169" s="327">
        <f t="shared" si="60"/>
        <v>2750000</v>
      </c>
      <c r="AD169" s="327">
        <f t="shared" si="60"/>
        <v>2750000</v>
      </c>
      <c r="AE169" s="327">
        <f t="shared" si="60"/>
        <v>2750000</v>
      </c>
      <c r="AF169" s="327">
        <f t="shared" si="60"/>
        <v>2750000</v>
      </c>
      <c r="AG169" s="327">
        <f t="shared" si="60"/>
        <v>2750000</v>
      </c>
      <c r="AH169" s="327">
        <f t="shared" si="60"/>
        <v>2750000</v>
      </c>
      <c r="AI169" s="327">
        <f t="shared" si="60"/>
        <v>2750000</v>
      </c>
      <c r="AJ169" s="327">
        <f t="shared" si="60"/>
        <v>2750000</v>
      </c>
      <c r="AK169" s="327">
        <f t="shared" si="60"/>
        <v>2750000</v>
      </c>
      <c r="AL169" s="327">
        <f t="shared" si="60"/>
        <v>2750000</v>
      </c>
      <c r="AM169" s="327">
        <f t="shared" si="60"/>
        <v>2750000</v>
      </c>
      <c r="AN169" s="327">
        <f t="shared" si="60"/>
        <v>2750000</v>
      </c>
      <c r="AO169" s="327">
        <f t="shared" si="60"/>
        <v>2750000</v>
      </c>
      <c r="AP169" s="327">
        <f t="shared" si="60"/>
        <v>2750000</v>
      </c>
      <c r="AQ169" s="327">
        <f t="shared" si="60"/>
        <v>2750000</v>
      </c>
      <c r="AR169" s="327">
        <f t="shared" si="60"/>
        <v>2750000</v>
      </c>
      <c r="AS169" s="327">
        <f t="shared" si="60"/>
        <v>2750000</v>
      </c>
      <c r="AT169" s="327">
        <f t="shared" si="60"/>
        <v>2750000</v>
      </c>
      <c r="AU169" s="327">
        <f t="shared" si="60"/>
        <v>2750000</v>
      </c>
      <c r="AV169" s="327">
        <f t="shared" si="60"/>
        <v>2750000</v>
      </c>
      <c r="AW169" s="327">
        <f t="shared" si="60"/>
        <v>2750000</v>
      </c>
      <c r="AX169" s="327">
        <f t="shared" si="60"/>
        <v>2750000</v>
      </c>
      <c r="AY169" s="327">
        <f t="shared" si="60"/>
        <v>2750000</v>
      </c>
      <c r="AZ169" s="327">
        <f t="shared" si="60"/>
        <v>2750000</v>
      </c>
      <c r="BA169" s="327">
        <f t="shared" si="60"/>
        <v>2750000</v>
      </c>
      <c r="BB169" s="327">
        <f t="shared" si="60"/>
        <v>2750000</v>
      </c>
      <c r="BC169" s="327">
        <f t="shared" si="60"/>
        <v>2750000</v>
      </c>
      <c r="BD169" s="327">
        <f t="shared" si="60"/>
        <v>2750000</v>
      </c>
      <c r="BE169" s="327">
        <f t="shared" si="60"/>
        <v>2750000</v>
      </c>
      <c r="BF169" s="327">
        <f t="shared" si="60"/>
        <v>2750000</v>
      </c>
      <c r="BG169" s="327">
        <f t="shared" si="60"/>
        <v>2750000</v>
      </c>
      <c r="BH169" s="327">
        <f t="shared" si="60"/>
        <v>2750000</v>
      </c>
      <c r="BI169" s="327">
        <f t="shared" si="60"/>
        <v>2750000</v>
      </c>
      <c r="BJ169" s="327">
        <f t="shared" si="60"/>
        <v>2750000</v>
      </c>
      <c r="BK169" s="327">
        <f t="shared" si="60"/>
        <v>2750000</v>
      </c>
      <c r="BL169" s="327">
        <f t="shared" si="60"/>
        <v>2750000</v>
      </c>
      <c r="BM169" s="327">
        <f t="shared" si="60"/>
        <v>2750000</v>
      </c>
      <c r="BN169" s="327">
        <f t="shared" si="60"/>
        <v>2750000</v>
      </c>
      <c r="BO169" s="327">
        <f t="shared" si="60"/>
        <v>2750000</v>
      </c>
      <c r="BP169" s="327">
        <f t="shared" si="60"/>
        <v>2750000</v>
      </c>
      <c r="BQ169" s="327">
        <f t="shared" si="60"/>
        <v>2750000</v>
      </c>
      <c r="BR169" s="327">
        <f t="shared" si="60"/>
        <v>2750000</v>
      </c>
      <c r="BS169" s="327">
        <f t="shared" si="60"/>
        <v>2750000</v>
      </c>
      <c r="BT169" s="327">
        <f t="shared" si="60"/>
        <v>2750000</v>
      </c>
      <c r="BU169" s="327">
        <f t="shared" si="60"/>
        <v>2750000</v>
      </c>
      <c r="BV169" s="327">
        <f t="shared" si="60"/>
        <v>2750000</v>
      </c>
      <c r="BW169" s="327">
        <f t="shared" si="60"/>
        <v>2750000</v>
      </c>
      <c r="BX169" s="327">
        <f t="shared" si="60"/>
        <v>2750000</v>
      </c>
      <c r="BY169" s="222"/>
      <c r="BZ169" s="222"/>
      <c r="CA169" s="222"/>
      <c r="CB169" s="222"/>
      <c r="CC169" s="222"/>
      <c r="CD169" s="222"/>
      <c r="CE169" s="222"/>
      <c r="CF169" s="222"/>
      <c r="CG169" s="222"/>
      <c r="CH169" s="222"/>
      <c r="CI169" s="222"/>
      <c r="CJ169" s="222"/>
      <c r="CK169" s="222"/>
      <c r="CL169" s="222"/>
      <c r="CM169" s="222"/>
      <c r="CN169" s="222"/>
      <c r="CO169" s="222"/>
      <c r="CP169" s="222"/>
      <c r="CQ169" s="222"/>
      <c r="CR169" s="222"/>
      <c r="CS169" s="222"/>
      <c r="CT169" s="222"/>
      <c r="CU169" s="222"/>
      <c r="CV169" s="222"/>
      <c r="CW169" s="222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2"/>
      <c r="DI169" s="222"/>
      <c r="DJ169" s="222"/>
      <c r="DK169" s="222"/>
      <c r="DL169" s="222"/>
      <c r="DM169" s="222"/>
      <c r="DN169" s="222"/>
      <c r="DO169" s="222"/>
      <c r="DP169" s="222"/>
      <c r="DQ169" s="222"/>
      <c r="DR169" s="222"/>
      <c r="DS169" s="222"/>
      <c r="DT169" s="222"/>
      <c r="DU169" s="222"/>
      <c r="DV169" s="222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</row>
    <row r="170" spans="1:138">
      <c r="A170" s="222"/>
      <c r="B170" s="318"/>
      <c r="C170" s="313" t="s">
        <v>292</v>
      </c>
      <c r="D170" s="322">
        <f>IRR(E168:BX168)*12</f>
        <v>0.42259732866030397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  <c r="BQ170" s="222"/>
      <c r="BR170" s="222"/>
      <c r="BS170" s="222"/>
      <c r="BT170" s="222"/>
      <c r="BU170" s="222"/>
      <c r="BV170" s="222"/>
      <c r="BW170" s="222"/>
      <c r="BX170" s="222"/>
      <c r="BY170" s="222"/>
      <c r="BZ170" s="222"/>
      <c r="CA170" s="222"/>
      <c r="CB170" s="222"/>
      <c r="CC170" s="222"/>
      <c r="CD170" s="222"/>
      <c r="CE170" s="222"/>
      <c r="CF170" s="222"/>
      <c r="CG170" s="222"/>
      <c r="CH170" s="222"/>
      <c r="CI170" s="222"/>
      <c r="CJ170" s="222"/>
      <c r="CK170" s="222"/>
      <c r="CL170" s="222"/>
      <c r="CM170" s="222"/>
      <c r="CN170" s="222"/>
      <c r="CO170" s="222"/>
      <c r="CP170" s="222"/>
      <c r="CQ170" s="222"/>
      <c r="CR170" s="222"/>
      <c r="CS170" s="222"/>
      <c r="CT170" s="222"/>
      <c r="CU170" s="222"/>
      <c r="CV170" s="222"/>
      <c r="CW170" s="222"/>
      <c r="CX170" s="222"/>
      <c r="CY170" s="222"/>
      <c r="CZ170" s="222"/>
      <c r="DA170" s="222"/>
      <c r="DB170" s="222"/>
      <c r="DC170" s="222"/>
      <c r="DD170" s="222"/>
      <c r="DE170" s="222"/>
      <c r="DF170" s="222"/>
      <c r="DG170" s="222"/>
      <c r="DH170" s="222"/>
      <c r="DI170" s="222"/>
      <c r="DJ170" s="222"/>
      <c r="DK170" s="222"/>
      <c r="DL170" s="222"/>
      <c r="DM170" s="222"/>
      <c r="DN170" s="222"/>
      <c r="DO170" s="222"/>
      <c r="DP170" s="222"/>
      <c r="DQ170" s="222"/>
      <c r="DR170" s="222"/>
      <c r="DS170" s="222"/>
      <c r="DT170" s="222"/>
      <c r="DU170" s="222"/>
      <c r="DV170" s="222"/>
      <c r="DW170" s="325"/>
      <c r="DX170" s="325"/>
      <c r="DY170" s="325"/>
      <c r="DZ170" s="325"/>
      <c r="EA170" s="325"/>
      <c r="EB170" s="325"/>
      <c r="EC170" s="325"/>
      <c r="ED170" s="325"/>
      <c r="EE170" s="325"/>
      <c r="EF170" s="325"/>
      <c r="EG170" s="325"/>
      <c r="EH170" s="325"/>
    </row>
    <row r="171" spans="1:138">
      <c r="A171" s="222"/>
      <c r="B171" s="318"/>
      <c r="C171" s="323" t="s">
        <v>300</v>
      </c>
      <c r="D171" s="324">
        <f>-MIN(M169:BL169)-D172</f>
        <v>5341205.5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  <c r="BQ171" s="222"/>
      <c r="BR171" s="222"/>
      <c r="BS171" s="222"/>
      <c r="BT171" s="222"/>
      <c r="BU171" s="222"/>
      <c r="BV171" s="222"/>
      <c r="BW171" s="222"/>
      <c r="BX171" s="222"/>
      <c r="BY171" s="222"/>
      <c r="BZ171" s="222"/>
      <c r="CA171" s="222"/>
      <c r="CB171" s="222"/>
      <c r="CC171" s="222"/>
      <c r="CD171" s="222"/>
      <c r="CE171" s="222"/>
      <c r="CF171" s="222"/>
      <c r="CG171" s="222"/>
      <c r="CH171" s="222"/>
      <c r="CI171" s="222"/>
      <c r="CJ171" s="222"/>
      <c r="CK171" s="222"/>
      <c r="CL171" s="222"/>
      <c r="CM171" s="222"/>
      <c r="CN171" s="222"/>
      <c r="CO171" s="222"/>
      <c r="CP171" s="222"/>
      <c r="CQ171" s="222"/>
      <c r="CR171" s="222"/>
      <c r="CS171" s="222"/>
      <c r="CT171" s="222"/>
      <c r="CU171" s="222"/>
      <c r="CV171" s="222"/>
      <c r="CW171" s="222"/>
      <c r="CX171" s="222"/>
      <c r="CY171" s="222"/>
      <c r="CZ171" s="222"/>
      <c r="DA171" s="222"/>
      <c r="DB171" s="222"/>
      <c r="DC171" s="222"/>
      <c r="DD171" s="222"/>
      <c r="DE171" s="222"/>
      <c r="DF171" s="222"/>
      <c r="DG171" s="222"/>
      <c r="DH171" s="222"/>
      <c r="DI171" s="222"/>
      <c r="DJ171" s="222"/>
      <c r="DK171" s="222"/>
      <c r="DL171" s="222"/>
      <c r="DM171" s="222"/>
      <c r="DN171" s="222"/>
      <c r="DO171" s="222"/>
      <c r="DP171" s="222"/>
      <c r="DQ171" s="222"/>
      <c r="DR171" s="222"/>
      <c r="DS171" s="222"/>
      <c r="DT171" s="222"/>
      <c r="DU171" s="222"/>
      <c r="DV171" s="222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</row>
    <row r="172" spans="1:138">
      <c r="A172" s="222"/>
      <c r="B172" s="318"/>
      <c r="C172" s="323" t="s">
        <v>301</v>
      </c>
      <c r="D172" s="324">
        <f>-SUM(M167:BB167)</f>
        <v>0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  <c r="BQ172" s="222"/>
      <c r="BR172" s="222"/>
      <c r="BS172" s="222"/>
      <c r="BT172" s="222"/>
      <c r="BU172" s="222"/>
      <c r="BV172" s="222"/>
      <c r="BW172" s="222"/>
      <c r="BX172" s="222"/>
      <c r="BY172" s="222"/>
      <c r="BZ172" s="222"/>
      <c r="CA172" s="222"/>
      <c r="CB172" s="222"/>
      <c r="CC172" s="222"/>
      <c r="CD172" s="222"/>
      <c r="CE172" s="222"/>
      <c r="CF172" s="222"/>
      <c r="CG172" s="222"/>
      <c r="CH172" s="222"/>
      <c r="CI172" s="222"/>
      <c r="CJ172" s="222"/>
      <c r="CK172" s="222"/>
      <c r="CL172" s="222"/>
      <c r="CM172" s="222"/>
      <c r="CN172" s="222"/>
      <c r="CO172" s="222"/>
      <c r="CP172" s="222"/>
      <c r="CQ172" s="222"/>
      <c r="CR172" s="222"/>
      <c r="CS172" s="222"/>
      <c r="CT172" s="222"/>
      <c r="CU172" s="222"/>
      <c r="CV172" s="222"/>
      <c r="CW172" s="222"/>
      <c r="CX172" s="222"/>
      <c r="CY172" s="222"/>
      <c r="CZ172" s="222"/>
      <c r="DA172" s="222"/>
      <c r="DB172" s="222"/>
      <c r="DC172" s="222"/>
      <c r="DD172" s="222"/>
      <c r="DE172" s="222"/>
      <c r="DF172" s="222"/>
      <c r="DG172" s="222"/>
      <c r="DH172" s="222"/>
      <c r="DI172" s="222"/>
      <c r="DJ172" s="222"/>
      <c r="DK172" s="222"/>
      <c r="DL172" s="222"/>
      <c r="DM172" s="222"/>
      <c r="DN172" s="222"/>
      <c r="DO172" s="222"/>
      <c r="DP172" s="222"/>
      <c r="DQ172" s="222"/>
      <c r="DR172" s="222"/>
      <c r="DS172" s="222"/>
      <c r="DT172" s="222"/>
      <c r="DU172" s="222"/>
      <c r="DV172" s="222"/>
      <c r="DW172" s="325"/>
      <c r="DX172" s="325"/>
      <c r="DY172" s="325"/>
      <c r="DZ172" s="325"/>
      <c r="EA172" s="325"/>
      <c r="EB172" s="325"/>
      <c r="EC172" s="325"/>
      <c r="ED172" s="325"/>
      <c r="EE172" s="325"/>
      <c r="EF172" s="325"/>
      <c r="EG172" s="325"/>
      <c r="EH172" s="325"/>
    </row>
    <row r="173" spans="1:138">
      <c r="A173" s="222"/>
      <c r="B173" s="318"/>
      <c r="C173" s="313" t="s">
        <v>302</v>
      </c>
      <c r="D173" s="326">
        <f>D172+D171</f>
        <v>5341205.5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/>
      <c r="BX173" s="222"/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  <c r="CJ173" s="222"/>
      <c r="CK173" s="222"/>
      <c r="CL173" s="222"/>
      <c r="CM173" s="222"/>
      <c r="CN173" s="222"/>
      <c r="CO173" s="222"/>
      <c r="CP173" s="222"/>
      <c r="CQ173" s="222"/>
      <c r="CR173" s="222"/>
      <c r="CS173" s="222"/>
      <c r="CT173" s="222"/>
      <c r="CU173" s="222"/>
      <c r="CV173" s="222"/>
      <c r="CW173" s="222"/>
      <c r="CX173" s="222"/>
      <c r="CY173" s="222"/>
      <c r="CZ173" s="222"/>
      <c r="DA173" s="222"/>
      <c r="DB173" s="222"/>
      <c r="DC173" s="222"/>
      <c r="DD173" s="222"/>
      <c r="DE173" s="222"/>
      <c r="DF173" s="222"/>
      <c r="DG173" s="222"/>
      <c r="DH173" s="222"/>
      <c r="DI173" s="222"/>
      <c r="DJ173" s="222"/>
      <c r="DK173" s="222"/>
      <c r="DL173" s="222"/>
      <c r="DM173" s="222"/>
      <c r="DN173" s="222"/>
      <c r="DO173" s="222"/>
      <c r="DP173" s="222"/>
      <c r="DQ173" s="222"/>
      <c r="DR173" s="222"/>
      <c r="DS173" s="222"/>
      <c r="DT173" s="222"/>
      <c r="DU173" s="222"/>
      <c r="DV173" s="222"/>
      <c r="DW173" s="325"/>
      <c r="DX173" s="325"/>
      <c r="DY173" s="325"/>
      <c r="DZ173" s="325"/>
      <c r="EA173" s="325"/>
      <c r="EB173" s="325"/>
      <c r="EC173" s="325"/>
      <c r="ED173" s="325"/>
      <c r="EE173" s="325"/>
      <c r="EF173" s="325"/>
      <c r="EG173" s="325"/>
      <c r="EH173" s="325"/>
    </row>
    <row r="174" spans="1:138">
      <c r="A174" s="222"/>
      <c r="B174" s="318"/>
      <c r="C174" s="313" t="s">
        <v>303</v>
      </c>
      <c r="D174" s="326">
        <f>BX165+BX166</f>
        <v>0</v>
      </c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  <c r="BQ174" s="222"/>
      <c r="BR174" s="222"/>
      <c r="BS174" s="222"/>
      <c r="BT174" s="222"/>
      <c r="BU174" s="222"/>
      <c r="BV174" s="222"/>
      <c r="BW174" s="222"/>
      <c r="BX174" s="222"/>
      <c r="BY174" s="222"/>
      <c r="BZ174" s="222"/>
      <c r="CA174" s="222"/>
      <c r="CB174" s="222"/>
      <c r="CC174" s="222"/>
      <c r="CD174" s="222"/>
      <c r="CE174" s="222"/>
      <c r="CF174" s="222"/>
      <c r="CG174" s="222"/>
      <c r="CH174" s="222"/>
      <c r="CI174" s="222"/>
      <c r="CJ174" s="222"/>
      <c r="CK174" s="222"/>
      <c r="CL174" s="222"/>
      <c r="CM174" s="222"/>
      <c r="CN174" s="222"/>
      <c r="CO174" s="222"/>
      <c r="CP174" s="222"/>
      <c r="CQ174" s="222"/>
      <c r="CR174" s="222"/>
      <c r="CS174" s="222"/>
      <c r="CT174" s="222"/>
      <c r="CU174" s="222"/>
      <c r="CV174" s="222"/>
      <c r="CW174" s="222"/>
      <c r="CX174" s="222"/>
      <c r="CY174" s="222"/>
      <c r="CZ174" s="222"/>
      <c r="DA174" s="222"/>
      <c r="DB174" s="222"/>
      <c r="DC174" s="222"/>
      <c r="DD174" s="222"/>
      <c r="DE174" s="222"/>
      <c r="DF174" s="222"/>
      <c r="DG174" s="222"/>
      <c r="DH174" s="222"/>
      <c r="DI174" s="222"/>
      <c r="DJ174" s="222"/>
      <c r="DK174" s="222"/>
      <c r="DL174" s="222"/>
      <c r="DM174" s="222"/>
      <c r="DN174" s="222"/>
      <c r="DO174" s="222"/>
      <c r="DP174" s="222"/>
      <c r="DQ174" s="222"/>
      <c r="DR174" s="222"/>
      <c r="DS174" s="222"/>
      <c r="DT174" s="222"/>
      <c r="DU174" s="222"/>
      <c r="DV174" s="222"/>
      <c r="DW174" s="325"/>
      <c r="DX174" s="325"/>
      <c r="DY174" s="325"/>
      <c r="DZ174" s="325"/>
      <c r="EA174" s="325"/>
      <c r="EB174" s="325"/>
      <c r="EC174" s="325"/>
      <c r="ED174" s="325"/>
      <c r="EE174" s="325"/>
      <c r="EF174" s="325"/>
      <c r="EG174" s="325"/>
      <c r="EH174" s="325"/>
    </row>
    <row r="175" spans="1:138">
      <c r="A175" s="222"/>
      <c r="B175" s="318"/>
      <c r="C175" s="313" t="s">
        <v>147</v>
      </c>
      <c r="D175" s="322">
        <f>T166/T163</f>
        <v>0.51486504310684167</v>
      </c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  <c r="BQ175" s="222"/>
      <c r="BR175" s="222"/>
      <c r="BS175" s="222"/>
      <c r="BT175" s="222"/>
      <c r="BU175" s="222"/>
      <c r="BV175" s="222"/>
      <c r="BW175" s="222"/>
      <c r="BX175" s="222"/>
      <c r="BY175" s="222"/>
      <c r="BZ175" s="222"/>
      <c r="CA175" s="222"/>
      <c r="CB175" s="222"/>
      <c r="CC175" s="222"/>
      <c r="CD175" s="222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2"/>
      <c r="CV175" s="222"/>
      <c r="CW175" s="222"/>
      <c r="CX175" s="222"/>
      <c r="CY175" s="222"/>
      <c r="CZ175" s="222"/>
      <c r="DA175" s="222"/>
      <c r="DB175" s="222"/>
      <c r="DC175" s="222"/>
      <c r="DD175" s="222"/>
      <c r="DE175" s="222"/>
      <c r="DF175" s="222"/>
      <c r="DG175" s="222"/>
      <c r="DH175" s="222"/>
      <c r="DI175" s="222"/>
      <c r="DJ175" s="222"/>
      <c r="DK175" s="222"/>
      <c r="DL175" s="222"/>
      <c r="DM175" s="222"/>
      <c r="DN175" s="222"/>
      <c r="DO175" s="222"/>
      <c r="DP175" s="222"/>
      <c r="DQ175" s="222"/>
      <c r="DR175" s="222"/>
      <c r="DS175" s="222"/>
      <c r="DT175" s="222"/>
      <c r="DU175" s="222"/>
      <c r="DV175" s="222"/>
      <c r="DW175" s="325"/>
      <c r="DX175" s="325"/>
      <c r="DY175" s="325"/>
      <c r="DZ175" s="325"/>
      <c r="EA175" s="325"/>
      <c r="EB175" s="325"/>
      <c r="EC175" s="325"/>
      <c r="ED175" s="325"/>
      <c r="EE175" s="325"/>
      <c r="EF175" s="325"/>
      <c r="EG175" s="325"/>
      <c r="EH175" s="325"/>
    </row>
    <row r="176" spans="1:138">
      <c r="A176" s="222"/>
      <c r="B176" s="318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2"/>
      <c r="BN176" s="222"/>
      <c r="BO176" s="222"/>
      <c r="BP176" s="222"/>
      <c r="BQ176" s="222"/>
      <c r="BR176" s="222"/>
      <c r="BS176" s="222"/>
      <c r="BT176" s="222"/>
      <c r="BU176" s="222"/>
      <c r="BV176" s="222"/>
      <c r="BW176" s="222"/>
      <c r="BX176" s="222"/>
      <c r="BY176" s="222"/>
      <c r="BZ176" s="222"/>
      <c r="CA176" s="222"/>
      <c r="CB176" s="222"/>
      <c r="CC176" s="222"/>
      <c r="CD176" s="222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2"/>
      <c r="CV176" s="222"/>
      <c r="CW176" s="222"/>
      <c r="CX176" s="222"/>
      <c r="CY176" s="222"/>
      <c r="CZ176" s="222"/>
      <c r="DA176" s="222"/>
      <c r="DB176" s="222"/>
      <c r="DC176" s="222"/>
      <c r="DD176" s="222"/>
      <c r="DE176" s="222"/>
      <c r="DF176" s="222"/>
      <c r="DG176" s="222"/>
      <c r="DH176" s="222"/>
      <c r="DI176" s="222"/>
      <c r="DJ176" s="222"/>
      <c r="DK176" s="222"/>
      <c r="DL176" s="222"/>
      <c r="DM176" s="222"/>
      <c r="DN176" s="222"/>
      <c r="DO176" s="222"/>
      <c r="DP176" s="222"/>
      <c r="DQ176" s="222"/>
      <c r="DR176" s="222"/>
      <c r="DS176" s="222"/>
      <c r="DT176" s="222"/>
      <c r="DU176" s="222"/>
      <c r="DV176" s="222"/>
      <c r="DW176" s="325"/>
      <c r="DX176" s="325"/>
      <c r="DY176" s="325"/>
      <c r="DZ176" s="325"/>
      <c r="EA176" s="325"/>
      <c r="EB176" s="325"/>
      <c r="EC176" s="325"/>
      <c r="ED176" s="325"/>
      <c r="EE176" s="325"/>
      <c r="EF176" s="325"/>
      <c r="EG176" s="325"/>
      <c r="EH176" s="325"/>
    </row>
    <row r="177" spans="1:138">
      <c r="A177" s="222"/>
      <c r="B177" s="318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2"/>
      <c r="BN177" s="222"/>
      <c r="BO177" s="222"/>
      <c r="BP177" s="222"/>
      <c r="BQ177" s="222"/>
      <c r="BR177" s="222"/>
      <c r="BS177" s="222"/>
      <c r="BT177" s="222"/>
      <c r="BU177" s="222"/>
      <c r="BV177" s="222"/>
      <c r="BW177" s="222"/>
      <c r="BX177" s="222"/>
      <c r="BY177" s="222"/>
      <c r="BZ177" s="222"/>
      <c r="CA177" s="222"/>
      <c r="CB177" s="222"/>
      <c r="CC177" s="222"/>
      <c r="CD177" s="222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2"/>
      <c r="CV177" s="222"/>
      <c r="CW177" s="222"/>
      <c r="CX177" s="222"/>
      <c r="CY177" s="222"/>
      <c r="CZ177" s="222"/>
      <c r="DA177" s="222"/>
      <c r="DB177" s="222"/>
      <c r="DC177" s="222"/>
      <c r="DD177" s="222"/>
      <c r="DE177" s="222"/>
      <c r="DF177" s="222"/>
      <c r="DG177" s="222"/>
      <c r="DH177" s="222"/>
      <c r="DI177" s="222"/>
      <c r="DJ177" s="222"/>
      <c r="DK177" s="222"/>
      <c r="DL177" s="222"/>
      <c r="DM177" s="222"/>
      <c r="DN177" s="222"/>
      <c r="DO177" s="222"/>
      <c r="DP177" s="222"/>
      <c r="DQ177" s="222"/>
      <c r="DR177" s="222"/>
      <c r="DS177" s="222"/>
      <c r="DT177" s="222"/>
      <c r="DU177" s="222"/>
      <c r="DV177" s="222"/>
      <c r="DW177" s="325"/>
      <c r="DX177" s="325"/>
      <c r="DY177" s="325"/>
      <c r="DZ177" s="325"/>
      <c r="EA177" s="325"/>
      <c r="EB177" s="325"/>
      <c r="EC177" s="325"/>
      <c r="ED177" s="325"/>
      <c r="EE177" s="325"/>
      <c r="EF177" s="325"/>
      <c r="EG177" s="325"/>
      <c r="EH177" s="325"/>
    </row>
    <row r="178" spans="1:138">
      <c r="A178" s="222"/>
      <c r="B178" s="318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2"/>
      <c r="BN178" s="222"/>
      <c r="BO178" s="222"/>
      <c r="BP178" s="222"/>
      <c r="BQ178" s="222"/>
      <c r="BR178" s="222"/>
      <c r="BS178" s="222"/>
      <c r="BT178" s="222"/>
      <c r="BU178" s="222"/>
      <c r="BV178" s="222"/>
      <c r="BW178" s="222"/>
      <c r="BX178" s="222"/>
      <c r="BY178" s="222"/>
      <c r="BZ178" s="222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  <c r="CP178" s="222"/>
      <c r="CQ178" s="222"/>
      <c r="CR178" s="222"/>
      <c r="CS178" s="222"/>
      <c r="CT178" s="222"/>
      <c r="CU178" s="222"/>
      <c r="CV178" s="222"/>
      <c r="CW178" s="222"/>
      <c r="CX178" s="222"/>
      <c r="CY178" s="222"/>
      <c r="CZ178" s="222"/>
      <c r="DA178" s="222"/>
      <c r="DB178" s="222"/>
      <c r="DC178" s="222"/>
      <c r="DD178" s="222"/>
      <c r="DE178" s="222"/>
      <c r="DF178" s="222"/>
      <c r="DG178" s="222"/>
      <c r="DH178" s="222"/>
      <c r="DI178" s="222"/>
      <c r="DJ178" s="222"/>
      <c r="DK178" s="222"/>
      <c r="DL178" s="222"/>
      <c r="DM178" s="222"/>
      <c r="DN178" s="222"/>
      <c r="DO178" s="222"/>
      <c r="DP178" s="222"/>
      <c r="DQ178" s="222"/>
      <c r="DR178" s="222"/>
      <c r="DS178" s="222"/>
      <c r="DT178" s="222"/>
      <c r="DU178" s="222"/>
      <c r="DV178" s="222"/>
      <c r="DW178" s="325"/>
      <c r="DX178" s="325"/>
      <c r="DY178" s="325"/>
      <c r="DZ178" s="325"/>
      <c r="EA178" s="325"/>
      <c r="EB178" s="325"/>
      <c r="EC178" s="325"/>
      <c r="ED178" s="325"/>
      <c r="EE178" s="325"/>
      <c r="EF178" s="325"/>
      <c r="EG178" s="325"/>
      <c r="EH178" s="325"/>
    </row>
    <row r="179" spans="1:138">
      <c r="A179" s="222"/>
      <c r="B179" s="318"/>
      <c r="C179" s="310" t="s">
        <v>309</v>
      </c>
      <c r="D179" s="311"/>
      <c r="E179" s="312">
        <f t="shared" ref="E179:G179" si="61">-(E8+E94)</f>
        <v>0</v>
      </c>
      <c r="F179" s="312">
        <f t="shared" si="61"/>
        <v>0</v>
      </c>
      <c r="G179" s="312">
        <f t="shared" si="61"/>
        <v>0</v>
      </c>
      <c r="H179" s="311">
        <f>-5341205.5</f>
        <v>-5341205.5</v>
      </c>
      <c r="I179" s="311">
        <v>0</v>
      </c>
      <c r="J179" s="311">
        <v>0</v>
      </c>
      <c r="K179" s="311">
        <v>0</v>
      </c>
      <c r="L179" s="311">
        <v>0</v>
      </c>
      <c r="M179" s="311">
        <v>0</v>
      </c>
      <c r="N179" s="311">
        <v>0</v>
      </c>
      <c r="O179" s="311">
        <v>0</v>
      </c>
      <c r="P179" s="311">
        <v>0</v>
      </c>
      <c r="Q179" s="311">
        <v>0</v>
      </c>
      <c r="R179" s="311">
        <v>0</v>
      </c>
      <c r="S179" s="311">
        <v>0</v>
      </c>
      <c r="T179" s="311">
        <f>5341205.5</f>
        <v>5341205.5</v>
      </c>
      <c r="U179" s="312">
        <f t="shared" ref="U179:BX179" si="62">-(U8+U94)</f>
        <v>0</v>
      </c>
      <c r="V179" s="312">
        <f t="shared" si="62"/>
        <v>0</v>
      </c>
      <c r="W179" s="312">
        <f t="shared" si="62"/>
        <v>0</v>
      </c>
      <c r="X179" s="312">
        <f t="shared" si="62"/>
        <v>0</v>
      </c>
      <c r="Y179" s="312">
        <f t="shared" si="62"/>
        <v>0</v>
      </c>
      <c r="Z179" s="312">
        <f t="shared" si="62"/>
        <v>0</v>
      </c>
      <c r="AA179" s="312">
        <f t="shared" si="62"/>
        <v>0</v>
      </c>
      <c r="AB179" s="312">
        <f t="shared" si="62"/>
        <v>0</v>
      </c>
      <c r="AC179" s="312">
        <f t="shared" si="62"/>
        <v>0</v>
      </c>
      <c r="AD179" s="312">
        <f t="shared" si="62"/>
        <v>0</v>
      </c>
      <c r="AE179" s="312">
        <f t="shared" si="62"/>
        <v>0</v>
      </c>
      <c r="AF179" s="312">
        <f t="shared" si="62"/>
        <v>0</v>
      </c>
      <c r="AG179" s="312">
        <f t="shared" si="62"/>
        <v>0</v>
      </c>
      <c r="AH179" s="312">
        <f t="shared" si="62"/>
        <v>0</v>
      </c>
      <c r="AI179" s="312">
        <f t="shared" si="62"/>
        <v>0</v>
      </c>
      <c r="AJ179" s="312">
        <f t="shared" si="62"/>
        <v>0</v>
      </c>
      <c r="AK179" s="312">
        <f t="shared" si="62"/>
        <v>0</v>
      </c>
      <c r="AL179" s="312">
        <f t="shared" si="62"/>
        <v>0</v>
      </c>
      <c r="AM179" s="312">
        <f t="shared" si="62"/>
        <v>0</v>
      </c>
      <c r="AN179" s="312">
        <f t="shared" si="62"/>
        <v>0</v>
      </c>
      <c r="AO179" s="312">
        <f t="shared" si="62"/>
        <v>0</v>
      </c>
      <c r="AP179" s="312">
        <f t="shared" si="62"/>
        <v>0</v>
      </c>
      <c r="AQ179" s="312">
        <f t="shared" si="62"/>
        <v>0</v>
      </c>
      <c r="AR179" s="312">
        <f t="shared" si="62"/>
        <v>0</v>
      </c>
      <c r="AS179" s="312">
        <f t="shared" si="62"/>
        <v>0</v>
      </c>
      <c r="AT179" s="312">
        <f t="shared" si="62"/>
        <v>0</v>
      </c>
      <c r="AU179" s="312">
        <f t="shared" si="62"/>
        <v>0</v>
      </c>
      <c r="AV179" s="312">
        <f t="shared" si="62"/>
        <v>0</v>
      </c>
      <c r="AW179" s="312">
        <f t="shared" si="62"/>
        <v>0</v>
      </c>
      <c r="AX179" s="312">
        <f t="shared" si="62"/>
        <v>0</v>
      </c>
      <c r="AY179" s="312">
        <f t="shared" si="62"/>
        <v>0</v>
      </c>
      <c r="AZ179" s="312">
        <f t="shared" si="62"/>
        <v>0</v>
      </c>
      <c r="BA179" s="312">
        <f t="shared" si="62"/>
        <v>0</v>
      </c>
      <c r="BB179" s="312">
        <f t="shared" si="62"/>
        <v>0</v>
      </c>
      <c r="BC179" s="312">
        <f t="shared" si="62"/>
        <v>0</v>
      </c>
      <c r="BD179" s="312">
        <f t="shared" si="62"/>
        <v>0</v>
      </c>
      <c r="BE179" s="312">
        <f t="shared" si="62"/>
        <v>0</v>
      </c>
      <c r="BF179" s="312">
        <f t="shared" si="62"/>
        <v>0</v>
      </c>
      <c r="BG179" s="312">
        <f t="shared" si="62"/>
        <v>0</v>
      </c>
      <c r="BH179" s="312">
        <f t="shared" si="62"/>
        <v>0</v>
      </c>
      <c r="BI179" s="312">
        <f t="shared" si="62"/>
        <v>0</v>
      </c>
      <c r="BJ179" s="312">
        <f t="shared" si="62"/>
        <v>0</v>
      </c>
      <c r="BK179" s="312">
        <f t="shared" si="62"/>
        <v>0</v>
      </c>
      <c r="BL179" s="312">
        <f t="shared" si="62"/>
        <v>0</v>
      </c>
      <c r="BM179" s="312">
        <f t="shared" si="62"/>
        <v>0</v>
      </c>
      <c r="BN179" s="312">
        <f t="shared" si="62"/>
        <v>0</v>
      </c>
      <c r="BO179" s="312">
        <f t="shared" si="62"/>
        <v>0</v>
      </c>
      <c r="BP179" s="312">
        <f t="shared" si="62"/>
        <v>0</v>
      </c>
      <c r="BQ179" s="312">
        <f t="shared" si="62"/>
        <v>0</v>
      </c>
      <c r="BR179" s="312">
        <f t="shared" si="62"/>
        <v>0</v>
      </c>
      <c r="BS179" s="312">
        <f t="shared" si="62"/>
        <v>0</v>
      </c>
      <c r="BT179" s="312">
        <f t="shared" si="62"/>
        <v>0</v>
      </c>
      <c r="BU179" s="312">
        <f t="shared" si="62"/>
        <v>0</v>
      </c>
      <c r="BV179" s="312">
        <f t="shared" si="62"/>
        <v>0</v>
      </c>
      <c r="BW179" s="312">
        <f t="shared" si="62"/>
        <v>0</v>
      </c>
      <c r="BX179" s="312">
        <f t="shared" si="62"/>
        <v>0</v>
      </c>
      <c r="BY179" s="222"/>
      <c r="BZ179" s="222"/>
      <c r="CA179" s="222"/>
      <c r="CB179" s="222"/>
      <c r="CC179" s="222"/>
      <c r="CD179" s="222"/>
      <c r="CE179" s="222"/>
      <c r="CF179" s="222"/>
      <c r="CG179" s="222"/>
      <c r="CH179" s="222"/>
      <c r="CI179" s="222"/>
      <c r="CJ179" s="222"/>
      <c r="CK179" s="222"/>
      <c r="CL179" s="222"/>
      <c r="CM179" s="222"/>
      <c r="CN179" s="222"/>
      <c r="CO179" s="222"/>
      <c r="CP179" s="222"/>
      <c r="CQ179" s="222"/>
      <c r="CR179" s="222"/>
      <c r="CS179" s="222"/>
      <c r="CT179" s="222"/>
      <c r="CU179" s="222"/>
      <c r="CV179" s="222"/>
      <c r="CW179" s="222"/>
      <c r="CX179" s="222"/>
      <c r="CY179" s="222"/>
      <c r="CZ179" s="222"/>
      <c r="DA179" s="222"/>
      <c r="DB179" s="222"/>
      <c r="DC179" s="222"/>
      <c r="DD179" s="222"/>
      <c r="DE179" s="222"/>
      <c r="DF179" s="222"/>
      <c r="DG179" s="222"/>
      <c r="DH179" s="222"/>
      <c r="DI179" s="222"/>
      <c r="DJ179" s="222"/>
      <c r="DK179" s="222"/>
      <c r="DL179" s="222"/>
      <c r="DM179" s="222"/>
      <c r="DN179" s="222"/>
      <c r="DO179" s="222"/>
      <c r="DP179" s="222"/>
      <c r="DQ179" s="222"/>
      <c r="DR179" s="222"/>
      <c r="DS179" s="222"/>
      <c r="DT179" s="222"/>
      <c r="DU179" s="222"/>
      <c r="DV179" s="222"/>
      <c r="DW179" s="222"/>
      <c r="DX179" s="222"/>
      <c r="DY179" s="222"/>
      <c r="DZ179" s="222"/>
      <c r="EA179" s="222"/>
      <c r="EB179" s="222"/>
      <c r="EC179" s="222"/>
      <c r="ED179" s="222"/>
      <c r="EE179" s="222"/>
      <c r="EF179" s="222"/>
      <c r="EG179" s="222"/>
      <c r="EH179" s="222"/>
    </row>
    <row r="180" spans="1:138">
      <c r="A180" s="222"/>
      <c r="B180" s="318"/>
      <c r="C180" s="310" t="s">
        <v>305</v>
      </c>
      <c r="D180" s="319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  <c r="O180" s="311"/>
      <c r="P180" s="311"/>
      <c r="Q180" s="311"/>
      <c r="R180" s="311"/>
      <c r="S180" s="311"/>
      <c r="T180" s="311"/>
      <c r="U180" s="311"/>
      <c r="V180" s="311"/>
      <c r="W180" s="311"/>
      <c r="X180" s="311"/>
      <c r="Y180" s="311"/>
      <c r="Z180" s="311"/>
      <c r="AA180" s="311"/>
      <c r="AB180" s="311"/>
      <c r="AC180" s="311"/>
      <c r="AD180" s="311"/>
      <c r="AE180" s="311"/>
      <c r="AF180" s="311"/>
      <c r="AG180" s="311"/>
      <c r="AH180" s="311"/>
      <c r="AI180" s="311"/>
      <c r="AJ180" s="311"/>
      <c r="AK180" s="311"/>
      <c r="AL180" s="311"/>
      <c r="AM180" s="311"/>
      <c r="AN180" s="311"/>
      <c r="AO180" s="311"/>
      <c r="AP180" s="311"/>
      <c r="AQ180" s="311"/>
      <c r="AR180" s="311"/>
      <c r="AS180" s="311"/>
      <c r="AT180" s="311"/>
      <c r="AU180" s="311"/>
      <c r="AV180" s="311"/>
      <c r="AW180" s="311"/>
      <c r="AX180" s="311"/>
      <c r="AY180" s="311"/>
      <c r="AZ180" s="311"/>
      <c r="BA180" s="311"/>
      <c r="BB180" s="311"/>
      <c r="BC180" s="312"/>
      <c r="BD180" s="311"/>
      <c r="BE180" s="311"/>
      <c r="BF180" s="311"/>
      <c r="BG180" s="311"/>
      <c r="BH180" s="311"/>
      <c r="BI180" s="311"/>
      <c r="BJ180" s="311"/>
      <c r="BK180" s="311"/>
      <c r="BL180" s="311"/>
      <c r="BM180" s="311"/>
      <c r="BN180" s="311"/>
      <c r="BO180" s="311"/>
      <c r="BP180" s="311"/>
      <c r="BQ180" s="311"/>
      <c r="BR180" s="311"/>
      <c r="BS180" s="311"/>
      <c r="BT180" s="311"/>
      <c r="BU180" s="311"/>
      <c r="BV180" s="311"/>
      <c r="BW180" s="311"/>
      <c r="BX180" s="311"/>
      <c r="BY180" s="307"/>
      <c r="BZ180" s="307"/>
      <c r="CA180" s="222"/>
      <c r="CB180" s="222"/>
      <c r="CC180" s="222"/>
      <c r="CD180" s="222"/>
      <c r="CE180" s="222"/>
      <c r="CF180" s="222"/>
      <c r="CG180" s="222"/>
      <c r="CH180" s="222"/>
      <c r="CI180" s="222"/>
      <c r="CJ180" s="222"/>
      <c r="CK180" s="222"/>
      <c r="CL180" s="222"/>
      <c r="CM180" s="222"/>
      <c r="CN180" s="222"/>
      <c r="CO180" s="222"/>
      <c r="CP180" s="222"/>
      <c r="CQ180" s="222"/>
      <c r="CR180" s="222"/>
      <c r="CS180" s="222"/>
      <c r="CT180" s="222"/>
      <c r="CU180" s="222"/>
      <c r="CV180" s="222"/>
      <c r="CW180" s="222"/>
      <c r="CX180" s="222"/>
      <c r="CY180" s="222"/>
      <c r="CZ180" s="222"/>
      <c r="DA180" s="222"/>
      <c r="DB180" s="222"/>
      <c r="DC180" s="222"/>
      <c r="DD180" s="222"/>
      <c r="DE180" s="222"/>
      <c r="DF180" s="222"/>
      <c r="DG180" s="222"/>
      <c r="DH180" s="222"/>
      <c r="DI180" s="222"/>
      <c r="DJ180" s="222"/>
      <c r="DK180" s="222"/>
      <c r="DL180" s="222"/>
      <c r="DM180" s="222"/>
      <c r="DN180" s="222"/>
      <c r="DO180" s="222"/>
      <c r="DP180" s="222"/>
      <c r="DQ180" s="222"/>
      <c r="DR180" s="222"/>
      <c r="DS180" s="222"/>
      <c r="DT180" s="222"/>
      <c r="DU180" s="222"/>
      <c r="DV180" s="222"/>
      <c r="DW180" s="222"/>
      <c r="DX180" s="222"/>
      <c r="DY180" s="222"/>
      <c r="DZ180" s="222"/>
      <c r="EA180" s="222"/>
      <c r="EB180" s="222"/>
      <c r="EC180" s="222"/>
      <c r="ED180" s="222"/>
      <c r="EE180" s="222"/>
      <c r="EF180" s="222"/>
      <c r="EG180" s="222"/>
      <c r="EH180" s="222"/>
    </row>
    <row r="181" spans="1:138">
      <c r="A181" s="222"/>
      <c r="B181" s="318"/>
      <c r="C181" s="310" t="s">
        <v>296</v>
      </c>
      <c r="D181" s="319"/>
      <c r="E181" s="311">
        <f t="shared" ref="E181:G181" si="63">-E59</f>
        <v>0</v>
      </c>
      <c r="F181" s="311">
        <f t="shared" si="63"/>
        <v>0</v>
      </c>
      <c r="G181" s="311">
        <f t="shared" si="63"/>
        <v>0</v>
      </c>
      <c r="H181" s="311">
        <f t="shared" ref="H181:T181" si="64">-H74</f>
        <v>0</v>
      </c>
      <c r="I181" s="311">
        <f t="shared" si="64"/>
        <v>0</v>
      </c>
      <c r="J181" s="311">
        <f t="shared" si="64"/>
        <v>0</v>
      </c>
      <c r="K181" s="311">
        <f t="shared" si="64"/>
        <v>0</v>
      </c>
      <c r="L181" s="311">
        <f t="shared" si="64"/>
        <v>0</v>
      </c>
      <c r="M181" s="311">
        <f t="shared" si="64"/>
        <v>0</v>
      </c>
      <c r="N181" s="311">
        <f t="shared" si="64"/>
        <v>0</v>
      </c>
      <c r="O181" s="311">
        <f t="shared" si="64"/>
        <v>0</v>
      </c>
      <c r="P181" s="311">
        <f t="shared" si="64"/>
        <v>0</v>
      </c>
      <c r="Q181" s="311">
        <f t="shared" si="64"/>
        <v>0</v>
      </c>
      <c r="R181" s="311">
        <f t="shared" si="64"/>
        <v>0</v>
      </c>
      <c r="S181" s="311">
        <f t="shared" si="64"/>
        <v>0</v>
      </c>
      <c r="T181" s="311">
        <f t="shared" si="64"/>
        <v>0</v>
      </c>
      <c r="U181" s="311">
        <f t="shared" ref="U181:BX181" si="65">-U59</f>
        <v>0</v>
      </c>
      <c r="V181" s="311">
        <f t="shared" si="65"/>
        <v>0</v>
      </c>
      <c r="W181" s="311">
        <f t="shared" si="65"/>
        <v>0</v>
      </c>
      <c r="X181" s="311">
        <f t="shared" si="65"/>
        <v>0</v>
      </c>
      <c r="Y181" s="311">
        <f t="shared" si="65"/>
        <v>0</v>
      </c>
      <c r="Z181" s="311">
        <f t="shared" si="65"/>
        <v>0</v>
      </c>
      <c r="AA181" s="311">
        <f t="shared" si="65"/>
        <v>0</v>
      </c>
      <c r="AB181" s="311">
        <f t="shared" si="65"/>
        <v>0</v>
      </c>
      <c r="AC181" s="311">
        <f t="shared" si="65"/>
        <v>0</v>
      </c>
      <c r="AD181" s="311">
        <f t="shared" si="65"/>
        <v>0</v>
      </c>
      <c r="AE181" s="311">
        <f t="shared" si="65"/>
        <v>0</v>
      </c>
      <c r="AF181" s="311">
        <f t="shared" si="65"/>
        <v>0</v>
      </c>
      <c r="AG181" s="311">
        <f t="shared" si="65"/>
        <v>0</v>
      </c>
      <c r="AH181" s="311">
        <f t="shared" si="65"/>
        <v>0</v>
      </c>
      <c r="AI181" s="311">
        <f t="shared" si="65"/>
        <v>0</v>
      </c>
      <c r="AJ181" s="311">
        <f t="shared" si="65"/>
        <v>0</v>
      </c>
      <c r="AK181" s="311">
        <f t="shared" si="65"/>
        <v>0</v>
      </c>
      <c r="AL181" s="311">
        <f t="shared" si="65"/>
        <v>0</v>
      </c>
      <c r="AM181" s="311">
        <f t="shared" si="65"/>
        <v>0</v>
      </c>
      <c r="AN181" s="311">
        <f t="shared" si="65"/>
        <v>0</v>
      </c>
      <c r="AO181" s="311">
        <f t="shared" si="65"/>
        <v>0</v>
      </c>
      <c r="AP181" s="311">
        <f t="shared" si="65"/>
        <v>0</v>
      </c>
      <c r="AQ181" s="311">
        <f t="shared" si="65"/>
        <v>0</v>
      </c>
      <c r="AR181" s="311">
        <f t="shared" si="65"/>
        <v>0</v>
      </c>
      <c r="AS181" s="311">
        <f t="shared" si="65"/>
        <v>0</v>
      </c>
      <c r="AT181" s="311">
        <f t="shared" si="65"/>
        <v>0</v>
      </c>
      <c r="AU181" s="311">
        <f t="shared" si="65"/>
        <v>0</v>
      </c>
      <c r="AV181" s="311">
        <f t="shared" si="65"/>
        <v>0</v>
      </c>
      <c r="AW181" s="311">
        <f t="shared" si="65"/>
        <v>0</v>
      </c>
      <c r="AX181" s="311">
        <f t="shared" si="65"/>
        <v>0</v>
      </c>
      <c r="AY181" s="311">
        <f t="shared" si="65"/>
        <v>0</v>
      </c>
      <c r="AZ181" s="311">
        <f t="shared" si="65"/>
        <v>0</v>
      </c>
      <c r="BA181" s="311">
        <f t="shared" si="65"/>
        <v>0</v>
      </c>
      <c r="BB181" s="311">
        <f t="shared" si="65"/>
        <v>0</v>
      </c>
      <c r="BC181" s="311">
        <f t="shared" si="65"/>
        <v>0</v>
      </c>
      <c r="BD181" s="311">
        <f t="shared" si="65"/>
        <v>0</v>
      </c>
      <c r="BE181" s="311">
        <f t="shared" si="65"/>
        <v>0</v>
      </c>
      <c r="BF181" s="311">
        <f t="shared" si="65"/>
        <v>0</v>
      </c>
      <c r="BG181" s="311">
        <f t="shared" si="65"/>
        <v>0</v>
      </c>
      <c r="BH181" s="311">
        <f t="shared" si="65"/>
        <v>0</v>
      </c>
      <c r="BI181" s="311">
        <f t="shared" si="65"/>
        <v>0</v>
      </c>
      <c r="BJ181" s="311">
        <f t="shared" si="65"/>
        <v>0</v>
      </c>
      <c r="BK181" s="311">
        <f t="shared" si="65"/>
        <v>0</v>
      </c>
      <c r="BL181" s="311">
        <f t="shared" si="65"/>
        <v>0</v>
      </c>
      <c r="BM181" s="311">
        <f t="shared" si="65"/>
        <v>0</v>
      </c>
      <c r="BN181" s="311">
        <f t="shared" si="65"/>
        <v>0</v>
      </c>
      <c r="BO181" s="311">
        <f t="shared" si="65"/>
        <v>0</v>
      </c>
      <c r="BP181" s="311">
        <f t="shared" si="65"/>
        <v>0</v>
      </c>
      <c r="BQ181" s="311">
        <f t="shared" si="65"/>
        <v>0</v>
      </c>
      <c r="BR181" s="311">
        <f t="shared" si="65"/>
        <v>0</v>
      </c>
      <c r="BS181" s="311">
        <f t="shared" si="65"/>
        <v>0</v>
      </c>
      <c r="BT181" s="311">
        <f t="shared" si="65"/>
        <v>0</v>
      </c>
      <c r="BU181" s="311">
        <f t="shared" si="65"/>
        <v>0</v>
      </c>
      <c r="BV181" s="311">
        <f t="shared" si="65"/>
        <v>0</v>
      </c>
      <c r="BW181" s="311">
        <f t="shared" si="65"/>
        <v>0</v>
      </c>
      <c r="BX181" s="311">
        <f t="shared" si="65"/>
        <v>0</v>
      </c>
      <c r="BY181" s="307"/>
      <c r="BZ181" s="307"/>
      <c r="CA181" s="222"/>
      <c r="CB181" s="222"/>
      <c r="CC181" s="222"/>
      <c r="CD181" s="222"/>
      <c r="CE181" s="222"/>
      <c r="CF181" s="222"/>
      <c r="CG181" s="222"/>
      <c r="CH181" s="222"/>
      <c r="CI181" s="222"/>
      <c r="CJ181" s="222"/>
      <c r="CK181" s="222"/>
      <c r="CL181" s="222"/>
      <c r="CM181" s="222"/>
      <c r="CN181" s="222"/>
      <c r="CO181" s="222"/>
      <c r="CP181" s="222"/>
      <c r="CQ181" s="222"/>
      <c r="CR181" s="222"/>
      <c r="CS181" s="222"/>
      <c r="CT181" s="222"/>
      <c r="CU181" s="222"/>
      <c r="CV181" s="222"/>
      <c r="CW181" s="222"/>
      <c r="CX181" s="222"/>
      <c r="CY181" s="222"/>
      <c r="CZ181" s="222"/>
      <c r="DA181" s="222"/>
      <c r="DB181" s="222"/>
      <c r="DC181" s="222"/>
      <c r="DD181" s="222"/>
      <c r="DE181" s="222"/>
      <c r="DF181" s="222"/>
      <c r="DG181" s="222"/>
      <c r="DH181" s="222"/>
      <c r="DI181" s="222"/>
      <c r="DJ181" s="222"/>
      <c r="DK181" s="222"/>
      <c r="DL181" s="222"/>
      <c r="DM181" s="222"/>
      <c r="DN181" s="222"/>
      <c r="DO181" s="222"/>
      <c r="DP181" s="222"/>
      <c r="DQ181" s="222"/>
      <c r="DR181" s="222"/>
      <c r="DS181" s="222"/>
      <c r="DT181" s="222"/>
      <c r="DU181" s="222"/>
      <c r="DV181" s="222"/>
      <c r="DW181" s="222"/>
      <c r="DX181" s="222"/>
      <c r="DY181" s="222"/>
      <c r="DZ181" s="222"/>
      <c r="EA181" s="222"/>
      <c r="EB181" s="222"/>
      <c r="EC181" s="222"/>
      <c r="ED181" s="222"/>
      <c r="EE181" s="222"/>
      <c r="EF181" s="222"/>
      <c r="EG181" s="222"/>
      <c r="EH181" s="222"/>
    </row>
    <row r="182" spans="1:138">
      <c r="A182" s="222"/>
      <c r="B182" s="318"/>
      <c r="C182" s="310" t="s">
        <v>297</v>
      </c>
      <c r="D182" s="319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  <c r="O182" s="311"/>
      <c r="P182" s="311"/>
      <c r="Q182" s="311"/>
      <c r="R182" s="311"/>
      <c r="S182" s="311"/>
      <c r="T182" s="311">
        <v>2750000</v>
      </c>
      <c r="U182" s="311"/>
      <c r="V182" s="311"/>
      <c r="W182" s="311"/>
      <c r="X182" s="311"/>
      <c r="Y182" s="311"/>
      <c r="Z182" s="311"/>
      <c r="AA182" s="311"/>
      <c r="AB182" s="311"/>
      <c r="AC182" s="311"/>
      <c r="AD182" s="311"/>
      <c r="AE182" s="311"/>
      <c r="AF182" s="311"/>
      <c r="AG182" s="311"/>
      <c r="AH182" s="311"/>
      <c r="AI182" s="311"/>
      <c r="AJ182" s="311"/>
      <c r="AK182" s="311"/>
      <c r="AL182" s="311"/>
      <c r="AM182" s="311"/>
      <c r="AN182" s="311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1"/>
      <c r="AZ182" s="311"/>
      <c r="BA182" s="311"/>
      <c r="BB182" s="311"/>
      <c r="BC182" s="312"/>
      <c r="BD182" s="311"/>
      <c r="BE182" s="311"/>
      <c r="BF182" s="311"/>
      <c r="BG182" s="311"/>
      <c r="BH182" s="311"/>
      <c r="BI182" s="311"/>
      <c r="BJ182" s="311"/>
      <c r="BK182" s="311"/>
      <c r="BL182" s="311"/>
      <c r="BM182" s="311"/>
      <c r="BN182" s="311"/>
      <c r="BO182" s="311"/>
      <c r="BP182" s="311"/>
      <c r="BQ182" s="311"/>
      <c r="BR182" s="311"/>
      <c r="BS182" s="311"/>
      <c r="BT182" s="311"/>
      <c r="BU182" s="311"/>
      <c r="BV182" s="311"/>
      <c r="BW182" s="311"/>
      <c r="BX182" s="311">
        <f>IF(D106&gt;0.25,(BX101-BX109)*D183,BX101*D183)</f>
        <v>0</v>
      </c>
      <c r="BY182" s="307"/>
      <c r="BZ182" s="307"/>
      <c r="CA182" s="222"/>
      <c r="CB182" s="222"/>
      <c r="CC182" s="222"/>
      <c r="CD182" s="222"/>
      <c r="CE182" s="222"/>
      <c r="CF182" s="222"/>
      <c r="CG182" s="222"/>
      <c r="CH182" s="222"/>
      <c r="CI182" s="222"/>
      <c r="CJ182" s="222"/>
      <c r="CK182" s="222"/>
      <c r="CL182" s="222"/>
      <c r="CM182" s="222"/>
      <c r="CN182" s="222"/>
      <c r="CO182" s="222"/>
      <c r="CP182" s="222"/>
      <c r="CQ182" s="222"/>
      <c r="CR182" s="222"/>
      <c r="CS182" s="222"/>
      <c r="CT182" s="222"/>
      <c r="CU182" s="222"/>
      <c r="CV182" s="222"/>
      <c r="CW182" s="222"/>
      <c r="CX182" s="222"/>
      <c r="CY182" s="222"/>
      <c r="CZ182" s="222"/>
      <c r="DA182" s="222"/>
      <c r="DB182" s="222"/>
      <c r="DC182" s="222"/>
      <c r="DD182" s="222"/>
      <c r="DE182" s="222"/>
      <c r="DF182" s="222"/>
      <c r="DG182" s="222"/>
      <c r="DH182" s="222"/>
      <c r="DI182" s="222"/>
      <c r="DJ182" s="222"/>
      <c r="DK182" s="222"/>
      <c r="DL182" s="222"/>
      <c r="DM182" s="222"/>
      <c r="DN182" s="222"/>
      <c r="DO182" s="222"/>
      <c r="DP182" s="222"/>
      <c r="DQ182" s="222"/>
      <c r="DR182" s="222"/>
      <c r="DS182" s="222"/>
      <c r="DT182" s="222"/>
      <c r="DU182" s="222"/>
      <c r="DV182" s="222"/>
      <c r="DW182" s="222"/>
      <c r="DX182" s="222"/>
      <c r="DY182" s="222"/>
      <c r="DZ182" s="222"/>
      <c r="EA182" s="222"/>
      <c r="EB182" s="222"/>
      <c r="EC182" s="222"/>
      <c r="ED182" s="222"/>
      <c r="EE182" s="222"/>
      <c r="EF182" s="222"/>
      <c r="EG182" s="222"/>
      <c r="EH182" s="222"/>
    </row>
    <row r="183" spans="1:138">
      <c r="A183" s="222"/>
      <c r="B183" s="318"/>
      <c r="C183" s="313" t="s">
        <v>298</v>
      </c>
      <c r="D183" s="319">
        <v>0</v>
      </c>
      <c r="E183" s="311"/>
      <c r="F183" s="311"/>
      <c r="G183" s="311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311"/>
      <c r="V183" s="311"/>
      <c r="W183" s="311"/>
      <c r="X183" s="311"/>
      <c r="Y183" s="311"/>
      <c r="Z183" s="311"/>
      <c r="AA183" s="311"/>
      <c r="AB183" s="311"/>
      <c r="AC183" s="311"/>
      <c r="AD183" s="311"/>
      <c r="AE183" s="311"/>
      <c r="AF183" s="311"/>
      <c r="AG183" s="311"/>
      <c r="AH183" s="311"/>
      <c r="AI183" s="311"/>
      <c r="AJ183" s="311"/>
      <c r="AK183" s="311"/>
      <c r="AL183" s="311"/>
      <c r="AM183" s="311"/>
      <c r="AN183" s="311"/>
      <c r="AO183" s="311"/>
      <c r="AP183" s="311"/>
      <c r="AQ183" s="311"/>
      <c r="AR183" s="311"/>
      <c r="AS183" s="311"/>
      <c r="AT183" s="311"/>
      <c r="AU183" s="311"/>
      <c r="AV183" s="311"/>
      <c r="AW183" s="311"/>
      <c r="AX183" s="311"/>
      <c r="AY183" s="311"/>
      <c r="AZ183" s="311"/>
      <c r="BA183" s="311"/>
      <c r="BB183" s="311"/>
      <c r="BC183" s="312"/>
      <c r="BD183" s="311"/>
      <c r="BE183" s="311"/>
      <c r="BF183" s="311"/>
      <c r="BG183" s="311"/>
      <c r="BH183" s="311"/>
      <c r="BI183" s="311"/>
      <c r="BJ183" s="311"/>
      <c r="BK183" s="311"/>
      <c r="BL183" s="311"/>
      <c r="BM183" s="311"/>
      <c r="BN183" s="311"/>
      <c r="BO183" s="311"/>
      <c r="BP183" s="311"/>
      <c r="BQ183" s="311"/>
      <c r="BR183" s="311"/>
      <c r="BS183" s="311"/>
      <c r="BT183" s="311"/>
      <c r="BU183" s="311"/>
      <c r="BV183" s="311"/>
      <c r="BW183" s="311"/>
      <c r="BX183" s="311"/>
      <c r="BY183" s="307"/>
      <c r="BZ183" s="307"/>
      <c r="CA183" s="222"/>
      <c r="CB183" s="222"/>
      <c r="CC183" s="222"/>
      <c r="CD183" s="222"/>
      <c r="CE183" s="222"/>
      <c r="CF183" s="222"/>
      <c r="CG183" s="222"/>
      <c r="CH183" s="222"/>
      <c r="CI183" s="222"/>
      <c r="CJ183" s="222"/>
      <c r="CK183" s="222"/>
      <c r="CL183" s="222"/>
      <c r="CM183" s="222"/>
      <c r="CN183" s="222"/>
      <c r="CO183" s="222"/>
      <c r="CP183" s="222"/>
      <c r="CQ183" s="222"/>
      <c r="CR183" s="222"/>
      <c r="CS183" s="222"/>
      <c r="CT183" s="222"/>
      <c r="CU183" s="222"/>
      <c r="CV183" s="222"/>
      <c r="CW183" s="222"/>
      <c r="CX183" s="222"/>
      <c r="CY183" s="222"/>
      <c r="CZ183" s="222"/>
      <c r="DA183" s="222"/>
      <c r="DB183" s="222"/>
      <c r="DC183" s="222"/>
      <c r="DD183" s="222"/>
      <c r="DE183" s="222"/>
      <c r="DF183" s="222"/>
      <c r="DG183" s="222"/>
      <c r="DH183" s="222"/>
      <c r="DI183" s="222"/>
      <c r="DJ183" s="222"/>
      <c r="DK183" s="222"/>
      <c r="DL183" s="222"/>
      <c r="DM183" s="222"/>
      <c r="DN183" s="222"/>
      <c r="DO183" s="222"/>
      <c r="DP183" s="222"/>
      <c r="DQ183" s="222"/>
      <c r="DR183" s="222"/>
      <c r="DS183" s="222"/>
      <c r="DT183" s="222"/>
      <c r="DU183" s="222"/>
      <c r="DV183" s="222"/>
      <c r="DW183" s="222"/>
      <c r="DX183" s="222"/>
      <c r="DY183" s="222"/>
      <c r="DZ183" s="222"/>
      <c r="EA183" s="222"/>
      <c r="EB183" s="222"/>
      <c r="EC183" s="222"/>
      <c r="ED183" s="222"/>
      <c r="EE183" s="222"/>
      <c r="EF183" s="222"/>
      <c r="EG183" s="222"/>
      <c r="EH183" s="222"/>
    </row>
    <row r="184" spans="1:138">
      <c r="A184" s="222"/>
      <c r="B184" s="318"/>
      <c r="C184" s="310" t="s">
        <v>299</v>
      </c>
      <c r="D184" s="311"/>
      <c r="E184" s="321">
        <f t="shared" ref="E184:BX184" si="66">E179+E180+E181+E182+E183</f>
        <v>0</v>
      </c>
      <c r="F184" s="321">
        <f t="shared" si="66"/>
        <v>0</v>
      </c>
      <c r="G184" s="321">
        <f t="shared" si="66"/>
        <v>0</v>
      </c>
      <c r="H184" s="321">
        <f t="shared" si="66"/>
        <v>-5341205.5</v>
      </c>
      <c r="I184" s="321">
        <f t="shared" si="66"/>
        <v>0</v>
      </c>
      <c r="J184" s="321">
        <f t="shared" si="66"/>
        <v>0</v>
      </c>
      <c r="K184" s="321">
        <f t="shared" si="66"/>
        <v>0</v>
      </c>
      <c r="L184" s="321">
        <f t="shared" si="66"/>
        <v>0</v>
      </c>
      <c r="M184" s="321">
        <f t="shared" si="66"/>
        <v>0</v>
      </c>
      <c r="N184" s="321">
        <f t="shared" si="66"/>
        <v>0</v>
      </c>
      <c r="O184" s="321">
        <f t="shared" si="66"/>
        <v>0</v>
      </c>
      <c r="P184" s="321">
        <f t="shared" si="66"/>
        <v>0</v>
      </c>
      <c r="Q184" s="321">
        <f t="shared" si="66"/>
        <v>0</v>
      </c>
      <c r="R184" s="321">
        <f t="shared" si="66"/>
        <v>0</v>
      </c>
      <c r="S184" s="321">
        <f t="shared" si="66"/>
        <v>0</v>
      </c>
      <c r="T184" s="321">
        <f t="shared" si="66"/>
        <v>8091205.5</v>
      </c>
      <c r="U184" s="321">
        <f t="shared" si="66"/>
        <v>0</v>
      </c>
      <c r="V184" s="321">
        <f t="shared" si="66"/>
        <v>0</v>
      </c>
      <c r="W184" s="321">
        <f t="shared" si="66"/>
        <v>0</v>
      </c>
      <c r="X184" s="321">
        <f t="shared" si="66"/>
        <v>0</v>
      </c>
      <c r="Y184" s="321">
        <f t="shared" si="66"/>
        <v>0</v>
      </c>
      <c r="Z184" s="321">
        <f t="shared" si="66"/>
        <v>0</v>
      </c>
      <c r="AA184" s="321">
        <f t="shared" si="66"/>
        <v>0</v>
      </c>
      <c r="AB184" s="321">
        <f t="shared" si="66"/>
        <v>0</v>
      </c>
      <c r="AC184" s="321">
        <f t="shared" si="66"/>
        <v>0</v>
      </c>
      <c r="AD184" s="321">
        <f t="shared" si="66"/>
        <v>0</v>
      </c>
      <c r="AE184" s="321">
        <f t="shared" si="66"/>
        <v>0</v>
      </c>
      <c r="AF184" s="321">
        <f t="shared" si="66"/>
        <v>0</v>
      </c>
      <c r="AG184" s="321">
        <f t="shared" si="66"/>
        <v>0</v>
      </c>
      <c r="AH184" s="321">
        <f t="shared" si="66"/>
        <v>0</v>
      </c>
      <c r="AI184" s="321">
        <f t="shared" si="66"/>
        <v>0</v>
      </c>
      <c r="AJ184" s="321">
        <f t="shared" si="66"/>
        <v>0</v>
      </c>
      <c r="AK184" s="321">
        <f t="shared" si="66"/>
        <v>0</v>
      </c>
      <c r="AL184" s="321">
        <f t="shared" si="66"/>
        <v>0</v>
      </c>
      <c r="AM184" s="321">
        <f t="shared" si="66"/>
        <v>0</v>
      </c>
      <c r="AN184" s="321">
        <f t="shared" si="66"/>
        <v>0</v>
      </c>
      <c r="AO184" s="321">
        <f t="shared" si="66"/>
        <v>0</v>
      </c>
      <c r="AP184" s="321">
        <f t="shared" si="66"/>
        <v>0</v>
      </c>
      <c r="AQ184" s="321">
        <f t="shared" si="66"/>
        <v>0</v>
      </c>
      <c r="AR184" s="321">
        <f t="shared" si="66"/>
        <v>0</v>
      </c>
      <c r="AS184" s="321">
        <f t="shared" si="66"/>
        <v>0</v>
      </c>
      <c r="AT184" s="321">
        <f t="shared" si="66"/>
        <v>0</v>
      </c>
      <c r="AU184" s="321">
        <f t="shared" si="66"/>
        <v>0</v>
      </c>
      <c r="AV184" s="321">
        <f t="shared" si="66"/>
        <v>0</v>
      </c>
      <c r="AW184" s="321">
        <f t="shared" si="66"/>
        <v>0</v>
      </c>
      <c r="AX184" s="321">
        <f t="shared" si="66"/>
        <v>0</v>
      </c>
      <c r="AY184" s="321">
        <f t="shared" si="66"/>
        <v>0</v>
      </c>
      <c r="AZ184" s="321">
        <f t="shared" si="66"/>
        <v>0</v>
      </c>
      <c r="BA184" s="321">
        <f t="shared" si="66"/>
        <v>0</v>
      </c>
      <c r="BB184" s="321">
        <f t="shared" si="66"/>
        <v>0</v>
      </c>
      <c r="BC184" s="321">
        <f t="shared" si="66"/>
        <v>0</v>
      </c>
      <c r="BD184" s="321">
        <f t="shared" si="66"/>
        <v>0</v>
      </c>
      <c r="BE184" s="321">
        <f t="shared" si="66"/>
        <v>0</v>
      </c>
      <c r="BF184" s="321">
        <f t="shared" si="66"/>
        <v>0</v>
      </c>
      <c r="BG184" s="321">
        <f t="shared" si="66"/>
        <v>0</v>
      </c>
      <c r="BH184" s="321">
        <f t="shared" si="66"/>
        <v>0</v>
      </c>
      <c r="BI184" s="321">
        <f t="shared" si="66"/>
        <v>0</v>
      </c>
      <c r="BJ184" s="321">
        <f t="shared" si="66"/>
        <v>0</v>
      </c>
      <c r="BK184" s="321">
        <f t="shared" si="66"/>
        <v>0</v>
      </c>
      <c r="BL184" s="321">
        <f t="shared" si="66"/>
        <v>0</v>
      </c>
      <c r="BM184" s="321">
        <f t="shared" si="66"/>
        <v>0</v>
      </c>
      <c r="BN184" s="321">
        <f t="shared" si="66"/>
        <v>0</v>
      </c>
      <c r="BO184" s="321">
        <f t="shared" si="66"/>
        <v>0</v>
      </c>
      <c r="BP184" s="321">
        <f t="shared" si="66"/>
        <v>0</v>
      </c>
      <c r="BQ184" s="321">
        <f t="shared" si="66"/>
        <v>0</v>
      </c>
      <c r="BR184" s="321">
        <f t="shared" si="66"/>
        <v>0</v>
      </c>
      <c r="BS184" s="321">
        <f t="shared" si="66"/>
        <v>0</v>
      </c>
      <c r="BT184" s="321">
        <f t="shared" si="66"/>
        <v>0</v>
      </c>
      <c r="BU184" s="321">
        <f t="shared" si="66"/>
        <v>0</v>
      </c>
      <c r="BV184" s="321">
        <f t="shared" si="66"/>
        <v>0</v>
      </c>
      <c r="BW184" s="321">
        <f t="shared" si="66"/>
        <v>0</v>
      </c>
      <c r="BX184" s="321">
        <f t="shared" si="66"/>
        <v>0</v>
      </c>
      <c r="BY184" s="222"/>
      <c r="BZ184" s="222"/>
      <c r="CA184" s="222"/>
      <c r="CB184" s="222"/>
      <c r="CC184" s="222"/>
      <c r="CD184" s="222"/>
      <c r="CE184" s="222"/>
      <c r="CF184" s="222"/>
      <c r="CG184" s="222"/>
      <c r="CH184" s="222"/>
      <c r="CI184" s="222"/>
      <c r="CJ184" s="222"/>
      <c r="CK184" s="222"/>
      <c r="CL184" s="222"/>
      <c r="CM184" s="222"/>
      <c r="CN184" s="222"/>
      <c r="CO184" s="222"/>
      <c r="CP184" s="222"/>
      <c r="CQ184" s="222"/>
      <c r="CR184" s="222"/>
      <c r="CS184" s="222"/>
      <c r="CT184" s="222"/>
      <c r="CU184" s="222"/>
      <c r="CV184" s="222"/>
      <c r="CW184" s="222"/>
      <c r="CX184" s="222"/>
      <c r="CY184" s="222"/>
      <c r="CZ184" s="222"/>
      <c r="DA184" s="222"/>
      <c r="DB184" s="222"/>
      <c r="DC184" s="222"/>
      <c r="DD184" s="222"/>
      <c r="DE184" s="222"/>
      <c r="DF184" s="222"/>
      <c r="DG184" s="222"/>
      <c r="DH184" s="222"/>
      <c r="DI184" s="222"/>
      <c r="DJ184" s="222"/>
      <c r="DK184" s="222"/>
      <c r="DL184" s="222"/>
      <c r="DM184" s="222"/>
      <c r="DN184" s="222"/>
      <c r="DO184" s="222"/>
      <c r="DP184" s="222"/>
      <c r="DQ184" s="222"/>
      <c r="DR184" s="222"/>
      <c r="DS184" s="222"/>
      <c r="DT184" s="222"/>
      <c r="DU184" s="222"/>
      <c r="DV184" s="222"/>
      <c r="DW184" s="222"/>
      <c r="DX184" s="222"/>
      <c r="DY184" s="222"/>
      <c r="DZ184" s="222"/>
      <c r="EA184" s="222"/>
      <c r="EB184" s="222"/>
      <c r="EC184" s="222"/>
      <c r="ED184" s="222"/>
      <c r="EE184" s="222"/>
      <c r="EF184" s="222"/>
      <c r="EG184" s="222"/>
      <c r="EH184" s="222"/>
    </row>
    <row r="185" spans="1:138">
      <c r="A185" s="222"/>
      <c r="B185" s="318"/>
      <c r="C185" s="314"/>
      <c r="D185" s="322" t="s">
        <v>306</v>
      </c>
      <c r="E185" s="327">
        <f>E184</f>
        <v>0</v>
      </c>
      <c r="F185" s="327">
        <f t="shared" ref="F185:BX185" si="67">E185+F184</f>
        <v>0</v>
      </c>
      <c r="G185" s="327">
        <f t="shared" si="67"/>
        <v>0</v>
      </c>
      <c r="H185" s="327">
        <f t="shared" si="67"/>
        <v>-5341205.5</v>
      </c>
      <c r="I185" s="327">
        <f t="shared" si="67"/>
        <v>-5341205.5</v>
      </c>
      <c r="J185" s="327">
        <f t="shared" si="67"/>
        <v>-5341205.5</v>
      </c>
      <c r="K185" s="327">
        <f t="shared" si="67"/>
        <v>-5341205.5</v>
      </c>
      <c r="L185" s="327">
        <f t="shared" si="67"/>
        <v>-5341205.5</v>
      </c>
      <c r="M185" s="327">
        <f t="shared" si="67"/>
        <v>-5341205.5</v>
      </c>
      <c r="N185" s="327">
        <f t="shared" si="67"/>
        <v>-5341205.5</v>
      </c>
      <c r="O185" s="327">
        <f t="shared" si="67"/>
        <v>-5341205.5</v>
      </c>
      <c r="P185" s="327">
        <f t="shared" si="67"/>
        <v>-5341205.5</v>
      </c>
      <c r="Q185" s="327">
        <f t="shared" si="67"/>
        <v>-5341205.5</v>
      </c>
      <c r="R185" s="327">
        <f t="shared" si="67"/>
        <v>-5341205.5</v>
      </c>
      <c r="S185" s="327">
        <f t="shared" si="67"/>
        <v>-5341205.5</v>
      </c>
      <c r="T185" s="327">
        <f t="shared" si="67"/>
        <v>2750000</v>
      </c>
      <c r="U185" s="327">
        <f t="shared" si="67"/>
        <v>2750000</v>
      </c>
      <c r="V185" s="328">
        <f t="shared" si="67"/>
        <v>2750000</v>
      </c>
      <c r="W185" s="328">
        <f t="shared" si="67"/>
        <v>2750000</v>
      </c>
      <c r="X185" s="328">
        <f t="shared" si="67"/>
        <v>2750000</v>
      </c>
      <c r="Y185" s="328">
        <f t="shared" si="67"/>
        <v>2750000</v>
      </c>
      <c r="Z185" s="328">
        <f t="shared" si="67"/>
        <v>2750000</v>
      </c>
      <c r="AA185" s="328">
        <f t="shared" si="67"/>
        <v>2750000</v>
      </c>
      <c r="AB185" s="328">
        <f t="shared" si="67"/>
        <v>2750000</v>
      </c>
      <c r="AC185" s="328">
        <f t="shared" si="67"/>
        <v>2750000</v>
      </c>
      <c r="AD185" s="328">
        <f t="shared" si="67"/>
        <v>2750000</v>
      </c>
      <c r="AE185" s="328">
        <f t="shared" si="67"/>
        <v>2750000</v>
      </c>
      <c r="AF185" s="328">
        <f t="shared" si="67"/>
        <v>2750000</v>
      </c>
      <c r="AG185" s="328">
        <f t="shared" si="67"/>
        <v>2750000</v>
      </c>
      <c r="AH185" s="328">
        <f t="shared" si="67"/>
        <v>2750000</v>
      </c>
      <c r="AI185" s="328">
        <f t="shared" si="67"/>
        <v>2750000</v>
      </c>
      <c r="AJ185" s="328">
        <f t="shared" si="67"/>
        <v>2750000</v>
      </c>
      <c r="AK185" s="328">
        <f t="shared" si="67"/>
        <v>2750000</v>
      </c>
      <c r="AL185" s="328">
        <f t="shared" si="67"/>
        <v>2750000</v>
      </c>
      <c r="AM185" s="328">
        <f t="shared" si="67"/>
        <v>2750000</v>
      </c>
      <c r="AN185" s="328">
        <f t="shared" si="67"/>
        <v>2750000</v>
      </c>
      <c r="AO185" s="328">
        <f t="shared" si="67"/>
        <v>2750000</v>
      </c>
      <c r="AP185" s="328">
        <f t="shared" si="67"/>
        <v>2750000</v>
      </c>
      <c r="AQ185" s="328">
        <f t="shared" si="67"/>
        <v>2750000</v>
      </c>
      <c r="AR185" s="328">
        <f t="shared" si="67"/>
        <v>2750000</v>
      </c>
      <c r="AS185" s="328">
        <f t="shared" si="67"/>
        <v>2750000</v>
      </c>
      <c r="AT185" s="328">
        <f t="shared" si="67"/>
        <v>2750000</v>
      </c>
      <c r="AU185" s="328">
        <f t="shared" si="67"/>
        <v>2750000</v>
      </c>
      <c r="AV185" s="328">
        <f t="shared" si="67"/>
        <v>2750000</v>
      </c>
      <c r="AW185" s="328">
        <f t="shared" si="67"/>
        <v>2750000</v>
      </c>
      <c r="AX185" s="328">
        <f t="shared" si="67"/>
        <v>2750000</v>
      </c>
      <c r="AY185" s="328">
        <f t="shared" si="67"/>
        <v>2750000</v>
      </c>
      <c r="AZ185" s="328">
        <f t="shared" si="67"/>
        <v>2750000</v>
      </c>
      <c r="BA185" s="328">
        <f t="shared" si="67"/>
        <v>2750000</v>
      </c>
      <c r="BB185" s="328">
        <f t="shared" si="67"/>
        <v>2750000</v>
      </c>
      <c r="BC185" s="327">
        <f t="shared" si="67"/>
        <v>2750000</v>
      </c>
      <c r="BD185" s="327">
        <f t="shared" si="67"/>
        <v>2750000</v>
      </c>
      <c r="BE185" s="327">
        <f t="shared" si="67"/>
        <v>2750000</v>
      </c>
      <c r="BF185" s="327">
        <f t="shared" si="67"/>
        <v>2750000</v>
      </c>
      <c r="BG185" s="327">
        <f t="shared" si="67"/>
        <v>2750000</v>
      </c>
      <c r="BH185" s="327">
        <f t="shared" si="67"/>
        <v>2750000</v>
      </c>
      <c r="BI185" s="327">
        <f t="shared" si="67"/>
        <v>2750000</v>
      </c>
      <c r="BJ185" s="327">
        <f t="shared" si="67"/>
        <v>2750000</v>
      </c>
      <c r="BK185" s="327">
        <f t="shared" si="67"/>
        <v>2750000</v>
      </c>
      <c r="BL185" s="327">
        <f t="shared" si="67"/>
        <v>2750000</v>
      </c>
      <c r="BM185" s="327">
        <f t="shared" si="67"/>
        <v>2750000</v>
      </c>
      <c r="BN185" s="327">
        <f t="shared" si="67"/>
        <v>2750000</v>
      </c>
      <c r="BO185" s="327">
        <f t="shared" si="67"/>
        <v>2750000</v>
      </c>
      <c r="BP185" s="327">
        <f t="shared" si="67"/>
        <v>2750000</v>
      </c>
      <c r="BQ185" s="327">
        <f t="shared" si="67"/>
        <v>2750000</v>
      </c>
      <c r="BR185" s="327">
        <f t="shared" si="67"/>
        <v>2750000</v>
      </c>
      <c r="BS185" s="327">
        <f t="shared" si="67"/>
        <v>2750000</v>
      </c>
      <c r="BT185" s="327">
        <f t="shared" si="67"/>
        <v>2750000</v>
      </c>
      <c r="BU185" s="327">
        <f t="shared" si="67"/>
        <v>2750000</v>
      </c>
      <c r="BV185" s="327">
        <f t="shared" si="67"/>
        <v>2750000</v>
      </c>
      <c r="BW185" s="327">
        <f t="shared" si="67"/>
        <v>2750000</v>
      </c>
      <c r="BX185" s="327">
        <f t="shared" si="67"/>
        <v>2750000</v>
      </c>
      <c r="BY185" s="222"/>
      <c r="BZ185" s="222"/>
      <c r="CA185" s="222"/>
      <c r="CB185" s="222"/>
      <c r="CC185" s="222"/>
      <c r="CD185" s="222"/>
      <c r="CE185" s="222"/>
      <c r="CF185" s="222"/>
      <c r="CG185" s="222"/>
      <c r="CH185" s="222"/>
      <c r="CI185" s="222"/>
      <c r="CJ185" s="222"/>
      <c r="CK185" s="222"/>
      <c r="CL185" s="222"/>
      <c r="CM185" s="222"/>
      <c r="CN185" s="222"/>
      <c r="CO185" s="222"/>
      <c r="CP185" s="222"/>
      <c r="CQ185" s="222"/>
      <c r="CR185" s="222"/>
      <c r="CS185" s="222"/>
      <c r="CT185" s="222"/>
      <c r="CU185" s="222"/>
      <c r="CV185" s="222"/>
      <c r="CW185" s="222"/>
      <c r="CX185" s="222"/>
      <c r="CY185" s="222"/>
      <c r="CZ185" s="222"/>
      <c r="DA185" s="222"/>
      <c r="DB185" s="222"/>
      <c r="DC185" s="222"/>
      <c r="DD185" s="222"/>
      <c r="DE185" s="222"/>
      <c r="DF185" s="222"/>
      <c r="DG185" s="222"/>
      <c r="DH185" s="222"/>
      <c r="DI185" s="222"/>
      <c r="DJ185" s="222"/>
      <c r="DK185" s="222"/>
      <c r="DL185" s="222"/>
      <c r="DM185" s="222"/>
      <c r="DN185" s="222"/>
      <c r="DO185" s="222"/>
      <c r="DP185" s="222"/>
      <c r="DQ185" s="222"/>
      <c r="DR185" s="222"/>
      <c r="DS185" s="222"/>
      <c r="DT185" s="222"/>
      <c r="DU185" s="222"/>
      <c r="DV185" s="222"/>
      <c r="DW185" s="222"/>
      <c r="DX185" s="222"/>
      <c r="DY185" s="222"/>
      <c r="DZ185" s="222"/>
      <c r="EA185" s="222"/>
      <c r="EB185" s="222"/>
      <c r="EC185" s="222"/>
      <c r="ED185" s="222"/>
      <c r="EE185" s="222"/>
      <c r="EF185" s="222"/>
      <c r="EG185" s="222"/>
      <c r="EH185" s="222"/>
    </row>
    <row r="186" spans="1:138">
      <c r="A186" s="222"/>
      <c r="B186" s="318"/>
      <c r="C186" s="313" t="s">
        <v>292</v>
      </c>
      <c r="D186" s="322">
        <f>IRR(E184:BX184)*12</f>
        <v>0.42259732866030397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2"/>
      <c r="AX186" s="222"/>
      <c r="AY186" s="222"/>
      <c r="AZ186" s="222"/>
      <c r="BA186" s="222"/>
      <c r="BB186" s="222"/>
      <c r="BC186" s="222"/>
      <c r="BD186" s="222"/>
      <c r="BE186" s="222"/>
      <c r="BF186" s="222"/>
      <c r="BG186" s="222"/>
      <c r="BH186" s="222"/>
      <c r="BI186" s="222"/>
      <c r="BJ186" s="222"/>
      <c r="BK186" s="222"/>
      <c r="BL186" s="222"/>
      <c r="BM186" s="222"/>
      <c r="BN186" s="222"/>
      <c r="BO186" s="222"/>
      <c r="BP186" s="222"/>
      <c r="BQ186" s="222"/>
      <c r="BR186" s="222"/>
      <c r="BS186" s="222"/>
      <c r="BT186" s="222"/>
      <c r="BU186" s="222"/>
      <c r="BV186" s="222"/>
      <c r="BW186" s="222"/>
      <c r="BX186" s="222"/>
      <c r="BY186" s="222"/>
      <c r="BZ186" s="222"/>
      <c r="CA186" s="222"/>
      <c r="CB186" s="222"/>
      <c r="CC186" s="222"/>
      <c r="CD186" s="222"/>
      <c r="CE186" s="222"/>
      <c r="CF186" s="222"/>
      <c r="CG186" s="222"/>
      <c r="CH186" s="222"/>
      <c r="CI186" s="222"/>
      <c r="CJ186" s="222"/>
      <c r="CK186" s="222"/>
      <c r="CL186" s="222"/>
      <c r="CM186" s="222"/>
      <c r="CN186" s="222"/>
      <c r="CO186" s="222"/>
      <c r="CP186" s="222"/>
      <c r="CQ186" s="222"/>
      <c r="CR186" s="222"/>
      <c r="CS186" s="222"/>
      <c r="CT186" s="222"/>
      <c r="CU186" s="222"/>
      <c r="CV186" s="222"/>
      <c r="CW186" s="222"/>
      <c r="CX186" s="222"/>
      <c r="CY186" s="222"/>
      <c r="CZ186" s="222"/>
      <c r="DA186" s="222"/>
      <c r="DB186" s="222"/>
      <c r="DC186" s="222"/>
      <c r="DD186" s="222"/>
      <c r="DE186" s="222"/>
      <c r="DF186" s="222"/>
      <c r="DG186" s="222"/>
      <c r="DH186" s="222"/>
      <c r="DI186" s="222"/>
      <c r="DJ186" s="222"/>
      <c r="DK186" s="222"/>
      <c r="DL186" s="222"/>
      <c r="DM186" s="222"/>
      <c r="DN186" s="222"/>
      <c r="DO186" s="222"/>
      <c r="DP186" s="222"/>
      <c r="DQ186" s="222"/>
      <c r="DR186" s="222"/>
      <c r="DS186" s="222"/>
      <c r="DT186" s="222"/>
      <c r="DU186" s="222"/>
      <c r="DV186" s="222"/>
      <c r="DW186" s="222"/>
      <c r="DX186" s="222"/>
      <c r="DY186" s="222"/>
      <c r="DZ186" s="222"/>
      <c r="EA186" s="222"/>
      <c r="EB186" s="222"/>
      <c r="EC186" s="222"/>
      <c r="ED186" s="222"/>
      <c r="EE186" s="222"/>
      <c r="EF186" s="222"/>
      <c r="EG186" s="222"/>
      <c r="EH186" s="222"/>
    </row>
    <row r="187" spans="1:138">
      <c r="A187" s="222"/>
      <c r="B187" s="318"/>
      <c r="C187" s="323" t="s">
        <v>300</v>
      </c>
      <c r="D187" s="324">
        <f>-MIN(M185:BL185)-D188</f>
        <v>5341205.5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2"/>
      <c r="AX187" s="222"/>
      <c r="AY187" s="222"/>
      <c r="AZ187" s="222"/>
      <c r="BA187" s="222"/>
      <c r="BB187" s="222"/>
      <c r="BC187" s="222"/>
      <c r="BD187" s="222"/>
      <c r="BE187" s="222"/>
      <c r="BF187" s="222"/>
      <c r="BG187" s="222"/>
      <c r="BH187" s="222"/>
      <c r="BI187" s="222"/>
      <c r="BJ187" s="222"/>
      <c r="BK187" s="222"/>
      <c r="BL187" s="222"/>
      <c r="BM187" s="222"/>
      <c r="BN187" s="222"/>
      <c r="BO187" s="222"/>
      <c r="BP187" s="222"/>
      <c r="BQ187" s="222"/>
      <c r="BR187" s="222"/>
      <c r="BS187" s="222"/>
      <c r="BT187" s="222"/>
      <c r="BU187" s="222"/>
      <c r="BV187" s="222"/>
      <c r="BW187" s="222"/>
      <c r="BX187" s="222"/>
      <c r="BY187" s="222"/>
      <c r="BZ187" s="222"/>
      <c r="CA187" s="222"/>
      <c r="CB187" s="222"/>
      <c r="CC187" s="222"/>
      <c r="CD187" s="222"/>
      <c r="CE187" s="222"/>
      <c r="CF187" s="222"/>
      <c r="CG187" s="222"/>
      <c r="CH187" s="222"/>
      <c r="CI187" s="222"/>
      <c r="CJ187" s="222"/>
      <c r="CK187" s="222"/>
      <c r="CL187" s="222"/>
      <c r="CM187" s="222"/>
      <c r="CN187" s="222"/>
      <c r="CO187" s="222"/>
      <c r="CP187" s="222"/>
      <c r="CQ187" s="222"/>
      <c r="CR187" s="222"/>
      <c r="CS187" s="222"/>
      <c r="CT187" s="222"/>
      <c r="CU187" s="222"/>
      <c r="CV187" s="222"/>
      <c r="CW187" s="222"/>
      <c r="CX187" s="222"/>
      <c r="CY187" s="222"/>
      <c r="CZ187" s="222"/>
      <c r="DA187" s="222"/>
      <c r="DB187" s="222"/>
      <c r="DC187" s="222"/>
      <c r="DD187" s="222"/>
      <c r="DE187" s="222"/>
      <c r="DF187" s="222"/>
      <c r="DG187" s="222"/>
      <c r="DH187" s="222"/>
      <c r="DI187" s="222"/>
      <c r="DJ187" s="222"/>
      <c r="DK187" s="222"/>
      <c r="DL187" s="222"/>
      <c r="DM187" s="222"/>
      <c r="DN187" s="222"/>
      <c r="DO187" s="222"/>
      <c r="DP187" s="222"/>
      <c r="DQ187" s="222"/>
      <c r="DR187" s="222"/>
      <c r="DS187" s="222"/>
      <c r="DT187" s="222"/>
      <c r="DU187" s="222"/>
      <c r="DV187" s="222"/>
      <c r="DW187" s="222"/>
      <c r="DX187" s="222"/>
      <c r="DY187" s="222"/>
      <c r="DZ187" s="222"/>
      <c r="EA187" s="222"/>
      <c r="EB187" s="222"/>
      <c r="EC187" s="222"/>
      <c r="ED187" s="222"/>
      <c r="EE187" s="222"/>
      <c r="EF187" s="222"/>
      <c r="EG187" s="222"/>
      <c r="EH187" s="222"/>
    </row>
    <row r="188" spans="1:138">
      <c r="A188" s="222"/>
      <c r="B188" s="318"/>
      <c r="C188" s="323" t="s">
        <v>301</v>
      </c>
      <c r="D188" s="324">
        <f>-SUM(M183:BB183)</f>
        <v>0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2"/>
      <c r="BN188" s="222"/>
      <c r="BO188" s="222"/>
      <c r="BP188" s="222"/>
      <c r="BQ188" s="222"/>
      <c r="BR188" s="222"/>
      <c r="BS188" s="222"/>
      <c r="BT188" s="222"/>
      <c r="BU188" s="222"/>
      <c r="BV188" s="222"/>
      <c r="BW188" s="222"/>
      <c r="BX188" s="222"/>
      <c r="BY188" s="222"/>
      <c r="BZ188" s="222"/>
      <c r="CA188" s="222"/>
      <c r="CB188" s="222"/>
      <c r="CC188" s="222"/>
      <c r="CD188" s="222"/>
      <c r="CE188" s="222"/>
      <c r="CF188" s="222"/>
      <c r="CG188" s="222"/>
      <c r="CH188" s="222"/>
      <c r="CI188" s="222"/>
      <c r="CJ188" s="222"/>
      <c r="CK188" s="222"/>
      <c r="CL188" s="222"/>
      <c r="CM188" s="222"/>
      <c r="CN188" s="222"/>
      <c r="CO188" s="222"/>
      <c r="CP188" s="222"/>
      <c r="CQ188" s="222"/>
      <c r="CR188" s="222"/>
      <c r="CS188" s="222"/>
      <c r="CT188" s="222"/>
      <c r="CU188" s="222"/>
      <c r="CV188" s="222"/>
      <c r="CW188" s="222"/>
      <c r="CX188" s="222"/>
      <c r="CY188" s="222"/>
      <c r="CZ188" s="222"/>
      <c r="DA188" s="222"/>
      <c r="DB188" s="222"/>
      <c r="DC188" s="222"/>
      <c r="DD188" s="222"/>
      <c r="DE188" s="222"/>
      <c r="DF188" s="222"/>
      <c r="DG188" s="222"/>
      <c r="DH188" s="222"/>
      <c r="DI188" s="222"/>
      <c r="DJ188" s="222"/>
      <c r="DK188" s="222"/>
      <c r="DL188" s="222"/>
      <c r="DM188" s="222"/>
      <c r="DN188" s="222"/>
      <c r="DO188" s="222"/>
      <c r="DP188" s="222"/>
      <c r="DQ188" s="222"/>
      <c r="DR188" s="222"/>
      <c r="DS188" s="222"/>
      <c r="DT188" s="222"/>
      <c r="DU188" s="222"/>
      <c r="DV188" s="222"/>
      <c r="DW188" s="222"/>
      <c r="DX188" s="222"/>
      <c r="DY188" s="222"/>
      <c r="DZ188" s="222"/>
      <c r="EA188" s="222"/>
      <c r="EB188" s="222"/>
      <c r="EC188" s="222"/>
      <c r="ED188" s="222"/>
      <c r="EE188" s="222"/>
      <c r="EF188" s="222"/>
      <c r="EG188" s="222"/>
      <c r="EH188" s="222"/>
    </row>
    <row r="189" spans="1:138">
      <c r="A189" s="222"/>
      <c r="B189" s="318"/>
      <c r="C189" s="313" t="s">
        <v>302</v>
      </c>
      <c r="D189" s="326">
        <f>D188+D187</f>
        <v>5341205.5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2"/>
      <c r="BN189" s="222"/>
      <c r="BO189" s="222"/>
      <c r="BP189" s="222"/>
      <c r="BQ189" s="222"/>
      <c r="BR189" s="222"/>
      <c r="BS189" s="222"/>
      <c r="BT189" s="222"/>
      <c r="BU189" s="222"/>
      <c r="BV189" s="222"/>
      <c r="BW189" s="222"/>
      <c r="BX189" s="222"/>
      <c r="BY189" s="222"/>
      <c r="BZ189" s="222"/>
      <c r="CA189" s="222"/>
      <c r="CB189" s="222"/>
      <c r="CC189" s="222"/>
      <c r="CD189" s="222"/>
      <c r="CE189" s="222"/>
      <c r="CF189" s="222"/>
      <c r="CG189" s="222"/>
      <c r="CH189" s="222"/>
      <c r="CI189" s="222"/>
      <c r="CJ189" s="222"/>
      <c r="CK189" s="222"/>
      <c r="CL189" s="222"/>
      <c r="CM189" s="222"/>
      <c r="CN189" s="222"/>
      <c r="CO189" s="222"/>
      <c r="CP189" s="222"/>
      <c r="CQ189" s="222"/>
      <c r="CR189" s="222"/>
      <c r="CS189" s="222"/>
      <c r="CT189" s="222"/>
      <c r="CU189" s="222"/>
      <c r="CV189" s="222"/>
      <c r="CW189" s="222"/>
      <c r="CX189" s="222"/>
      <c r="CY189" s="222"/>
      <c r="CZ189" s="222"/>
      <c r="DA189" s="222"/>
      <c r="DB189" s="222"/>
      <c r="DC189" s="222"/>
      <c r="DD189" s="222"/>
      <c r="DE189" s="222"/>
      <c r="DF189" s="222"/>
      <c r="DG189" s="222"/>
      <c r="DH189" s="222"/>
      <c r="DI189" s="222"/>
      <c r="DJ189" s="222"/>
      <c r="DK189" s="222"/>
      <c r="DL189" s="222"/>
      <c r="DM189" s="222"/>
      <c r="DN189" s="222"/>
      <c r="DO189" s="222"/>
      <c r="DP189" s="222"/>
      <c r="DQ189" s="222"/>
      <c r="DR189" s="222"/>
      <c r="DS189" s="222"/>
      <c r="DT189" s="222"/>
      <c r="DU189" s="222"/>
      <c r="DV189" s="222"/>
      <c r="DW189" s="325"/>
      <c r="DX189" s="325"/>
      <c r="DY189" s="325"/>
      <c r="DZ189" s="325"/>
      <c r="EA189" s="325"/>
      <c r="EB189" s="325"/>
      <c r="EC189" s="325"/>
      <c r="ED189" s="325"/>
      <c r="EE189" s="325"/>
      <c r="EF189" s="325"/>
      <c r="EG189" s="325"/>
      <c r="EH189" s="325"/>
    </row>
    <row r="190" spans="1:138">
      <c r="A190" s="222"/>
      <c r="B190" s="318"/>
      <c r="C190" s="313" t="s">
        <v>303</v>
      </c>
      <c r="D190" s="326">
        <f>BX181+BX182</f>
        <v>0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2"/>
      <c r="BN190" s="222"/>
      <c r="BO190" s="222"/>
      <c r="BP190" s="222"/>
      <c r="BQ190" s="222"/>
      <c r="BR190" s="222"/>
      <c r="BS190" s="222"/>
      <c r="BT190" s="222"/>
      <c r="BU190" s="222"/>
      <c r="BV190" s="222"/>
      <c r="BW190" s="222"/>
      <c r="BX190" s="222"/>
      <c r="BY190" s="222"/>
      <c r="BZ190" s="222"/>
      <c r="CA190" s="222"/>
      <c r="CB190" s="222"/>
      <c r="CC190" s="222"/>
      <c r="CD190" s="222"/>
      <c r="CE190" s="222"/>
      <c r="CF190" s="222"/>
      <c r="CG190" s="222"/>
      <c r="CH190" s="222"/>
      <c r="CI190" s="222"/>
      <c r="CJ190" s="222"/>
      <c r="CK190" s="222"/>
      <c r="CL190" s="222"/>
      <c r="CM190" s="222"/>
      <c r="CN190" s="222"/>
      <c r="CO190" s="222"/>
      <c r="CP190" s="222"/>
      <c r="CQ190" s="222"/>
      <c r="CR190" s="222"/>
      <c r="CS190" s="222"/>
      <c r="CT190" s="222"/>
      <c r="CU190" s="222"/>
      <c r="CV190" s="222"/>
      <c r="CW190" s="222"/>
      <c r="CX190" s="222"/>
      <c r="CY190" s="222"/>
      <c r="CZ190" s="222"/>
      <c r="DA190" s="222"/>
      <c r="DB190" s="222"/>
      <c r="DC190" s="222"/>
      <c r="DD190" s="222"/>
      <c r="DE190" s="222"/>
      <c r="DF190" s="222"/>
      <c r="DG190" s="222"/>
      <c r="DH190" s="222"/>
      <c r="DI190" s="222"/>
      <c r="DJ190" s="222"/>
      <c r="DK190" s="222"/>
      <c r="DL190" s="222"/>
      <c r="DM190" s="222"/>
      <c r="DN190" s="222"/>
      <c r="DO190" s="222"/>
      <c r="DP190" s="222"/>
      <c r="DQ190" s="222"/>
      <c r="DR190" s="222"/>
      <c r="DS190" s="222"/>
      <c r="DT190" s="222"/>
      <c r="DU190" s="222"/>
      <c r="DV190" s="222"/>
      <c r="DW190" s="325"/>
      <c r="DX190" s="325"/>
      <c r="DY190" s="325"/>
      <c r="DZ190" s="325"/>
      <c r="EA190" s="325"/>
      <c r="EB190" s="325"/>
      <c r="EC190" s="325"/>
      <c r="ED190" s="325"/>
      <c r="EE190" s="325"/>
      <c r="EF190" s="325"/>
      <c r="EG190" s="325"/>
      <c r="EH190" s="325"/>
    </row>
    <row r="191" spans="1:138">
      <c r="A191" s="222"/>
      <c r="B191" s="318"/>
      <c r="C191" s="313" t="s">
        <v>147</v>
      </c>
      <c r="D191" s="322">
        <f>T182/T179</f>
        <v>0.51486504310684167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2"/>
      <c r="BN191" s="222"/>
      <c r="BO191" s="222"/>
      <c r="BP191" s="222"/>
      <c r="BQ191" s="222"/>
      <c r="BR191" s="222"/>
      <c r="BS191" s="222"/>
      <c r="BT191" s="222"/>
      <c r="BU191" s="222"/>
      <c r="BV191" s="222"/>
      <c r="BW191" s="222"/>
      <c r="BX191" s="222"/>
      <c r="BY191" s="222"/>
      <c r="BZ191" s="222"/>
      <c r="CA191" s="222"/>
      <c r="CB191" s="222"/>
      <c r="CC191" s="222"/>
      <c r="CD191" s="222"/>
      <c r="CE191" s="222"/>
      <c r="CF191" s="222"/>
      <c r="CG191" s="222"/>
      <c r="CH191" s="222"/>
      <c r="CI191" s="222"/>
      <c r="CJ191" s="222"/>
      <c r="CK191" s="222"/>
      <c r="CL191" s="222"/>
      <c r="CM191" s="222"/>
      <c r="CN191" s="222"/>
      <c r="CO191" s="222"/>
      <c r="CP191" s="222"/>
      <c r="CQ191" s="222"/>
      <c r="CR191" s="222"/>
      <c r="CS191" s="222"/>
      <c r="CT191" s="222"/>
      <c r="CU191" s="222"/>
      <c r="CV191" s="222"/>
      <c r="CW191" s="222"/>
      <c r="CX191" s="222"/>
      <c r="CY191" s="222"/>
      <c r="CZ191" s="222"/>
      <c r="DA191" s="222"/>
      <c r="DB191" s="222"/>
      <c r="DC191" s="222"/>
      <c r="DD191" s="222"/>
      <c r="DE191" s="222"/>
      <c r="DF191" s="222"/>
      <c r="DG191" s="222"/>
      <c r="DH191" s="222"/>
      <c r="DI191" s="222"/>
      <c r="DJ191" s="222"/>
      <c r="DK191" s="222"/>
      <c r="DL191" s="222"/>
      <c r="DM191" s="222"/>
      <c r="DN191" s="222"/>
      <c r="DO191" s="222"/>
      <c r="DP191" s="222"/>
      <c r="DQ191" s="222"/>
      <c r="DR191" s="222"/>
      <c r="DS191" s="222"/>
      <c r="DT191" s="222"/>
      <c r="DU191" s="222"/>
      <c r="DV191" s="222"/>
      <c r="DW191" s="325"/>
      <c r="DX191" s="325"/>
      <c r="DY191" s="325"/>
      <c r="DZ191" s="325"/>
      <c r="EA191" s="325"/>
      <c r="EB191" s="325"/>
      <c r="EC191" s="325"/>
      <c r="ED191" s="325"/>
      <c r="EE191" s="325"/>
      <c r="EF191" s="325"/>
      <c r="EG191" s="325"/>
      <c r="EH191" s="325"/>
    </row>
    <row r="192" spans="1:138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2"/>
      <c r="BN192" s="222"/>
      <c r="BO192" s="222"/>
      <c r="BP192" s="222"/>
      <c r="BQ192" s="222"/>
      <c r="BR192" s="222"/>
      <c r="BS192" s="222"/>
      <c r="BT192" s="222"/>
      <c r="BU192" s="222"/>
      <c r="BV192" s="222"/>
      <c r="BW192" s="222"/>
      <c r="BX192" s="222"/>
      <c r="BY192" s="222"/>
      <c r="BZ192" s="238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325"/>
      <c r="DX192" s="325"/>
      <c r="DY192" s="325"/>
      <c r="DZ192" s="325"/>
      <c r="EA192" s="325"/>
      <c r="EB192" s="325"/>
      <c r="EC192" s="325"/>
      <c r="ED192" s="325"/>
      <c r="EE192" s="325"/>
      <c r="EF192" s="325"/>
      <c r="EG192" s="325"/>
      <c r="EH192" s="325"/>
    </row>
    <row r="198" spans="19:23">
      <c r="S198" s="329">
        <v>700000</v>
      </c>
      <c r="T198" s="330">
        <v>1000000</v>
      </c>
      <c r="U198" s="329">
        <v>5300000</v>
      </c>
      <c r="V198" s="329">
        <v>4750000</v>
      </c>
      <c r="W198" s="329">
        <v>1250000</v>
      </c>
    </row>
    <row r="200" spans="19:23" ht="14.1">
      <c r="S200" s="25">
        <f t="shared" ref="S200:W200" si="68">S198*0.8</f>
        <v>560000</v>
      </c>
      <c r="T200" s="25">
        <f t="shared" si="68"/>
        <v>800000</v>
      </c>
      <c r="U200" s="25">
        <f t="shared" si="68"/>
        <v>4240000</v>
      </c>
      <c r="V200" s="25">
        <f t="shared" si="68"/>
        <v>3800000</v>
      </c>
      <c r="W200" s="25">
        <f t="shared" si="68"/>
        <v>1000000</v>
      </c>
    </row>
  </sheetData>
  <mergeCells count="34">
    <mergeCell ref="S124:T124"/>
    <mergeCell ref="B2:C4"/>
    <mergeCell ref="B5:B8"/>
    <mergeCell ref="B9:B11"/>
    <mergeCell ref="B12:B15"/>
    <mergeCell ref="B16:C16"/>
    <mergeCell ref="B17:B97"/>
    <mergeCell ref="B98:C98"/>
    <mergeCell ref="B100:C100"/>
    <mergeCell ref="B101:C101"/>
    <mergeCell ref="D106:E106"/>
    <mergeCell ref="D109:BW109"/>
    <mergeCell ref="S123:T123"/>
    <mergeCell ref="BM2:BX2"/>
    <mergeCell ref="E2:P2"/>
    <mergeCell ref="Q2:AB2"/>
    <mergeCell ref="BY90:BZ90"/>
    <mergeCell ref="BZ91:BZ97"/>
    <mergeCell ref="BY98:BZ98"/>
    <mergeCell ref="BY100:BZ100"/>
    <mergeCell ref="BZ5:BZ8"/>
    <mergeCell ref="BZ9:BZ11"/>
    <mergeCell ref="BY16:BZ16"/>
    <mergeCell ref="BZ17:BZ89"/>
    <mergeCell ref="CC17:CC89"/>
    <mergeCell ref="CC5:CC8"/>
    <mergeCell ref="CC9:CC11"/>
    <mergeCell ref="CC12:CC15"/>
    <mergeCell ref="CB16:CC16"/>
    <mergeCell ref="AC2:AN2"/>
    <mergeCell ref="AO2:AZ2"/>
    <mergeCell ref="BA2:BL2"/>
    <mergeCell ref="BY2:BZ4"/>
    <mergeCell ref="BZ12:BZ15"/>
  </mergeCells>
  <conditionalFormatting sqref="E17:BX17 E23:BX23 E26:BX26 E34:BX34 E37:BX37 E49:BX49 E55:BX55 E63:BX63 E87:BX87 E90:BX90">
    <cfRule type="cellIs" dxfId="5" priority="1" operator="equal">
      <formula>0</formula>
    </cfRule>
  </conditionalFormatting>
  <conditionalFormatting sqref="F114:BS117 E115 BT115:BX115 E117 BT117:BX117 E131 F131:BX134 E133 E149:BX149 E163 M163:BX163 F163:L166 E165 M165:BX165 M179:T179 H179:L182 E181:G181 M181:BX181">
    <cfRule type="cellIs" dxfId="4" priority="2" operator="equal">
      <formula>0</formula>
    </cfRule>
  </conditionalFormatting>
  <dataValidations count="1">
    <dataValidation type="list" allowBlank="1" showErrorMessage="1" sqref="CB4" xr:uid="{00000000-0002-0000-1900-000000000000}">
      <formula1>$D$3:$BX$3</formula1>
    </dataValidation>
  </dataValidations>
  <pageMargins left="0" right="0" top="0" bottom="0" header="0" footer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A1013"/>
  <sheetViews>
    <sheetView workbookViewId="0"/>
  </sheetViews>
  <sheetFormatPr defaultColWidth="12.625" defaultRowHeight="15" customHeight="1"/>
  <cols>
    <col min="1" max="1" width="4.375" customWidth="1"/>
    <col min="2" max="2" width="48.5" customWidth="1"/>
    <col min="3" max="3" width="8" customWidth="1"/>
    <col min="4" max="4" width="7.875" customWidth="1"/>
    <col min="5" max="5" width="16.625" customWidth="1"/>
    <col min="6" max="6" width="22.625" customWidth="1"/>
    <col min="7" max="7" width="4" customWidth="1"/>
    <col min="8" max="8" width="4.375" customWidth="1"/>
    <col min="9" max="9" width="36.125" customWidth="1"/>
    <col min="10" max="10" width="8.625" customWidth="1"/>
    <col min="11" max="11" width="14.5" customWidth="1"/>
    <col min="12" max="12" width="9.625" customWidth="1"/>
    <col min="13" max="13" width="12.875" customWidth="1"/>
    <col min="14" max="14" width="20.125" customWidth="1"/>
    <col min="15" max="16" width="4.375" customWidth="1"/>
    <col min="17" max="17" width="40.875" customWidth="1"/>
    <col min="18" max="18" width="77" customWidth="1"/>
    <col min="19" max="27" width="7" customWidth="1"/>
  </cols>
  <sheetData>
    <row r="1" spans="1:27" ht="30" customHeight="1">
      <c r="A1" s="59"/>
      <c r="B1" s="585" t="s">
        <v>363</v>
      </c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2" spans="1:27" ht="18" customHeight="1">
      <c r="A2" s="61"/>
      <c r="B2" s="62"/>
      <c r="C2" s="63"/>
      <c r="D2" s="64"/>
      <c r="E2" s="65"/>
      <c r="F2" s="66"/>
      <c r="G2" s="66"/>
      <c r="H2" s="67"/>
      <c r="I2" s="67"/>
      <c r="J2" s="63"/>
      <c r="K2" s="63"/>
      <c r="L2" s="64"/>
      <c r="M2" s="65"/>
      <c r="N2" s="68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1:27" ht="18" customHeight="1">
      <c r="A3" s="61"/>
      <c r="B3" s="60"/>
      <c r="C3" s="69"/>
      <c r="D3" s="70"/>
      <c r="F3" s="526"/>
      <c r="G3" s="71"/>
      <c r="H3" s="60"/>
      <c r="I3" s="60"/>
      <c r="J3" s="69"/>
      <c r="K3" s="69"/>
      <c r="L3" s="70"/>
      <c r="M3" s="72"/>
      <c r="N3" s="71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</row>
    <row r="4" spans="1:27" ht="30" customHeight="1">
      <c r="A4" s="61"/>
      <c r="B4" s="532" t="s">
        <v>78</v>
      </c>
      <c r="C4" s="589"/>
      <c r="D4" s="589"/>
      <c r="E4" s="589"/>
      <c r="F4" s="590"/>
      <c r="G4" s="73"/>
      <c r="H4" s="60"/>
      <c r="I4" s="533" t="s">
        <v>79</v>
      </c>
      <c r="J4" s="589"/>
      <c r="K4" s="589"/>
      <c r="L4" s="589"/>
      <c r="M4" s="589"/>
      <c r="N4" s="590"/>
      <c r="O4" s="60"/>
      <c r="P4" s="60"/>
      <c r="Q4" s="533" t="s">
        <v>80</v>
      </c>
      <c r="R4" s="590"/>
      <c r="S4" s="60"/>
      <c r="T4" s="60"/>
      <c r="U4" s="60"/>
      <c r="V4" s="60"/>
      <c r="W4" s="60"/>
      <c r="X4" s="60"/>
      <c r="Y4" s="60"/>
      <c r="Z4" s="60"/>
      <c r="AA4" s="60"/>
    </row>
    <row r="5" spans="1:27" ht="18" customHeight="1">
      <c r="A5" s="61"/>
      <c r="B5" s="60"/>
      <c r="C5" s="69"/>
      <c r="D5" s="70"/>
      <c r="E5" s="69"/>
      <c r="F5" s="69"/>
      <c r="G5" s="74"/>
      <c r="H5" s="60"/>
      <c r="I5" s="60"/>
      <c r="J5" s="69"/>
      <c r="K5" s="69"/>
      <c r="L5" s="70"/>
      <c r="M5" s="72"/>
      <c r="N5" s="71"/>
      <c r="O5" s="60"/>
      <c r="P5" s="60"/>
      <c r="S5" s="60"/>
      <c r="T5" s="60"/>
      <c r="U5" s="60"/>
      <c r="V5" s="60"/>
      <c r="W5" s="60"/>
      <c r="X5" s="60"/>
      <c r="Y5" s="60"/>
      <c r="Z5" s="60"/>
      <c r="AA5" s="60"/>
    </row>
    <row r="6" spans="1:27" ht="18" customHeight="1">
      <c r="A6" s="61" t="s">
        <v>81</v>
      </c>
      <c r="B6" s="534" t="s">
        <v>82</v>
      </c>
      <c r="C6" s="589"/>
      <c r="D6" s="589"/>
      <c r="E6" s="589"/>
      <c r="F6" s="590"/>
      <c r="G6" s="75"/>
      <c r="H6" s="60"/>
      <c r="I6" s="535" t="s">
        <v>79</v>
      </c>
      <c r="J6" s="589"/>
      <c r="K6" s="589"/>
      <c r="L6" s="589"/>
      <c r="M6" s="589"/>
      <c r="N6" s="590"/>
      <c r="O6" s="60"/>
      <c r="P6" s="60"/>
      <c r="Q6" s="535" t="s">
        <v>83</v>
      </c>
      <c r="R6" s="590"/>
      <c r="S6" s="60"/>
      <c r="T6" s="60"/>
      <c r="U6" s="60"/>
      <c r="V6" s="60"/>
      <c r="W6" s="60"/>
      <c r="X6" s="60"/>
      <c r="Y6" s="60"/>
      <c r="Z6" s="60"/>
      <c r="AA6" s="60"/>
    </row>
    <row r="7" spans="1:27" ht="18" customHeight="1">
      <c r="A7" s="61"/>
      <c r="B7" s="76"/>
      <c r="C7" s="77" t="s">
        <v>84</v>
      </c>
      <c r="D7" s="77" t="s">
        <v>85</v>
      </c>
      <c r="E7" s="78" t="s">
        <v>86</v>
      </c>
      <c r="F7" s="79" t="s">
        <v>364</v>
      </c>
      <c r="G7" s="74"/>
      <c r="H7" s="60"/>
      <c r="I7" s="80"/>
      <c r="J7" s="78" t="s">
        <v>87</v>
      </c>
      <c r="K7" s="78" t="s">
        <v>88</v>
      </c>
      <c r="L7" s="78" t="s">
        <v>89</v>
      </c>
      <c r="M7" s="78" t="s">
        <v>365</v>
      </c>
      <c r="N7" s="81" t="s">
        <v>366</v>
      </c>
      <c r="O7" s="60"/>
      <c r="P7" s="60"/>
      <c r="Q7" s="82" t="s">
        <v>92</v>
      </c>
      <c r="R7" s="83">
        <v>0</v>
      </c>
      <c r="S7" s="60"/>
      <c r="T7" s="60"/>
      <c r="U7" s="60"/>
      <c r="V7" s="60"/>
      <c r="W7" s="60"/>
      <c r="X7" s="60"/>
      <c r="Y7" s="60"/>
      <c r="Z7" s="60"/>
      <c r="AA7" s="60"/>
    </row>
    <row r="8" spans="1:27" ht="18" customHeight="1">
      <c r="A8" s="61"/>
      <c r="B8" s="527" t="s">
        <v>367</v>
      </c>
      <c r="C8" s="84" t="s">
        <v>93</v>
      </c>
      <c r="D8" s="84">
        <v>6432</v>
      </c>
      <c r="E8" s="413">
        <v>10</v>
      </c>
      <c r="F8" s="94">
        <f>((E8*D8)*SUM(R7:R13))</f>
        <v>771840</v>
      </c>
      <c r="G8" s="414"/>
      <c r="H8" s="60"/>
      <c r="I8" s="87" t="str">
        <f>Rentroll!A2</f>
        <v>Penny</v>
      </c>
      <c r="J8" s="88">
        <f>Rentroll!C2</f>
        <v>1168.5999999999999</v>
      </c>
      <c r="K8" s="88" t="str">
        <f>Rentroll!B2</f>
        <v>full fit-out</v>
      </c>
      <c r="L8" s="89">
        <f>Rentroll!F2</f>
        <v>378</v>
      </c>
      <c r="M8" s="89">
        <f>Rentroll!I2</f>
        <v>39</v>
      </c>
      <c r="N8" s="90">
        <f t="shared" ref="N8:N16" si="0">IF(J8&gt;0,J8,1)*(L8)</f>
        <v>441730.8</v>
      </c>
      <c r="O8" s="60"/>
      <c r="P8" s="60"/>
      <c r="Q8" s="91" t="s">
        <v>95</v>
      </c>
      <c r="R8" s="92">
        <v>6</v>
      </c>
      <c r="S8" s="60"/>
      <c r="T8" s="60"/>
      <c r="U8" s="60"/>
      <c r="V8" s="60"/>
      <c r="W8" s="60"/>
      <c r="X8" s="60"/>
      <c r="Y8" s="60"/>
      <c r="Z8" s="60"/>
      <c r="AA8" s="60"/>
    </row>
    <row r="9" spans="1:27" ht="18" customHeight="1">
      <c r="A9" s="61"/>
      <c r="B9" s="415" t="s">
        <v>368</v>
      </c>
      <c r="C9" s="416" t="s">
        <v>100</v>
      </c>
      <c r="D9" s="417">
        <v>0.02</v>
      </c>
      <c r="E9" s="418">
        <f>E8*D9</f>
        <v>0.2</v>
      </c>
      <c r="F9" s="419">
        <f>F8*D9</f>
        <v>15436.800000000001</v>
      </c>
      <c r="G9" s="96"/>
      <c r="H9" s="60"/>
      <c r="I9" s="87" t="str">
        <f>Rentroll!A3</f>
        <v>Alza</v>
      </c>
      <c r="J9" s="88">
        <f>Rentroll!C3</f>
        <v>1</v>
      </c>
      <c r="K9" s="88" t="str">
        <f>Rentroll!B3</f>
        <v>pozemek</v>
      </c>
      <c r="L9" s="89">
        <f>Rentroll!F3</f>
        <v>3500</v>
      </c>
      <c r="M9" s="89">
        <f>Rentroll!I3</f>
        <v>500</v>
      </c>
      <c r="N9" s="90">
        <f t="shared" si="0"/>
        <v>3500</v>
      </c>
      <c r="O9" s="60"/>
      <c r="P9" s="60"/>
      <c r="Q9" s="87" t="s">
        <v>98</v>
      </c>
      <c r="R9" s="98">
        <v>0</v>
      </c>
      <c r="S9" s="60"/>
      <c r="T9" s="60"/>
      <c r="U9" s="60"/>
      <c r="V9" s="60"/>
      <c r="W9" s="60"/>
      <c r="X9" s="60"/>
      <c r="Y9" s="60"/>
      <c r="Z9" s="60"/>
      <c r="AA9" s="60"/>
    </row>
    <row r="10" spans="1:27" ht="18" customHeight="1">
      <c r="A10" s="61"/>
      <c r="B10" s="103" t="s">
        <v>103</v>
      </c>
      <c r="C10" s="536">
        <f>SUM(F8:F9)</f>
        <v>787276.80000000005</v>
      </c>
      <c r="D10" s="589"/>
      <c r="E10" s="589"/>
      <c r="F10" s="590"/>
      <c r="G10" s="96"/>
      <c r="H10" s="60"/>
      <c r="I10" s="87" t="str">
        <f>Rentroll!A4</f>
        <v>Myčka</v>
      </c>
      <c r="J10" s="88">
        <f>Rentroll!C4</f>
        <v>0</v>
      </c>
      <c r="K10" s="88" t="str">
        <f>Rentroll!B4</f>
        <v>pozemek</v>
      </c>
      <c r="L10" s="89">
        <f>Rentroll!F4</f>
        <v>0</v>
      </c>
      <c r="M10" s="89">
        <f>Rentroll!I4</f>
        <v>0</v>
      </c>
      <c r="N10" s="90">
        <f t="shared" si="0"/>
        <v>0</v>
      </c>
      <c r="O10" s="60"/>
      <c r="P10" s="60"/>
      <c r="Q10" s="87" t="s">
        <v>97</v>
      </c>
      <c r="R10" s="95">
        <v>0</v>
      </c>
      <c r="S10" s="60"/>
      <c r="T10" s="60"/>
      <c r="U10" s="60"/>
      <c r="V10" s="60"/>
      <c r="W10" s="60"/>
      <c r="X10" s="60"/>
      <c r="Y10" s="60"/>
      <c r="Z10" s="60"/>
      <c r="AA10" s="60"/>
    </row>
    <row r="11" spans="1:27" ht="18" customHeight="1">
      <c r="B11" s="107" t="s">
        <v>105</v>
      </c>
      <c r="C11" s="27"/>
      <c r="D11" s="27"/>
      <c r="E11" s="27"/>
      <c r="F11" s="108">
        <f>C10/J17</f>
        <v>378.20753266717912</v>
      </c>
      <c r="G11" s="96"/>
      <c r="H11" s="60"/>
      <c r="I11" s="87" t="str">
        <f>Rentroll!A5</f>
        <v>Pepco</v>
      </c>
      <c r="J11" s="88">
        <f>Rentroll!C5</f>
        <v>500</v>
      </c>
      <c r="K11" s="88" t="str">
        <f>Rentroll!B5</f>
        <v>full fit-out</v>
      </c>
      <c r="L11" s="89">
        <f>Rentroll!F5</f>
        <v>311.21999999999997</v>
      </c>
      <c r="M11" s="89">
        <f>Rentroll!I5</f>
        <v>45.36</v>
      </c>
      <c r="N11" s="90">
        <f t="shared" si="0"/>
        <v>155609.99999999997</v>
      </c>
      <c r="O11" s="60"/>
      <c r="P11" s="60"/>
      <c r="Q11" s="97" t="s">
        <v>95</v>
      </c>
      <c r="R11" s="92">
        <v>0</v>
      </c>
      <c r="S11" s="60"/>
      <c r="T11" s="60"/>
      <c r="U11" s="60"/>
      <c r="V11" s="60"/>
      <c r="W11" s="60"/>
      <c r="X11" s="60"/>
      <c r="Y11" s="60"/>
      <c r="Z11" s="60"/>
      <c r="AA11" s="60"/>
    </row>
    <row r="12" spans="1:27" ht="18" customHeight="1">
      <c r="B12" s="27"/>
      <c r="C12" s="27"/>
      <c r="D12" s="70"/>
      <c r="E12" s="72"/>
      <c r="F12" s="71"/>
      <c r="G12" s="100"/>
      <c r="H12" s="60"/>
      <c r="I12" s="87" t="str">
        <f>Rentroll!A6</f>
        <v>Teta</v>
      </c>
      <c r="J12" s="88">
        <f>Rentroll!C6</f>
        <v>220.5</v>
      </c>
      <c r="K12" s="88" t="str">
        <f>Rentroll!B6</f>
        <v>full fit-out</v>
      </c>
      <c r="L12" s="89">
        <f>Rentroll!F6</f>
        <v>335.16</v>
      </c>
      <c r="M12" s="89">
        <f>Rentroll!I6</f>
        <v>37.799999999999997</v>
      </c>
      <c r="N12" s="90">
        <f t="shared" si="0"/>
        <v>73902.78</v>
      </c>
      <c r="O12" s="60"/>
      <c r="P12" s="60"/>
      <c r="Q12" s="97" t="s">
        <v>98</v>
      </c>
      <c r="R12" s="98">
        <v>3</v>
      </c>
      <c r="S12" s="60"/>
      <c r="T12" s="60"/>
      <c r="U12" s="60"/>
      <c r="V12" s="60"/>
      <c r="W12" s="60"/>
      <c r="X12" s="60"/>
      <c r="Y12" s="60"/>
      <c r="Z12" s="60"/>
      <c r="AA12" s="60"/>
    </row>
    <row r="13" spans="1:27" ht="18" customHeight="1">
      <c r="A13" s="61" t="s">
        <v>106</v>
      </c>
      <c r="B13" s="534" t="s">
        <v>369</v>
      </c>
      <c r="C13" s="589"/>
      <c r="D13" s="589"/>
      <c r="E13" s="589"/>
      <c r="F13" s="590"/>
      <c r="G13" s="104"/>
      <c r="H13" s="60"/>
      <c r="I13" s="87" t="str">
        <f>Rentroll!A7</f>
        <v>Traficon</v>
      </c>
      <c r="J13" s="88">
        <f>Rentroll!C7</f>
        <v>49</v>
      </c>
      <c r="K13" s="88" t="str">
        <f>Rentroll!B7</f>
        <v>full fit-out</v>
      </c>
      <c r="L13" s="89">
        <f>Rentroll!F7</f>
        <v>1134</v>
      </c>
      <c r="M13" s="89">
        <f>Rentroll!I7</f>
        <v>37.799999999999997</v>
      </c>
      <c r="N13" s="90">
        <f t="shared" si="0"/>
        <v>55566</v>
      </c>
      <c r="O13" s="60"/>
      <c r="P13" s="60"/>
      <c r="Q13" s="87" t="s">
        <v>99</v>
      </c>
      <c r="R13" s="95">
        <v>3</v>
      </c>
      <c r="S13" s="60"/>
      <c r="T13" s="60"/>
      <c r="U13" s="60"/>
      <c r="V13" s="60"/>
      <c r="W13" s="60"/>
      <c r="X13" s="60"/>
      <c r="Y13" s="60"/>
      <c r="Z13" s="60"/>
      <c r="AA13" s="60"/>
    </row>
    <row r="14" spans="1:27" ht="18" customHeight="1">
      <c r="A14" s="61"/>
      <c r="B14" s="115"/>
      <c r="C14" s="116" t="s">
        <v>84</v>
      </c>
      <c r="D14" s="77" t="s">
        <v>110</v>
      </c>
      <c r="E14" s="116" t="s">
        <v>111</v>
      </c>
      <c r="F14" s="117"/>
      <c r="G14" s="104"/>
      <c r="H14" s="60"/>
      <c r="I14" s="87" t="str">
        <f>Rentroll!A8</f>
        <v>Salon Beauty</v>
      </c>
      <c r="J14" s="88">
        <f>Rentroll!C8</f>
        <v>141.5</v>
      </c>
      <c r="K14" s="88" t="str">
        <f>Rentroll!B8</f>
        <v>full fit-out</v>
      </c>
      <c r="L14" s="89">
        <f>Rentroll!F8</f>
        <v>327.59999999999997</v>
      </c>
      <c r="M14" s="89">
        <f>Rentroll!I8</f>
        <v>37.799999999999997</v>
      </c>
      <c r="N14" s="90">
        <f t="shared" si="0"/>
        <v>46355.399999999994</v>
      </c>
      <c r="O14" s="60"/>
      <c r="P14" s="60"/>
      <c r="Q14" s="87" t="s">
        <v>101</v>
      </c>
      <c r="R14" s="95">
        <v>9</v>
      </c>
      <c r="S14" s="60"/>
      <c r="T14" s="60"/>
      <c r="U14" s="60"/>
      <c r="V14" s="60"/>
      <c r="W14" s="60"/>
      <c r="X14" s="60"/>
      <c r="Y14" s="60"/>
      <c r="Z14" s="60"/>
      <c r="AA14" s="60"/>
    </row>
    <row r="15" spans="1:27" ht="18" customHeight="1">
      <c r="A15" s="61"/>
      <c r="B15" s="420" t="s">
        <v>370</v>
      </c>
      <c r="C15" s="122">
        <v>1</v>
      </c>
      <c r="D15" s="123" t="s">
        <v>93</v>
      </c>
      <c r="E15" s="85">
        <v>20000</v>
      </c>
      <c r="F15" s="86">
        <f>(E15*J17)</f>
        <v>41632000</v>
      </c>
      <c r="G15" s="104"/>
      <c r="H15" s="60"/>
      <c r="I15" s="87" t="str">
        <f>Rentroll!A9</f>
        <v>Z-Box</v>
      </c>
      <c r="J15" s="88">
        <f>Rentroll!C9</f>
        <v>1</v>
      </c>
      <c r="K15" s="88" t="str">
        <f>Rentroll!B9</f>
        <v>pozemek</v>
      </c>
      <c r="L15" s="89">
        <f>Rentroll!F9</f>
        <v>0</v>
      </c>
      <c r="M15" s="89">
        <f>Rentroll!I9</f>
        <v>0</v>
      </c>
      <c r="N15" s="90">
        <f t="shared" si="0"/>
        <v>0</v>
      </c>
      <c r="O15" s="60"/>
      <c r="P15" s="60"/>
      <c r="Q15" s="421"/>
      <c r="R15" s="422"/>
      <c r="S15" s="60"/>
      <c r="T15" s="60"/>
      <c r="U15" s="60"/>
      <c r="V15" s="60"/>
      <c r="W15" s="60"/>
      <c r="X15" s="60"/>
      <c r="Y15" s="60"/>
      <c r="Z15" s="60"/>
      <c r="AA15" s="60"/>
    </row>
    <row r="16" spans="1:27" ht="18" customHeight="1">
      <c r="A16" s="61"/>
      <c r="B16" s="423" t="s">
        <v>371</v>
      </c>
      <c r="C16" s="122">
        <v>1</v>
      </c>
      <c r="D16" s="123" t="s">
        <v>93</v>
      </c>
      <c r="E16" s="85">
        <v>10000</v>
      </c>
      <c r="F16" s="424">
        <f>SUMIF(K8:K15,"full fit-out",J8:J15)*E16</f>
        <v>20796000</v>
      </c>
      <c r="G16" s="104"/>
      <c r="H16" s="60"/>
      <c r="I16" s="87">
        <f>Rentroll!A10</f>
        <v>0</v>
      </c>
      <c r="J16" s="88">
        <f>Rentroll!C10</f>
        <v>0</v>
      </c>
      <c r="K16" s="88">
        <f>Rentroll!B10</f>
        <v>0</v>
      </c>
      <c r="L16" s="89">
        <f>Rentroll!F10</f>
        <v>0</v>
      </c>
      <c r="M16" s="89">
        <f>Rentroll!I10</f>
        <v>0</v>
      </c>
      <c r="N16" s="90">
        <f t="shared" si="0"/>
        <v>0</v>
      </c>
      <c r="O16" s="60"/>
      <c r="P16" s="60"/>
      <c r="Q16" s="101" t="s">
        <v>102</v>
      </c>
      <c r="R16" s="102">
        <v>3</v>
      </c>
      <c r="S16" s="60"/>
      <c r="T16" s="60"/>
      <c r="U16" s="60"/>
      <c r="V16" s="60"/>
      <c r="W16" s="60"/>
      <c r="X16" s="60"/>
      <c r="Y16" s="60"/>
      <c r="Z16" s="60"/>
      <c r="AA16" s="60"/>
    </row>
    <row r="17" spans="1:27" ht="18" customHeight="1">
      <c r="A17" s="61"/>
      <c r="B17" s="423" t="s">
        <v>138</v>
      </c>
      <c r="C17" s="122">
        <v>1</v>
      </c>
      <c r="D17" s="163" t="s">
        <v>93</v>
      </c>
      <c r="E17" s="85">
        <v>1500</v>
      </c>
      <c r="F17" s="424">
        <f>D8*E17</f>
        <v>9648000</v>
      </c>
      <c r="G17" s="104"/>
      <c r="H17" s="60"/>
      <c r="I17" s="109" t="s">
        <v>107</v>
      </c>
      <c r="J17" s="425">
        <f>SUM(J8:J16)</f>
        <v>2081.6</v>
      </c>
      <c r="K17" s="425" t="s">
        <v>108</v>
      </c>
      <c r="L17" s="426">
        <f t="shared" ref="L17:M17" si="1">SUM(L8:L16)</f>
        <v>5985.9800000000005</v>
      </c>
      <c r="M17" s="427">
        <f t="shared" si="1"/>
        <v>697.75999999999988</v>
      </c>
      <c r="N17" s="428"/>
      <c r="O17" s="60"/>
      <c r="P17" s="60"/>
      <c r="Q17" s="105" t="s">
        <v>104</v>
      </c>
      <c r="R17" s="106">
        <f>SUM(R7:R16)</f>
        <v>24</v>
      </c>
      <c r="S17" s="60"/>
      <c r="T17" s="60"/>
      <c r="U17" s="60"/>
      <c r="V17" s="60"/>
      <c r="W17" s="60"/>
      <c r="X17" s="60"/>
      <c r="Y17" s="60"/>
      <c r="Z17" s="60"/>
      <c r="AA17" s="60"/>
    </row>
    <row r="18" spans="1:27" ht="18" customHeight="1">
      <c r="B18" s="423" t="s">
        <v>140</v>
      </c>
      <c r="C18" s="429">
        <v>1</v>
      </c>
      <c r="D18" s="163" t="s">
        <v>93</v>
      </c>
      <c r="E18" s="430">
        <v>600</v>
      </c>
      <c r="F18" s="424">
        <f>D8*E18</f>
        <v>3859200</v>
      </c>
      <c r="G18" s="126"/>
      <c r="H18" s="60"/>
      <c r="I18" s="118" t="s">
        <v>112</v>
      </c>
      <c r="J18" s="586">
        <f>SUM(N8:N16)*12</f>
        <v>9319979.7599999998</v>
      </c>
      <c r="K18" s="607"/>
      <c r="L18" s="607"/>
      <c r="M18" s="607"/>
      <c r="N18" s="597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</row>
    <row r="19" spans="1:27" ht="18" customHeight="1">
      <c r="A19" s="61"/>
      <c r="B19" s="423" t="s">
        <v>372</v>
      </c>
      <c r="C19" s="429">
        <v>1</v>
      </c>
      <c r="D19" s="163" t="s">
        <v>93</v>
      </c>
      <c r="E19" s="430"/>
      <c r="F19" s="424">
        <f t="shared" ref="F19:F21" si="2">E19</f>
        <v>0</v>
      </c>
      <c r="G19" s="414"/>
      <c r="H19" s="60"/>
      <c r="I19" s="431" t="s">
        <v>373</v>
      </c>
      <c r="J19" s="528"/>
      <c r="K19" s="528"/>
      <c r="L19" s="528">
        <v>15</v>
      </c>
      <c r="M19" s="528"/>
      <c r="N19" s="432">
        <f>-L19*D8*12</f>
        <v>-1157760</v>
      </c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</row>
    <row r="20" spans="1:27" ht="18" customHeight="1">
      <c r="A20" s="61"/>
      <c r="B20" s="423" t="s">
        <v>374</v>
      </c>
      <c r="C20" s="429">
        <v>1</v>
      </c>
      <c r="D20" s="163" t="s">
        <v>93</v>
      </c>
      <c r="E20" s="430">
        <v>2000000</v>
      </c>
      <c r="F20" s="424">
        <f t="shared" si="2"/>
        <v>2000000</v>
      </c>
      <c r="G20" s="126"/>
      <c r="H20" s="60"/>
      <c r="I20" s="433" t="s">
        <v>375</v>
      </c>
      <c r="J20" s="434"/>
      <c r="K20" s="434" t="s">
        <v>376</v>
      </c>
      <c r="L20" s="435"/>
      <c r="M20" s="436"/>
      <c r="N20" s="437">
        <f>(J18+N19)/C47</f>
        <v>8.1569108769586174E-2</v>
      </c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</row>
    <row r="21" spans="1:27" ht="18" customHeight="1">
      <c r="A21" s="61"/>
      <c r="B21" s="423" t="s">
        <v>377</v>
      </c>
      <c r="C21" s="429">
        <v>1</v>
      </c>
      <c r="D21" s="163" t="s">
        <v>93</v>
      </c>
      <c r="E21" s="430">
        <v>1000000</v>
      </c>
      <c r="F21" s="424">
        <f t="shared" si="2"/>
        <v>1000000</v>
      </c>
      <c r="G21" s="147"/>
      <c r="H21" s="60"/>
      <c r="I21" s="438" t="s">
        <v>378</v>
      </c>
      <c r="J21" s="439"/>
      <c r="K21" s="127"/>
      <c r="L21" s="127"/>
      <c r="M21" s="440">
        <v>0.06</v>
      </c>
      <c r="N21" s="441">
        <f>N20/M21</f>
        <v>1.3594851461597697</v>
      </c>
      <c r="O21" s="60"/>
      <c r="P21" s="60"/>
      <c r="Q21" s="535" t="s">
        <v>379</v>
      </c>
      <c r="R21" s="590"/>
      <c r="S21" s="60"/>
      <c r="T21" s="60"/>
      <c r="U21" s="60"/>
      <c r="V21" s="60"/>
      <c r="W21" s="60"/>
      <c r="X21" s="60"/>
      <c r="Y21" s="60"/>
      <c r="Z21" s="60"/>
      <c r="AA21" s="60"/>
    </row>
    <row r="22" spans="1:27" ht="18" customHeight="1">
      <c r="B22" s="442" t="s">
        <v>380</v>
      </c>
      <c r="C22" s="443">
        <v>1</v>
      </c>
      <c r="D22" s="123" t="s">
        <v>100</v>
      </c>
      <c r="E22" s="444">
        <v>0.05</v>
      </c>
      <c r="F22" s="445">
        <f>SUM(F15:F17)*E22</f>
        <v>3603800</v>
      </c>
      <c r="G22" s="147"/>
      <c r="H22" s="60"/>
      <c r="I22" s="119" t="s">
        <v>114</v>
      </c>
      <c r="J22" s="127"/>
      <c r="K22" s="127"/>
      <c r="L22" s="127"/>
      <c r="M22" s="128">
        <v>15</v>
      </c>
      <c r="N22" s="129">
        <f>J17*M22*12</f>
        <v>374688</v>
      </c>
      <c r="O22" s="148"/>
      <c r="P22" s="60"/>
      <c r="Q22" s="446" t="s">
        <v>381</v>
      </c>
      <c r="R22" s="155">
        <v>0.255</v>
      </c>
      <c r="S22" s="60"/>
      <c r="T22" s="60"/>
      <c r="U22" s="60"/>
      <c r="V22" s="60"/>
      <c r="W22" s="60"/>
      <c r="X22" s="60"/>
      <c r="Y22" s="60"/>
      <c r="Z22" s="60"/>
      <c r="AA22" s="60"/>
    </row>
    <row r="23" spans="1:27" ht="18" customHeight="1">
      <c r="A23" s="61"/>
      <c r="B23" s="103" t="s">
        <v>103</v>
      </c>
      <c r="C23" s="536">
        <f>SUM(F15:F22)</f>
        <v>82539000</v>
      </c>
      <c r="D23" s="589"/>
      <c r="E23" s="589"/>
      <c r="F23" s="590"/>
      <c r="G23" s="147"/>
      <c r="H23" s="60"/>
      <c r="I23" s="447" t="s">
        <v>382</v>
      </c>
      <c r="J23" s="127"/>
      <c r="K23" s="127"/>
      <c r="L23" s="448"/>
      <c r="M23" s="449"/>
      <c r="N23" s="185">
        <f>(Rentroll!L12-N22+N19)/C47</f>
        <v>9.0189895308814758E-2</v>
      </c>
      <c r="O23" s="60"/>
      <c r="P23" s="60"/>
      <c r="Q23" s="119" t="s">
        <v>383</v>
      </c>
      <c r="R23" s="171">
        <f>R22*(C23+C44)</f>
        <v>25315840.958440799</v>
      </c>
      <c r="S23" s="60"/>
      <c r="T23" s="60"/>
      <c r="U23" s="60"/>
      <c r="V23" s="60"/>
      <c r="W23" s="60"/>
      <c r="X23" s="60"/>
      <c r="Y23" s="60"/>
      <c r="Z23" s="60"/>
      <c r="AA23" s="60"/>
    </row>
    <row r="24" spans="1:27" ht="18" customHeight="1">
      <c r="B24" s="107" t="s">
        <v>105</v>
      </c>
      <c r="C24" s="186"/>
      <c r="D24" s="186"/>
      <c r="E24" s="186"/>
      <c r="F24" s="450">
        <f>C23/J17</f>
        <v>39651.710222905458</v>
      </c>
      <c r="G24" s="147"/>
      <c r="H24" s="60"/>
      <c r="I24" s="132" t="s">
        <v>117</v>
      </c>
      <c r="J24" s="133"/>
      <c r="K24" s="133"/>
      <c r="L24" s="134"/>
      <c r="M24" s="135"/>
      <c r="N24" s="136">
        <v>7.1999999999999995E-2</v>
      </c>
      <c r="O24" s="60"/>
      <c r="P24" s="60"/>
      <c r="Q24" s="161" t="s">
        <v>124</v>
      </c>
      <c r="R24" s="146">
        <f>J26-R23-C23-C44+N25</f>
        <v>-12492897.79631892</v>
      </c>
      <c r="S24" s="60"/>
      <c r="T24" s="60"/>
      <c r="U24" s="60"/>
      <c r="V24" s="60"/>
      <c r="W24" s="60"/>
      <c r="X24" s="60"/>
      <c r="Y24" s="60"/>
      <c r="Z24" s="60"/>
      <c r="AA24" s="60"/>
    </row>
    <row r="25" spans="1:27" ht="18" customHeight="1">
      <c r="B25" s="60"/>
      <c r="C25" s="69"/>
      <c r="D25" s="70"/>
      <c r="E25" s="72"/>
      <c r="F25" s="71"/>
      <c r="G25" s="147"/>
      <c r="H25" s="60"/>
      <c r="I25" s="137" t="s">
        <v>384</v>
      </c>
      <c r="J25" s="138"/>
      <c r="K25" s="138"/>
      <c r="L25" s="139"/>
      <c r="M25" s="451">
        <v>0.5</v>
      </c>
      <c r="N25" s="452">
        <f>(J26-C47)*0.19*-M25</f>
        <v>-1263412.4910514678</v>
      </c>
      <c r="O25" s="60"/>
      <c r="P25" s="60"/>
      <c r="Q25" s="162" t="s">
        <v>126</v>
      </c>
      <c r="R25" s="149">
        <f>R24-F39</f>
        <v>-12504706.948318921</v>
      </c>
      <c r="S25" s="60"/>
      <c r="T25" s="60"/>
      <c r="U25" s="60"/>
      <c r="V25" s="60"/>
      <c r="W25" s="60"/>
      <c r="X25" s="60"/>
      <c r="Y25" s="60"/>
      <c r="Z25" s="60"/>
      <c r="AA25" s="60"/>
    </row>
    <row r="26" spans="1:27" ht="29.25" customHeight="1">
      <c r="A26" s="61" t="s">
        <v>129</v>
      </c>
      <c r="B26" s="534" t="s">
        <v>385</v>
      </c>
      <c r="C26" s="589"/>
      <c r="D26" s="589"/>
      <c r="E26" s="589"/>
      <c r="F26" s="590"/>
      <c r="G26" s="147"/>
      <c r="H26" s="60"/>
      <c r="I26" s="150" t="s">
        <v>386</v>
      </c>
      <c r="J26" s="539">
        <f>(J18+N19)/N24</f>
        <v>113364163.33333334</v>
      </c>
      <c r="K26" s="589"/>
      <c r="L26" s="589"/>
      <c r="M26" s="589"/>
      <c r="N26" s="590"/>
      <c r="O26" s="60"/>
      <c r="P26" s="60"/>
      <c r="S26" s="60"/>
      <c r="T26" s="60"/>
      <c r="U26" s="60"/>
      <c r="V26" s="60"/>
      <c r="W26" s="60"/>
      <c r="X26" s="60"/>
      <c r="Y26" s="60"/>
      <c r="Z26" s="60"/>
      <c r="AA26" s="60"/>
    </row>
    <row r="27" spans="1:27" ht="18" customHeight="1">
      <c r="A27" s="61"/>
      <c r="B27" s="453"/>
      <c r="C27" s="454" t="s">
        <v>84</v>
      </c>
      <c r="D27" s="455" t="s">
        <v>110</v>
      </c>
      <c r="E27" s="456" t="s">
        <v>387</v>
      </c>
      <c r="F27" s="457"/>
      <c r="G27" s="147"/>
      <c r="H27" s="60"/>
      <c r="I27" s="60"/>
      <c r="J27" s="69"/>
      <c r="K27" s="69"/>
      <c r="L27" s="70"/>
      <c r="M27" s="72"/>
      <c r="N27" s="71"/>
      <c r="O27" s="60"/>
      <c r="P27" s="60"/>
      <c r="Q27" s="535" t="s">
        <v>145</v>
      </c>
      <c r="R27" s="590"/>
      <c r="S27" s="60"/>
      <c r="T27" s="60"/>
      <c r="U27" s="60"/>
      <c r="V27" s="60"/>
      <c r="W27" s="60"/>
      <c r="X27" s="60"/>
      <c r="Y27" s="60"/>
      <c r="Z27" s="60"/>
      <c r="AA27" s="60"/>
    </row>
    <row r="28" spans="1:27" ht="27" customHeight="1">
      <c r="A28" s="61"/>
      <c r="B28" s="458" t="s">
        <v>388</v>
      </c>
      <c r="C28" s="459">
        <v>1</v>
      </c>
      <c r="D28" s="460" t="s">
        <v>93</v>
      </c>
      <c r="E28" s="170">
        <v>0.05</v>
      </c>
      <c r="F28" s="457">
        <f t="shared" ref="F28:F30" si="3">E28*$C$23</f>
        <v>4126950</v>
      </c>
      <c r="G28" s="147"/>
      <c r="H28" s="60"/>
      <c r="I28" s="347"/>
      <c r="J28" s="348"/>
      <c r="K28" s="348"/>
      <c r="L28" s="348"/>
      <c r="M28" s="348"/>
      <c r="N28" s="349"/>
      <c r="O28" s="60"/>
      <c r="P28" s="60"/>
      <c r="Q28" s="446" t="str">
        <f>B8</f>
        <v>Pozemek</v>
      </c>
      <c r="R28" s="167">
        <f>C10</f>
        <v>787276.80000000005</v>
      </c>
      <c r="S28" s="60"/>
      <c r="T28" s="60"/>
      <c r="U28" s="60"/>
      <c r="V28" s="60"/>
      <c r="W28" s="60"/>
      <c r="X28" s="60"/>
      <c r="Y28" s="60"/>
      <c r="Z28" s="60"/>
      <c r="AA28" s="60"/>
    </row>
    <row r="29" spans="1:27" ht="27" customHeight="1">
      <c r="A29" s="61"/>
      <c r="B29" s="458" t="s">
        <v>389</v>
      </c>
      <c r="C29" s="459">
        <v>1</v>
      </c>
      <c r="D29" s="460" t="s">
        <v>93</v>
      </c>
      <c r="E29" s="170">
        <v>0.03</v>
      </c>
      <c r="F29" s="457">
        <f t="shared" si="3"/>
        <v>2476170</v>
      </c>
      <c r="G29" s="147"/>
      <c r="H29" s="60"/>
      <c r="I29" s="461" t="s">
        <v>318</v>
      </c>
      <c r="J29" s="508"/>
      <c r="K29" s="508"/>
      <c r="L29" s="508"/>
      <c r="M29" s="577">
        <f>J26-C47+N25</f>
        <v>12035666.362121878</v>
      </c>
      <c r="N29" s="597"/>
      <c r="O29" s="60"/>
      <c r="P29" s="60"/>
      <c r="Q29" s="119" t="s">
        <v>319</v>
      </c>
      <c r="R29" s="171">
        <f>M29*25%</f>
        <v>3008916.5905304695</v>
      </c>
      <c r="S29" s="60"/>
      <c r="T29" s="60"/>
      <c r="U29" s="60"/>
      <c r="V29" s="60"/>
      <c r="W29" s="60"/>
      <c r="X29" s="60"/>
      <c r="Y29" s="60"/>
      <c r="Z29" s="60"/>
      <c r="AA29" s="60"/>
    </row>
    <row r="30" spans="1:27" ht="18" customHeight="1">
      <c r="A30" s="61"/>
      <c r="B30" s="458" t="s">
        <v>390</v>
      </c>
      <c r="C30" s="462">
        <v>1</v>
      </c>
      <c r="D30" s="459" t="s">
        <v>93</v>
      </c>
      <c r="E30" s="170">
        <f>0.7%</f>
        <v>6.9999999999999993E-3</v>
      </c>
      <c r="F30" s="457">
        <f t="shared" si="3"/>
        <v>577772.99999999988</v>
      </c>
      <c r="G30" s="147"/>
      <c r="H30" s="60"/>
      <c r="I30" s="461"/>
      <c r="J30" s="508"/>
      <c r="K30" s="508"/>
      <c r="L30" s="508"/>
      <c r="M30" s="607"/>
      <c r="N30" s="597"/>
      <c r="O30" s="60"/>
      <c r="P30" s="60"/>
      <c r="Q30" s="161" t="str">
        <f>B28</f>
        <v>Architekt, projektant</v>
      </c>
      <c r="R30" s="146">
        <f>F28</f>
        <v>4126950</v>
      </c>
      <c r="S30" s="60"/>
      <c r="T30" s="60"/>
      <c r="U30" s="60"/>
      <c r="V30" s="60"/>
      <c r="W30" s="60"/>
      <c r="X30" s="60"/>
      <c r="Y30" s="60"/>
      <c r="Z30" s="60"/>
      <c r="AA30" s="60"/>
    </row>
    <row r="31" spans="1:27" ht="18" customHeight="1">
      <c r="A31" s="61"/>
      <c r="B31" s="458" t="s">
        <v>181</v>
      </c>
      <c r="C31" s="459">
        <v>1</v>
      </c>
      <c r="D31" s="459" t="s">
        <v>391</v>
      </c>
      <c r="E31" s="170">
        <v>0.15</v>
      </c>
      <c r="F31" s="457">
        <f>E31*$J$18</f>
        <v>1397996.9639999999</v>
      </c>
      <c r="G31" s="147"/>
      <c r="H31" s="60"/>
      <c r="I31" s="350" t="s">
        <v>319</v>
      </c>
      <c r="J31" s="351"/>
      <c r="K31" s="351"/>
      <c r="L31" s="351"/>
      <c r="M31" s="351"/>
      <c r="N31" s="509">
        <f>M29/J26</f>
        <v>0.10616817527010265</v>
      </c>
      <c r="O31" s="60"/>
      <c r="P31" s="60"/>
      <c r="Q31" s="162" t="s">
        <v>126</v>
      </c>
      <c r="R31" s="149">
        <f>SUM(R28:R30)</f>
        <v>7923143.3905304698</v>
      </c>
      <c r="S31" s="60"/>
      <c r="T31" s="60"/>
      <c r="U31" s="60"/>
      <c r="V31" s="60"/>
      <c r="W31" s="60"/>
      <c r="X31" s="60"/>
      <c r="Y31" s="60"/>
      <c r="Z31" s="60"/>
      <c r="AA31" s="60"/>
    </row>
    <row r="32" spans="1:27" ht="18" customHeight="1">
      <c r="A32" s="61"/>
      <c r="B32" s="458" t="s">
        <v>120</v>
      </c>
      <c r="C32" s="459">
        <v>1</v>
      </c>
      <c r="D32" s="459" t="s">
        <v>391</v>
      </c>
      <c r="E32" s="170">
        <v>0.01</v>
      </c>
      <c r="F32" s="457">
        <f>E32*$J$26</f>
        <v>1133641.6333333335</v>
      </c>
      <c r="G32" s="147"/>
      <c r="H32" s="60"/>
      <c r="I32" s="350" t="s">
        <v>321</v>
      </c>
      <c r="J32" s="351"/>
      <c r="K32" s="352" t="s">
        <v>322</v>
      </c>
      <c r="L32" s="351"/>
      <c r="M32" s="351"/>
      <c r="N32" s="509">
        <f>M29/C47</f>
        <v>0.12027838106215961</v>
      </c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</row>
    <row r="33" spans="1:27" ht="18" customHeight="1">
      <c r="A33" s="61"/>
      <c r="B33" s="458" t="s">
        <v>392</v>
      </c>
      <c r="C33" s="459">
        <v>1</v>
      </c>
      <c r="D33" s="459" t="s">
        <v>391</v>
      </c>
      <c r="E33" s="170">
        <f>0.5%</f>
        <v>5.0000000000000001E-3</v>
      </c>
      <c r="F33" s="457">
        <f t="shared" ref="F33:F38" si="4">E33*$C$23</f>
        <v>412695</v>
      </c>
      <c r="G33" s="71"/>
      <c r="H33" s="165"/>
      <c r="I33" s="353" t="s">
        <v>325</v>
      </c>
      <c r="J33" s="354"/>
      <c r="K33" s="354"/>
      <c r="L33" s="354"/>
      <c r="M33" s="354"/>
      <c r="N33" s="511">
        <f>M29/(C47*E41)</f>
        <v>0.3436525173204561</v>
      </c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</row>
    <row r="34" spans="1:27" ht="18" customHeight="1">
      <c r="A34" s="61"/>
      <c r="B34" s="458" t="s">
        <v>393</v>
      </c>
      <c r="C34" s="459">
        <v>1</v>
      </c>
      <c r="D34" s="459" t="s">
        <v>391</v>
      </c>
      <c r="E34" s="170">
        <f>0.2%</f>
        <v>2E-3</v>
      </c>
      <c r="F34" s="457">
        <f t="shared" si="4"/>
        <v>165078</v>
      </c>
      <c r="G34" s="71"/>
      <c r="H34" s="165"/>
      <c r="I34" s="60"/>
      <c r="J34" s="69"/>
      <c r="K34" s="69"/>
      <c r="L34" s="70"/>
      <c r="M34" s="72"/>
      <c r="N34" s="71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</row>
    <row r="35" spans="1:27" ht="24.75" customHeight="1">
      <c r="A35" s="61"/>
      <c r="B35" s="458" t="s">
        <v>394</v>
      </c>
      <c r="C35" s="462">
        <v>1</v>
      </c>
      <c r="D35" s="459" t="s">
        <v>93</v>
      </c>
      <c r="E35" s="170">
        <v>0</v>
      </c>
      <c r="F35" s="457">
        <f t="shared" si="4"/>
        <v>0</v>
      </c>
      <c r="G35" s="71"/>
      <c r="H35" s="165"/>
      <c r="I35" s="60"/>
      <c r="J35" s="69"/>
      <c r="K35" s="69"/>
      <c r="L35" s="70"/>
      <c r="M35" s="72"/>
      <c r="N35" s="71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</row>
    <row r="36" spans="1:27" ht="18" customHeight="1">
      <c r="A36" s="61"/>
      <c r="B36" s="458" t="s">
        <v>395</v>
      </c>
      <c r="C36" s="462">
        <v>1</v>
      </c>
      <c r="D36" s="459" t="s">
        <v>93</v>
      </c>
      <c r="E36" s="170">
        <v>0</v>
      </c>
      <c r="F36" s="457">
        <f t="shared" si="4"/>
        <v>0</v>
      </c>
      <c r="G36" s="71"/>
      <c r="H36" s="60"/>
      <c r="I36" s="153"/>
      <c r="J36" s="60"/>
      <c r="K36" s="60"/>
      <c r="L36" s="60"/>
      <c r="M36" s="60"/>
      <c r="N36" s="356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</row>
    <row r="37" spans="1:27" ht="18" customHeight="1">
      <c r="A37" s="61"/>
      <c r="B37" s="458" t="s">
        <v>396</v>
      </c>
      <c r="C37" s="462">
        <v>1</v>
      </c>
      <c r="D37" s="459" t="s">
        <v>93</v>
      </c>
      <c r="E37" s="170">
        <f>0.1%</f>
        <v>1E-3</v>
      </c>
      <c r="F37" s="457">
        <f t="shared" si="4"/>
        <v>82539</v>
      </c>
      <c r="G37" s="71"/>
      <c r="H37" s="60"/>
      <c r="I37" s="463"/>
      <c r="J37" s="60"/>
      <c r="K37" s="60"/>
      <c r="L37" s="153"/>
      <c r="M37" s="153"/>
      <c r="N37" s="356"/>
      <c r="O37" s="60"/>
      <c r="P37" s="60"/>
      <c r="Q37" s="534" t="s">
        <v>154</v>
      </c>
      <c r="R37" s="590"/>
      <c r="S37" s="60"/>
      <c r="T37" s="60"/>
      <c r="U37" s="60"/>
      <c r="V37" s="60"/>
      <c r="W37" s="60"/>
      <c r="X37" s="60"/>
      <c r="Y37" s="60"/>
      <c r="Z37" s="60"/>
      <c r="AA37" s="60"/>
    </row>
    <row r="38" spans="1:27" ht="18" customHeight="1">
      <c r="A38" s="61"/>
      <c r="B38" s="458" t="s">
        <v>397</v>
      </c>
      <c r="C38" s="462">
        <v>1</v>
      </c>
      <c r="D38" s="459" t="s">
        <v>93</v>
      </c>
      <c r="E38" s="170">
        <f>0.3%</f>
        <v>3.0000000000000001E-3</v>
      </c>
      <c r="F38" s="457">
        <f t="shared" si="4"/>
        <v>247617</v>
      </c>
      <c r="G38" s="71"/>
      <c r="H38" s="60"/>
      <c r="I38" s="463"/>
      <c r="J38" s="60"/>
      <c r="K38" s="60"/>
      <c r="L38" s="60"/>
      <c r="M38" s="60"/>
      <c r="N38" s="464"/>
      <c r="O38" s="60"/>
      <c r="P38" s="60"/>
      <c r="Q38" s="179" t="s">
        <v>155</v>
      </c>
      <c r="R38" s="180" t="s">
        <v>156</v>
      </c>
      <c r="S38" s="60"/>
      <c r="T38" s="60"/>
      <c r="U38" s="60"/>
      <c r="V38" s="60"/>
      <c r="W38" s="60"/>
      <c r="X38" s="60"/>
      <c r="Y38" s="60"/>
      <c r="Z38" s="60"/>
      <c r="AA38" s="60"/>
    </row>
    <row r="39" spans="1:27" ht="18" customHeight="1">
      <c r="A39" s="61"/>
      <c r="B39" s="529" t="s">
        <v>398</v>
      </c>
      <c r="C39" s="465">
        <v>0.15</v>
      </c>
      <c r="D39" s="459" t="s">
        <v>399</v>
      </c>
      <c r="E39" s="466">
        <v>0.1</v>
      </c>
      <c r="F39" s="457">
        <f>((C10*E39)*C39/12)*SUM(R7:R13)</f>
        <v>11809.152</v>
      </c>
      <c r="G39" s="71"/>
      <c r="H39" s="60"/>
      <c r="I39" s="467"/>
      <c r="J39" s="60"/>
      <c r="K39" s="60"/>
      <c r="L39" s="60"/>
      <c r="M39" s="107"/>
      <c r="N39" s="468"/>
      <c r="O39" s="60"/>
      <c r="P39" s="60"/>
      <c r="Q39" s="181">
        <f t="shared" ref="Q39:Q42" si="5">IF((($J$18+$N$19)/R39-$C$47+$N$24)&gt;0,($J$18/R39-$C$47+$N$24),0)</f>
        <v>29379078.925173346</v>
      </c>
      <c r="R39" s="182">
        <f>N24</f>
        <v>7.1999999999999995E-2</v>
      </c>
      <c r="S39" s="60"/>
      <c r="T39" s="60"/>
      <c r="U39" s="60"/>
      <c r="V39" s="60"/>
      <c r="W39" s="60"/>
      <c r="X39" s="60"/>
      <c r="Y39" s="60"/>
      <c r="Z39" s="60"/>
      <c r="AA39" s="60"/>
    </row>
    <row r="40" spans="1:27" ht="18" customHeight="1">
      <c r="A40" s="61"/>
      <c r="B40" s="529" t="s">
        <v>400</v>
      </c>
      <c r="C40" s="465">
        <v>0.1</v>
      </c>
      <c r="D40" s="459" t="s">
        <v>399</v>
      </c>
      <c r="E40" s="466">
        <v>0.65</v>
      </c>
      <c r="F40" s="457">
        <f>((C23*E40+SUM(F28:F38)*E40)*C40/12)*SUM(R14:R16)</f>
        <v>6055364.9388266671</v>
      </c>
      <c r="G40" s="71"/>
      <c r="H40" s="60"/>
      <c r="I40" s="463"/>
      <c r="J40" s="60"/>
      <c r="K40" s="60"/>
      <c r="L40" s="60"/>
      <c r="N40" s="71"/>
      <c r="O40" s="60"/>
      <c r="P40" s="60"/>
      <c r="Q40" s="181">
        <f t="shared" si="5"/>
        <v>20973613.77365819</v>
      </c>
      <c r="R40" s="184">
        <f t="shared" ref="R40:R42" si="6">R39+0.5%</f>
        <v>7.6999999999999999E-2</v>
      </c>
      <c r="S40" s="60"/>
      <c r="T40" s="60"/>
      <c r="U40" s="60"/>
      <c r="V40" s="60"/>
      <c r="W40" s="60"/>
      <c r="X40" s="60"/>
      <c r="Y40" s="60"/>
      <c r="Z40" s="60"/>
      <c r="AA40" s="60"/>
    </row>
    <row r="41" spans="1:27" ht="18" customHeight="1">
      <c r="A41" s="61"/>
      <c r="B41" s="458" t="s">
        <v>401</v>
      </c>
      <c r="C41" s="465">
        <v>0</v>
      </c>
      <c r="D41" s="459" t="s">
        <v>399</v>
      </c>
      <c r="E41" s="466">
        <f>100%-E40</f>
        <v>0.35</v>
      </c>
      <c r="F41" s="457">
        <f>(((C23*E41+SUM(F28:F38)*E41)*C41/12)*SUM(R14:R16))</f>
        <v>0</v>
      </c>
      <c r="G41" s="71"/>
      <c r="H41" s="60"/>
      <c r="I41" s="60"/>
      <c r="J41" s="60"/>
      <c r="K41" s="60"/>
      <c r="L41" s="60"/>
      <c r="N41" s="71"/>
      <c r="O41" s="60"/>
      <c r="P41" s="60"/>
      <c r="Q41" s="181">
        <f t="shared" si="5"/>
        <v>0</v>
      </c>
      <c r="R41" s="185">
        <f t="shared" si="6"/>
        <v>8.2000000000000003E-2</v>
      </c>
      <c r="S41" s="60"/>
      <c r="T41" s="60"/>
      <c r="U41" s="60"/>
      <c r="V41" s="60"/>
      <c r="W41" s="60"/>
      <c r="X41" s="60"/>
      <c r="Y41" s="60"/>
      <c r="Z41" s="60"/>
      <c r="AA41" s="60"/>
    </row>
    <row r="42" spans="1:27" ht="18" customHeight="1">
      <c r="A42" s="61"/>
      <c r="B42" s="529" t="s">
        <v>402</v>
      </c>
      <c r="C42" s="465">
        <v>0.1</v>
      </c>
      <c r="D42" s="459" t="s">
        <v>399</v>
      </c>
      <c r="E42" s="466">
        <f t="shared" ref="E42:E43" si="7">E40</f>
        <v>0.65</v>
      </c>
      <c r="F42" s="457">
        <f>(((C10*E42)*C42/12)*SUM(R14:R16))</f>
        <v>51172.991999999998</v>
      </c>
      <c r="G42" s="71"/>
      <c r="H42" s="60"/>
      <c r="I42" s="60"/>
      <c r="J42" s="69"/>
      <c r="K42" s="69"/>
      <c r="L42" s="70"/>
      <c r="N42" s="71"/>
      <c r="O42" s="60"/>
      <c r="P42" s="60"/>
      <c r="Q42" s="181">
        <f t="shared" si="5"/>
        <v>0</v>
      </c>
      <c r="R42" s="486">
        <f t="shared" si="6"/>
        <v>8.7000000000000008E-2</v>
      </c>
      <c r="S42" s="60"/>
      <c r="T42" s="60"/>
      <c r="U42" s="60"/>
      <c r="V42" s="60"/>
      <c r="W42" s="60"/>
      <c r="X42" s="60"/>
      <c r="Y42" s="60"/>
      <c r="Z42" s="60"/>
      <c r="AA42" s="60"/>
    </row>
    <row r="43" spans="1:27" ht="18" customHeight="1">
      <c r="A43" s="61"/>
      <c r="B43" s="458" t="s">
        <v>403</v>
      </c>
      <c r="C43" s="465">
        <v>0</v>
      </c>
      <c r="D43" s="459" t="s">
        <v>399</v>
      </c>
      <c r="E43" s="466">
        <f t="shared" si="7"/>
        <v>0.35</v>
      </c>
      <c r="F43" s="457">
        <f>(((C10*E43)*C43/12)*SUM(R14:R16))</f>
        <v>0</v>
      </c>
      <c r="G43" s="71"/>
      <c r="H43" s="60"/>
      <c r="I43" s="60"/>
      <c r="J43" s="69"/>
      <c r="K43" s="69"/>
      <c r="L43" s="70"/>
      <c r="M43" s="107"/>
      <c r="N43" s="71"/>
      <c r="O43" s="60"/>
      <c r="P43" s="60"/>
      <c r="Q43" s="187">
        <f>($J$18+$N$19)/R43-$C$47+$N$24</f>
        <v>3.0994415228802197E-9</v>
      </c>
      <c r="R43" s="188">
        <f>(J18+N19)/($C$47-$N$24)</f>
        <v>8.1569108828277725E-2</v>
      </c>
      <c r="S43" s="60"/>
      <c r="T43" s="60"/>
      <c r="U43" s="60"/>
      <c r="V43" s="60"/>
      <c r="W43" s="60"/>
      <c r="X43" s="60"/>
      <c r="Y43" s="60"/>
      <c r="Z43" s="60"/>
      <c r="AA43" s="60"/>
    </row>
    <row r="44" spans="1:27" ht="18" customHeight="1">
      <c r="A44" s="61"/>
      <c r="B44" s="103" t="s">
        <v>103</v>
      </c>
      <c r="C44" s="536">
        <f>SUM(F28:F43)</f>
        <v>16738807.680160001</v>
      </c>
      <c r="D44" s="589"/>
      <c r="E44" s="589"/>
      <c r="F44" s="590"/>
      <c r="G44" s="71"/>
      <c r="H44" s="60"/>
      <c r="I44" s="60"/>
      <c r="J44" s="69"/>
      <c r="K44" s="69"/>
      <c r="L44" s="70"/>
      <c r="M44" s="72"/>
      <c r="N44" s="71"/>
      <c r="O44" s="60"/>
      <c r="P44" s="60"/>
      <c r="Q44" s="60"/>
      <c r="R44" s="69"/>
      <c r="S44" s="60"/>
      <c r="T44" s="60"/>
      <c r="U44" s="60"/>
      <c r="V44" s="60"/>
      <c r="W44" s="60"/>
      <c r="X44" s="60"/>
      <c r="Y44" s="60"/>
      <c r="Z44" s="60"/>
      <c r="AA44" s="60"/>
    </row>
    <row r="45" spans="1:27" ht="18" customHeight="1">
      <c r="A45" s="61"/>
      <c r="B45" s="469" t="s">
        <v>105</v>
      </c>
      <c r="C45" s="186"/>
      <c r="D45" s="186"/>
      <c r="E45" s="186"/>
      <c r="F45" s="450">
        <f>C44/J17</f>
        <v>8041.3180631053046</v>
      </c>
      <c r="G45" s="71"/>
      <c r="H45" s="60"/>
      <c r="I45" s="60"/>
      <c r="J45" s="69"/>
      <c r="K45" s="69"/>
      <c r="L45" s="70"/>
      <c r="M45" s="72"/>
      <c r="N45" s="71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</row>
    <row r="46" spans="1:27" ht="18" customHeight="1">
      <c r="A46" s="61"/>
      <c r="B46" s="60"/>
      <c r="C46" s="69"/>
      <c r="D46" s="70"/>
      <c r="E46" s="72"/>
      <c r="F46" s="71"/>
      <c r="G46" s="71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9"/>
      <c r="S46" s="60"/>
      <c r="T46" s="60"/>
      <c r="U46" s="60"/>
      <c r="V46" s="60"/>
      <c r="W46" s="60"/>
      <c r="X46" s="60"/>
      <c r="Y46" s="60"/>
      <c r="Z46" s="60"/>
      <c r="AA46" s="60"/>
    </row>
    <row r="47" spans="1:27" ht="18" customHeight="1">
      <c r="A47" s="61"/>
      <c r="B47" s="220" t="s">
        <v>197</v>
      </c>
      <c r="C47" s="556">
        <f>SUM(C44,C23,C10)</f>
        <v>100065084.48016</v>
      </c>
      <c r="D47" s="589"/>
      <c r="E47" s="589"/>
      <c r="F47" s="590"/>
      <c r="G47" s="71"/>
      <c r="H47" s="60"/>
      <c r="I47" s="60"/>
      <c r="J47" s="69"/>
      <c r="K47" s="69"/>
      <c r="L47" s="587"/>
      <c r="M47" s="588"/>
      <c r="N47" s="588"/>
      <c r="O47" s="60"/>
      <c r="P47" s="60"/>
      <c r="Q47" s="534" t="s">
        <v>158</v>
      </c>
      <c r="R47" s="590"/>
      <c r="S47" s="60"/>
      <c r="T47" s="60"/>
      <c r="U47" s="60"/>
      <c r="V47" s="60"/>
      <c r="W47" s="60"/>
      <c r="X47" s="60"/>
      <c r="Y47" s="60"/>
      <c r="Z47" s="60"/>
      <c r="AA47" s="60"/>
    </row>
    <row r="48" spans="1:27" ht="18" customHeight="1">
      <c r="A48" s="61"/>
      <c r="B48" s="60"/>
      <c r="C48" s="69"/>
      <c r="D48" s="70"/>
      <c r="E48" s="72"/>
      <c r="F48" s="71"/>
      <c r="G48" s="71"/>
      <c r="H48" s="60"/>
      <c r="I48" s="60"/>
      <c r="J48" s="69"/>
      <c r="K48" s="69"/>
      <c r="L48" s="70"/>
      <c r="M48" s="72"/>
      <c r="N48" s="71"/>
      <c r="O48" s="60"/>
      <c r="P48" s="60"/>
      <c r="Q48" s="179" t="s">
        <v>155</v>
      </c>
      <c r="R48" s="180" t="s">
        <v>159</v>
      </c>
      <c r="S48" s="60"/>
      <c r="T48" s="60"/>
      <c r="U48" s="60"/>
      <c r="V48" s="60"/>
      <c r="W48" s="60"/>
      <c r="X48" s="60"/>
      <c r="Y48" s="60"/>
      <c r="Z48" s="60"/>
      <c r="AA48" s="60"/>
    </row>
    <row r="49" spans="1:27" ht="18" customHeight="1">
      <c r="A49" s="61"/>
      <c r="B49" s="221" t="s">
        <v>198</v>
      </c>
      <c r="C49" s="557">
        <f>C47/J17</f>
        <v>48071.235818677938</v>
      </c>
      <c r="D49" s="589"/>
      <c r="E49" s="589"/>
      <c r="F49" s="590"/>
      <c r="G49" s="71"/>
      <c r="H49" s="60"/>
      <c r="I49" s="60"/>
      <c r="J49" s="69"/>
      <c r="K49" s="69"/>
      <c r="L49" s="70"/>
      <c r="M49" s="72"/>
      <c r="N49" s="71"/>
      <c r="O49" s="60"/>
      <c r="P49" s="60"/>
      <c r="Q49" s="181">
        <f t="shared" ref="Q49:Q52" si="8">$J$26-$C$44-$C$10-$C$23*(1+R49)</f>
        <v>13299078.853173345</v>
      </c>
      <c r="R49" s="182">
        <v>0</v>
      </c>
      <c r="S49" s="60"/>
      <c r="T49" s="60"/>
      <c r="U49" s="60"/>
      <c r="V49" s="60"/>
      <c r="W49" s="60"/>
      <c r="X49" s="60"/>
      <c r="Y49" s="60"/>
      <c r="Z49" s="60"/>
      <c r="AA49" s="60"/>
    </row>
    <row r="50" spans="1:27" ht="18" customHeight="1">
      <c r="A50" s="61"/>
      <c r="B50" s="60"/>
      <c r="C50" s="69"/>
      <c r="D50" s="70"/>
      <c r="E50" s="72"/>
      <c r="F50" s="71"/>
      <c r="G50" s="71"/>
      <c r="H50" s="60"/>
      <c r="I50" s="60"/>
      <c r="J50" s="69"/>
      <c r="K50" s="69"/>
      <c r="L50" s="70"/>
      <c r="M50" s="72"/>
      <c r="N50" s="71"/>
      <c r="O50" s="60"/>
      <c r="P50" s="60"/>
      <c r="Q50" s="181">
        <f t="shared" si="8"/>
        <v>5045178.8531733453</v>
      </c>
      <c r="R50" s="184">
        <v>0.1</v>
      </c>
      <c r="S50" s="60"/>
      <c r="T50" s="60"/>
      <c r="U50" s="60"/>
      <c r="V50" s="60"/>
      <c r="W50" s="60"/>
      <c r="X50" s="60"/>
      <c r="Y50" s="60"/>
      <c r="Z50" s="60"/>
      <c r="AA50" s="60"/>
    </row>
    <row r="51" spans="1:27" ht="18" customHeight="1">
      <c r="A51" s="61"/>
      <c r="G51" s="71"/>
      <c r="H51" s="60"/>
      <c r="I51" s="60"/>
      <c r="J51" s="69"/>
      <c r="K51" s="69"/>
      <c r="L51" s="70"/>
      <c r="M51" s="72"/>
      <c r="N51" s="71"/>
      <c r="O51" s="60"/>
      <c r="P51" s="60"/>
      <c r="Q51" s="181">
        <f t="shared" si="8"/>
        <v>-7335671.1468266547</v>
      </c>
      <c r="R51" s="185">
        <v>0.25</v>
      </c>
      <c r="S51" s="60"/>
      <c r="T51" s="60"/>
      <c r="U51" s="60"/>
      <c r="V51" s="60"/>
      <c r="W51" s="60"/>
      <c r="X51" s="60"/>
      <c r="Y51" s="60"/>
      <c r="Z51" s="60"/>
      <c r="AA51" s="60"/>
    </row>
    <row r="52" spans="1:27" ht="18" customHeight="1">
      <c r="A52" s="61"/>
      <c r="F52" s="526"/>
      <c r="G52" s="71"/>
      <c r="H52" s="60"/>
      <c r="I52" s="60"/>
      <c r="J52" s="69"/>
      <c r="K52" s="69"/>
      <c r="L52" s="70"/>
      <c r="M52" s="72"/>
      <c r="N52" s="71"/>
      <c r="O52" s="60"/>
      <c r="P52" s="60"/>
      <c r="Q52" s="187">
        <f t="shared" si="8"/>
        <v>-7.1999996900558472E-2</v>
      </c>
      <c r="R52" s="188">
        <f>(J26-C44-C10+N24)/C23-1</f>
        <v>0.16112478858689028</v>
      </c>
      <c r="S52" s="60"/>
      <c r="T52" s="60"/>
      <c r="U52" s="60"/>
      <c r="V52" s="60"/>
      <c r="W52" s="60"/>
      <c r="X52" s="60"/>
      <c r="Y52" s="60"/>
      <c r="Z52" s="60"/>
      <c r="AA52" s="60"/>
    </row>
    <row r="53" spans="1:27" ht="18" customHeight="1">
      <c r="A53" s="61"/>
      <c r="G53" s="71"/>
      <c r="H53" s="60"/>
      <c r="I53" s="60"/>
      <c r="J53" s="69"/>
      <c r="K53" s="69"/>
      <c r="L53" s="70"/>
      <c r="M53" s="72"/>
      <c r="N53" s="71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</row>
    <row r="54" spans="1:27" ht="18" customHeight="1">
      <c r="A54" s="61"/>
      <c r="G54" s="71"/>
      <c r="H54" s="60"/>
      <c r="I54" s="60"/>
      <c r="J54" s="69"/>
      <c r="K54" s="69"/>
      <c r="L54" s="70"/>
      <c r="M54" s="72"/>
      <c r="N54" s="71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</row>
    <row r="55" spans="1:27" ht="18" customHeight="1">
      <c r="A55" s="61"/>
      <c r="G55" s="71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</row>
    <row r="56" spans="1:27" ht="18" customHeight="1">
      <c r="A56" s="61"/>
      <c r="B56" s="60"/>
      <c r="C56" s="69"/>
      <c r="D56" s="70"/>
      <c r="E56" s="72"/>
      <c r="F56" s="71"/>
      <c r="G56" s="71"/>
      <c r="H56" s="60"/>
      <c r="I56" s="60"/>
      <c r="J56" s="60"/>
      <c r="K56" s="60"/>
      <c r="L56" s="60"/>
      <c r="M56" s="60"/>
      <c r="N56" s="60"/>
      <c r="O56" s="60"/>
      <c r="P56" s="60"/>
      <c r="Q56" s="534" t="s">
        <v>165</v>
      </c>
      <c r="R56" s="590"/>
      <c r="S56" s="60"/>
      <c r="T56" s="60"/>
      <c r="U56" s="60"/>
      <c r="V56" s="60"/>
      <c r="W56" s="60"/>
      <c r="X56" s="60"/>
      <c r="Y56" s="60"/>
      <c r="Z56" s="60"/>
      <c r="AA56" s="60"/>
    </row>
    <row r="57" spans="1:27" ht="18" customHeight="1">
      <c r="A57" s="61"/>
      <c r="B57" s="60"/>
      <c r="C57" s="69"/>
      <c r="D57" s="70"/>
      <c r="E57" s="72"/>
      <c r="F57" s="71"/>
      <c r="G57" s="71"/>
      <c r="H57" s="60"/>
      <c r="I57" s="60"/>
      <c r="J57" s="60"/>
      <c r="K57" s="60"/>
      <c r="L57" s="60"/>
      <c r="M57" s="60"/>
      <c r="N57" s="60"/>
      <c r="O57" s="60"/>
      <c r="P57" s="60"/>
      <c r="Q57" s="179" t="s">
        <v>155</v>
      </c>
      <c r="R57" s="180" t="s">
        <v>166</v>
      </c>
      <c r="S57" s="60"/>
      <c r="T57" s="60"/>
      <c r="U57" s="60"/>
      <c r="V57" s="60"/>
      <c r="W57" s="60"/>
      <c r="X57" s="60"/>
      <c r="Y57" s="60"/>
      <c r="Z57" s="60"/>
      <c r="AA57" s="60"/>
    </row>
    <row r="58" spans="1:27" ht="18" customHeight="1">
      <c r="A58" s="61"/>
      <c r="B58" s="60"/>
      <c r="C58" s="69"/>
      <c r="D58" s="70"/>
      <c r="E58" s="72"/>
      <c r="F58" s="71"/>
      <c r="G58" s="71"/>
      <c r="H58" s="60"/>
      <c r="I58" s="60"/>
      <c r="J58" s="60"/>
      <c r="K58" s="60"/>
      <c r="L58" s="60"/>
      <c r="M58" s="60"/>
      <c r="N58" s="60"/>
      <c r="O58" s="60"/>
      <c r="P58" s="60"/>
      <c r="Q58" s="181">
        <f t="shared" ref="Q58:Q61" si="9">$J$26+-$C$10-$C$23-SUM($F$28:$F$38)-(($C$10*$E$39)*$C$39/12)*(SUM($R$7:$R$13)+R58)-(($C$23*$E$40+SUM($F$28:$F$38)*$E$40)*$C$40/12)*(SUM($R$14:$R$16)+R58)-(($C$10*$E$42)*$C$42/12)*(SUM($R$14:$R$16)+R58)</f>
        <v>13299078.853173345</v>
      </c>
      <c r="R58" s="193">
        <v>0</v>
      </c>
      <c r="S58" s="60"/>
      <c r="T58" s="60"/>
      <c r="U58" s="60"/>
      <c r="V58" s="60"/>
      <c r="W58" s="60"/>
      <c r="X58" s="60"/>
      <c r="Y58" s="60"/>
      <c r="Z58" s="60"/>
      <c r="AA58" s="60"/>
    </row>
    <row r="59" spans="1:27" ht="18" customHeight="1">
      <c r="A59" s="61"/>
      <c r="B59" s="60"/>
      <c r="C59" s="69"/>
      <c r="D59" s="70"/>
      <c r="E59" s="72"/>
      <c r="F59" s="71"/>
      <c r="G59" s="71"/>
      <c r="H59" s="60"/>
      <c r="I59" s="60"/>
      <c r="J59" s="60"/>
      <c r="K59" s="60"/>
      <c r="L59" s="60"/>
      <c r="M59" s="60"/>
      <c r="N59" s="60"/>
      <c r="O59" s="60"/>
      <c r="P59" s="60"/>
      <c r="Q59" s="181">
        <f t="shared" si="9"/>
        <v>10239905.311760012</v>
      </c>
      <c r="R59" s="193">
        <v>6</v>
      </c>
      <c r="S59" s="60"/>
      <c r="T59" s="60"/>
      <c r="U59" s="60"/>
      <c r="V59" s="60"/>
      <c r="W59" s="60"/>
      <c r="X59" s="60"/>
      <c r="Y59" s="60"/>
      <c r="Z59" s="60"/>
      <c r="AA59" s="60"/>
    </row>
    <row r="60" spans="1:27" ht="18" customHeight="1">
      <c r="A60" s="61"/>
      <c r="B60" s="60"/>
      <c r="C60" s="69"/>
      <c r="D60" s="70"/>
      <c r="E60" s="72"/>
      <c r="F60" s="71"/>
      <c r="G60" s="71"/>
      <c r="H60" s="60"/>
      <c r="I60" s="60"/>
      <c r="J60" s="60"/>
      <c r="K60" s="60"/>
      <c r="L60" s="60"/>
      <c r="M60" s="60"/>
      <c r="N60" s="60"/>
      <c r="O60" s="60"/>
      <c r="P60" s="60"/>
      <c r="Q60" s="181">
        <f t="shared" si="9"/>
        <v>7180731.770346676</v>
      </c>
      <c r="R60" s="193">
        <v>12</v>
      </c>
      <c r="S60" s="60"/>
      <c r="T60" s="60"/>
      <c r="U60" s="60"/>
      <c r="V60" s="60"/>
      <c r="W60" s="60"/>
      <c r="X60" s="60"/>
      <c r="Y60" s="60"/>
      <c r="Z60" s="60"/>
      <c r="AA60" s="60"/>
    </row>
    <row r="61" spans="1:27" ht="18" customHeight="1">
      <c r="A61" s="61"/>
      <c r="B61" s="60"/>
      <c r="C61" s="69"/>
      <c r="D61" s="70"/>
      <c r="E61" s="72"/>
      <c r="F61" s="71"/>
      <c r="G61" s="71"/>
      <c r="H61" s="60"/>
      <c r="I61" s="60"/>
      <c r="J61" s="60"/>
      <c r="K61" s="60"/>
      <c r="L61" s="60"/>
      <c r="M61" s="60"/>
      <c r="N61" s="60"/>
      <c r="O61" s="60"/>
      <c r="P61" s="60"/>
      <c r="Q61" s="187">
        <f t="shared" si="9"/>
        <v>1062384.687520012</v>
      </c>
      <c r="R61" s="470">
        <v>24</v>
      </c>
      <c r="S61" s="60"/>
      <c r="T61" s="60"/>
      <c r="U61" s="60"/>
      <c r="V61" s="60"/>
      <c r="W61" s="60"/>
      <c r="X61" s="60"/>
      <c r="Y61" s="60"/>
      <c r="Z61" s="60"/>
      <c r="AA61" s="60"/>
    </row>
    <row r="62" spans="1:27" ht="18" customHeight="1">
      <c r="A62" s="61"/>
      <c r="B62" s="60"/>
      <c r="C62" s="69"/>
      <c r="D62" s="70"/>
      <c r="E62" s="72"/>
      <c r="F62" s="71"/>
      <c r="G62" s="71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</row>
    <row r="63" spans="1:27" ht="18" customHeight="1">
      <c r="A63" s="61"/>
      <c r="B63" s="60"/>
      <c r="C63" s="69"/>
      <c r="D63" s="70"/>
      <c r="E63" s="72"/>
      <c r="F63" s="71"/>
      <c r="G63" s="71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</row>
    <row r="64" spans="1:27" ht="18" customHeight="1">
      <c r="A64" s="61"/>
      <c r="B64" s="60"/>
      <c r="C64" s="69"/>
      <c r="D64" s="70"/>
      <c r="E64" s="72"/>
      <c r="F64" s="71"/>
      <c r="G64" s="71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</row>
    <row r="65" spans="1:27" ht="18" customHeight="1">
      <c r="A65" s="61"/>
      <c r="B65" s="60"/>
      <c r="C65" s="69"/>
      <c r="D65" s="70"/>
      <c r="E65" s="72"/>
      <c r="F65" s="71"/>
      <c r="G65" s="71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</row>
    <row r="66" spans="1:27" ht="18" customHeight="1">
      <c r="A66" s="61"/>
      <c r="B66" s="60"/>
      <c r="C66" s="69"/>
      <c r="D66" s="70"/>
      <c r="E66" s="72"/>
      <c r="F66" s="71"/>
      <c r="G66" s="71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</row>
    <row r="67" spans="1:27" ht="18" customHeight="1">
      <c r="A67" s="61"/>
      <c r="B67" s="60"/>
      <c r="C67" s="69"/>
      <c r="D67" s="70"/>
      <c r="E67" s="72"/>
      <c r="F67" s="71"/>
      <c r="G67" s="71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</row>
    <row r="68" spans="1:27" ht="18" customHeight="1">
      <c r="A68" s="61"/>
      <c r="B68" s="60"/>
      <c r="C68" s="69"/>
      <c r="D68" s="70"/>
      <c r="E68" s="72"/>
      <c r="F68" s="71"/>
      <c r="G68" s="71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</row>
    <row r="69" spans="1:27" ht="18" customHeight="1">
      <c r="A69" s="61"/>
      <c r="B69" s="60"/>
      <c r="C69" s="69"/>
      <c r="D69" s="70"/>
      <c r="E69" s="72"/>
      <c r="F69" s="71"/>
      <c r="G69" s="71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</row>
    <row r="70" spans="1:27" ht="18" customHeight="1">
      <c r="A70" s="61"/>
      <c r="B70" s="60"/>
      <c r="C70" s="69"/>
      <c r="D70" s="70"/>
      <c r="E70" s="72"/>
      <c r="F70" s="71"/>
      <c r="G70" s="71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</row>
    <row r="71" spans="1:27" ht="18" customHeight="1">
      <c r="A71" s="61"/>
      <c r="B71" s="60"/>
      <c r="C71" s="69"/>
      <c r="D71" s="70"/>
      <c r="E71" s="72"/>
      <c r="F71" s="71"/>
      <c r="G71" s="71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</row>
    <row r="72" spans="1:27" ht="18" customHeight="1">
      <c r="A72" s="61"/>
      <c r="B72" s="60"/>
      <c r="C72" s="69"/>
      <c r="D72" s="70"/>
      <c r="E72" s="72"/>
      <c r="F72" s="71"/>
      <c r="G72" s="71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</row>
    <row r="73" spans="1:27" ht="18" customHeight="1">
      <c r="A73" s="61"/>
      <c r="B73" s="60"/>
      <c r="C73" s="69"/>
      <c r="D73" s="70"/>
      <c r="E73" s="72"/>
      <c r="F73" s="71"/>
      <c r="G73" s="71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</row>
    <row r="74" spans="1:27" ht="18" customHeight="1">
      <c r="A74" s="61"/>
      <c r="B74" s="60"/>
      <c r="C74" s="69"/>
      <c r="D74" s="70"/>
      <c r="E74" s="72"/>
      <c r="F74" s="71"/>
      <c r="G74" s="71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</row>
    <row r="75" spans="1:27" ht="18" customHeight="1">
      <c r="A75" s="61"/>
      <c r="B75" s="60"/>
      <c r="C75" s="69"/>
      <c r="D75" s="70"/>
      <c r="E75" s="72"/>
      <c r="F75" s="71"/>
      <c r="G75" s="71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</row>
    <row r="76" spans="1:27" ht="18" customHeight="1">
      <c r="A76" s="61"/>
      <c r="B76" s="60"/>
      <c r="C76" s="69"/>
      <c r="D76" s="70"/>
      <c r="E76" s="72"/>
      <c r="F76" s="71"/>
      <c r="G76" s="71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</row>
    <row r="77" spans="1:27" ht="18" customHeight="1">
      <c r="A77" s="61"/>
      <c r="B77" s="60"/>
      <c r="C77" s="69"/>
      <c r="D77" s="70"/>
      <c r="E77" s="72"/>
      <c r="F77" s="71"/>
      <c r="G77" s="71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</row>
    <row r="78" spans="1:27" ht="18" customHeight="1">
      <c r="A78" s="61"/>
      <c r="B78" s="60"/>
      <c r="C78" s="69"/>
      <c r="D78" s="70"/>
      <c r="E78" s="72"/>
      <c r="F78" s="71"/>
      <c r="G78" s="71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</row>
    <row r="79" spans="1:27" ht="18" customHeight="1">
      <c r="A79" s="61"/>
      <c r="B79" s="60"/>
      <c r="C79" s="69"/>
      <c r="D79" s="70"/>
      <c r="E79" s="72"/>
      <c r="F79" s="71"/>
      <c r="G79" s="71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</row>
    <row r="80" spans="1:27" ht="18" customHeight="1">
      <c r="A80" s="61"/>
      <c r="B80" s="60"/>
      <c r="C80" s="69"/>
      <c r="D80" s="70"/>
      <c r="E80" s="72"/>
      <c r="F80" s="71"/>
      <c r="G80" s="71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</row>
    <row r="81" spans="1:27" ht="18" customHeight="1">
      <c r="A81" s="61"/>
      <c r="B81" s="60"/>
      <c r="C81" s="69"/>
      <c r="D81" s="70"/>
      <c r="E81" s="72"/>
      <c r="F81" s="71"/>
      <c r="G81" s="71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</row>
    <row r="82" spans="1:27" ht="18" customHeight="1">
      <c r="A82" s="61"/>
      <c r="B82" s="60"/>
      <c r="C82" s="69"/>
      <c r="D82" s="70"/>
      <c r="E82" s="72"/>
      <c r="F82" s="71"/>
      <c r="G82" s="71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</row>
    <row r="83" spans="1:27" ht="18" customHeight="1">
      <c r="A83" s="61"/>
      <c r="B83" s="60"/>
      <c r="C83" s="69"/>
      <c r="D83" s="70"/>
      <c r="E83" s="72"/>
      <c r="F83" s="71"/>
      <c r="G83" s="71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</row>
    <row r="84" spans="1:27" ht="18" customHeight="1">
      <c r="A84" s="61"/>
      <c r="B84" s="60"/>
      <c r="C84" s="69"/>
      <c r="D84" s="70"/>
      <c r="E84" s="72"/>
      <c r="F84" s="71"/>
      <c r="G84" s="71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</row>
    <row r="85" spans="1:27" ht="18" customHeight="1">
      <c r="A85" s="61"/>
      <c r="B85" s="60"/>
      <c r="C85" s="69"/>
      <c r="D85" s="70"/>
      <c r="E85" s="72"/>
      <c r="F85" s="71"/>
      <c r="G85" s="71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</row>
    <row r="86" spans="1:27" ht="18" customHeight="1">
      <c r="A86" s="61"/>
      <c r="B86" s="60"/>
      <c r="C86" s="69"/>
      <c r="D86" s="70"/>
      <c r="E86" s="72"/>
      <c r="F86" s="71"/>
      <c r="G86" s="71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</row>
    <row r="87" spans="1:27" ht="18" customHeight="1">
      <c r="A87" s="61"/>
      <c r="B87" s="60"/>
      <c r="C87" s="69"/>
      <c r="D87" s="70"/>
      <c r="E87" s="72"/>
      <c r="F87" s="71"/>
      <c r="G87" s="71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</row>
    <row r="88" spans="1:27" ht="18" customHeight="1">
      <c r="A88" s="61"/>
      <c r="B88" s="60"/>
      <c r="C88" s="69"/>
      <c r="D88" s="70"/>
      <c r="E88" s="72"/>
      <c r="F88" s="71"/>
      <c r="G88" s="71"/>
      <c r="H88" s="60"/>
      <c r="I88" s="60"/>
      <c r="J88" s="69"/>
      <c r="K88" s="69"/>
      <c r="L88" s="70"/>
      <c r="M88" s="72"/>
      <c r="N88" s="71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</row>
    <row r="89" spans="1:27" ht="18" customHeight="1">
      <c r="A89" s="61"/>
      <c r="B89" s="60"/>
      <c r="C89" s="69"/>
      <c r="D89" s="70"/>
      <c r="E89" s="72"/>
      <c r="F89" s="71"/>
      <c r="G89" s="71"/>
      <c r="H89" s="60"/>
      <c r="I89" s="60"/>
      <c r="J89" s="69"/>
      <c r="K89" s="69"/>
      <c r="L89" s="70"/>
      <c r="M89" s="72"/>
      <c r="N89" s="71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</row>
    <row r="90" spans="1:27" ht="18" customHeight="1">
      <c r="A90" s="61"/>
      <c r="B90" s="60"/>
      <c r="C90" s="69"/>
      <c r="D90" s="70"/>
      <c r="E90" s="72"/>
      <c r="F90" s="71"/>
      <c r="G90" s="71"/>
      <c r="H90" s="60"/>
      <c r="I90" s="60"/>
      <c r="J90" s="69"/>
      <c r="K90" s="69"/>
      <c r="L90" s="70"/>
      <c r="M90" s="72"/>
      <c r="N90" s="71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</row>
    <row r="91" spans="1:27" ht="18" customHeight="1">
      <c r="A91" s="61"/>
      <c r="B91" s="60"/>
      <c r="C91" s="69"/>
      <c r="D91" s="70"/>
      <c r="E91" s="72"/>
      <c r="F91" s="71"/>
      <c r="G91" s="71"/>
      <c r="H91" s="60"/>
      <c r="I91" s="60"/>
      <c r="J91" s="69"/>
      <c r="K91" s="69"/>
      <c r="L91" s="70"/>
      <c r="M91" s="72"/>
      <c r="N91" s="71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</row>
    <row r="92" spans="1:27" ht="18" customHeight="1">
      <c r="A92" s="61"/>
      <c r="B92" s="60"/>
      <c r="C92" s="69"/>
      <c r="D92" s="70"/>
      <c r="E92" s="72"/>
      <c r="F92" s="71"/>
      <c r="G92" s="71"/>
      <c r="H92" s="60"/>
      <c r="I92" s="60"/>
      <c r="J92" s="69"/>
      <c r="K92" s="69"/>
      <c r="L92" s="70"/>
      <c r="M92" s="72"/>
      <c r="N92" s="71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</row>
    <row r="93" spans="1:27" ht="18" customHeight="1">
      <c r="A93" s="61"/>
      <c r="B93" s="60"/>
      <c r="C93" s="69"/>
      <c r="D93" s="70"/>
      <c r="E93" s="72"/>
      <c r="F93" s="71"/>
      <c r="G93" s="71"/>
      <c r="H93" s="60"/>
      <c r="I93" s="60"/>
      <c r="J93" s="69"/>
      <c r="K93" s="69"/>
      <c r="L93" s="70"/>
      <c r="M93" s="72"/>
      <c r="N93" s="71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</row>
    <row r="94" spans="1:27" ht="18" customHeight="1">
      <c r="A94" s="61"/>
      <c r="B94" s="60"/>
      <c r="C94" s="69"/>
      <c r="D94" s="70"/>
      <c r="E94" s="72"/>
      <c r="F94" s="71"/>
      <c r="G94" s="71"/>
      <c r="H94" s="60"/>
      <c r="I94" s="60"/>
      <c r="J94" s="69"/>
      <c r="K94" s="69"/>
      <c r="L94" s="70"/>
      <c r="M94" s="72"/>
      <c r="N94" s="71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</row>
    <row r="95" spans="1:27" ht="18" customHeight="1">
      <c r="A95" s="61"/>
      <c r="B95" s="60"/>
      <c r="C95" s="69"/>
      <c r="D95" s="70"/>
      <c r="E95" s="72"/>
      <c r="F95" s="71"/>
      <c r="G95" s="71"/>
      <c r="H95" s="60"/>
      <c r="I95" s="60"/>
      <c r="J95" s="69"/>
      <c r="K95" s="69"/>
      <c r="L95" s="70"/>
      <c r="M95" s="72"/>
      <c r="N95" s="71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</row>
    <row r="96" spans="1:27" ht="18" customHeight="1">
      <c r="A96" s="61"/>
      <c r="B96" s="60"/>
      <c r="C96" s="69"/>
      <c r="D96" s="70"/>
      <c r="E96" s="72"/>
      <c r="F96" s="71"/>
      <c r="G96" s="71"/>
      <c r="H96" s="60"/>
      <c r="I96" s="60"/>
      <c r="J96" s="69"/>
      <c r="K96" s="69"/>
      <c r="L96" s="70"/>
      <c r="M96" s="72"/>
      <c r="N96" s="71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</row>
    <row r="97" spans="1:27" ht="18" customHeight="1">
      <c r="A97" s="61"/>
      <c r="B97" s="60"/>
      <c r="C97" s="69"/>
      <c r="D97" s="70"/>
      <c r="E97" s="72"/>
      <c r="F97" s="71"/>
      <c r="G97" s="71"/>
      <c r="H97" s="60"/>
      <c r="I97" s="60"/>
      <c r="J97" s="69"/>
      <c r="K97" s="69"/>
      <c r="L97" s="70"/>
      <c r="M97" s="72"/>
      <c r="N97" s="71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</row>
    <row r="98" spans="1:27" ht="18" customHeight="1">
      <c r="A98" s="61"/>
      <c r="B98" s="60"/>
      <c r="C98" s="69"/>
      <c r="D98" s="70"/>
      <c r="E98" s="72"/>
      <c r="F98" s="71"/>
      <c r="G98" s="71"/>
      <c r="H98" s="60"/>
      <c r="I98" s="60"/>
      <c r="J98" s="69"/>
      <c r="K98" s="69"/>
      <c r="L98" s="70"/>
      <c r="M98" s="72"/>
      <c r="N98" s="71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</row>
    <row r="99" spans="1:27" ht="18" customHeight="1">
      <c r="A99" s="61"/>
      <c r="B99" s="60"/>
      <c r="C99" s="69"/>
      <c r="D99" s="70"/>
      <c r="E99" s="72"/>
      <c r="F99" s="71"/>
      <c r="G99" s="71"/>
      <c r="H99" s="60"/>
      <c r="I99" s="60"/>
      <c r="J99" s="69"/>
      <c r="K99" s="69"/>
      <c r="L99" s="70"/>
      <c r="M99" s="72"/>
      <c r="N99" s="71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</row>
    <row r="100" spans="1:27" ht="18" customHeight="1">
      <c r="A100" s="61"/>
      <c r="B100" s="60"/>
      <c r="C100" s="69"/>
      <c r="D100" s="70"/>
      <c r="E100" s="72"/>
      <c r="F100" s="71"/>
      <c r="G100" s="71"/>
      <c r="H100" s="60"/>
      <c r="I100" s="60"/>
      <c r="J100" s="69"/>
      <c r="K100" s="69"/>
      <c r="L100" s="70"/>
      <c r="M100" s="72"/>
      <c r="N100" s="71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</row>
    <row r="101" spans="1:27" ht="18" customHeight="1">
      <c r="A101" s="61"/>
      <c r="B101" s="60"/>
      <c r="C101" s="69"/>
      <c r="D101" s="70"/>
      <c r="E101" s="72"/>
      <c r="F101" s="71"/>
      <c r="G101" s="71"/>
      <c r="H101" s="60"/>
      <c r="I101" s="60"/>
      <c r="J101" s="69"/>
      <c r="K101" s="69"/>
      <c r="L101" s="70"/>
      <c r="M101" s="72"/>
      <c r="N101" s="71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</row>
    <row r="102" spans="1:27" ht="18" customHeight="1">
      <c r="A102" s="61"/>
      <c r="B102" s="60"/>
      <c r="C102" s="69"/>
      <c r="D102" s="70"/>
      <c r="E102" s="72"/>
      <c r="F102" s="71"/>
      <c r="G102" s="71"/>
      <c r="H102" s="60"/>
      <c r="I102" s="60"/>
      <c r="J102" s="69"/>
      <c r="K102" s="69"/>
      <c r="L102" s="70"/>
      <c r="M102" s="72"/>
      <c r="N102" s="71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</row>
    <row r="103" spans="1:27" ht="18" customHeight="1">
      <c r="A103" s="61"/>
      <c r="B103" s="60"/>
      <c r="C103" s="69"/>
      <c r="D103" s="70"/>
      <c r="E103" s="72"/>
      <c r="F103" s="71"/>
      <c r="G103" s="71"/>
      <c r="H103" s="60"/>
      <c r="I103" s="60"/>
      <c r="J103" s="69"/>
      <c r="K103" s="69"/>
      <c r="L103" s="70"/>
      <c r="M103" s="72"/>
      <c r="N103" s="71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</row>
    <row r="104" spans="1:27" ht="18" customHeight="1">
      <c r="A104" s="61"/>
      <c r="B104" s="60"/>
      <c r="C104" s="69"/>
      <c r="D104" s="70"/>
      <c r="E104" s="72"/>
      <c r="F104" s="71"/>
      <c r="G104" s="71"/>
      <c r="H104" s="60"/>
      <c r="I104" s="60"/>
      <c r="J104" s="69"/>
      <c r="K104" s="69"/>
      <c r="L104" s="70"/>
      <c r="M104" s="72"/>
      <c r="N104" s="71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</row>
    <row r="105" spans="1:27" ht="18" customHeight="1">
      <c r="A105" s="61"/>
      <c r="B105" s="60"/>
      <c r="C105" s="69"/>
      <c r="D105" s="70"/>
      <c r="E105" s="72"/>
      <c r="F105" s="71"/>
      <c r="G105" s="71"/>
      <c r="H105" s="60"/>
      <c r="I105" s="60"/>
      <c r="J105" s="69"/>
      <c r="K105" s="69"/>
      <c r="L105" s="70"/>
      <c r="M105" s="72"/>
      <c r="N105" s="71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</row>
    <row r="106" spans="1:27" ht="18" customHeight="1">
      <c r="A106" s="61"/>
      <c r="B106" s="60"/>
      <c r="C106" s="69"/>
      <c r="D106" s="70"/>
      <c r="E106" s="72"/>
      <c r="F106" s="71"/>
      <c r="G106" s="71"/>
      <c r="H106" s="60"/>
      <c r="I106" s="60"/>
      <c r="J106" s="69"/>
      <c r="K106" s="69"/>
      <c r="L106" s="70"/>
      <c r="M106" s="72"/>
      <c r="N106" s="71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</row>
    <row r="107" spans="1:27" ht="18" customHeight="1">
      <c r="A107" s="61"/>
      <c r="B107" s="60"/>
      <c r="C107" s="69"/>
      <c r="D107" s="70"/>
      <c r="E107" s="72"/>
      <c r="F107" s="71"/>
      <c r="G107" s="71"/>
      <c r="H107" s="60"/>
      <c r="I107" s="60"/>
      <c r="J107" s="69"/>
      <c r="K107" s="69"/>
      <c r="L107" s="70"/>
      <c r="M107" s="72"/>
      <c r="N107" s="71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</row>
    <row r="108" spans="1:27" ht="18" customHeight="1">
      <c r="A108" s="61"/>
      <c r="B108" s="60"/>
      <c r="C108" s="69"/>
      <c r="D108" s="70"/>
      <c r="E108" s="72"/>
      <c r="F108" s="71"/>
      <c r="G108" s="71"/>
      <c r="H108" s="60"/>
      <c r="I108" s="60"/>
      <c r="J108" s="69"/>
      <c r="K108" s="69"/>
      <c r="L108" s="70"/>
      <c r="M108" s="72"/>
      <c r="N108" s="71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</row>
    <row r="109" spans="1:27" ht="18" customHeight="1">
      <c r="A109" s="61"/>
      <c r="B109" s="60"/>
      <c r="C109" s="69"/>
      <c r="D109" s="70"/>
      <c r="E109" s="72"/>
      <c r="F109" s="71"/>
      <c r="G109" s="71"/>
      <c r="H109" s="60"/>
      <c r="I109" s="60"/>
      <c r="J109" s="69"/>
      <c r="K109" s="69"/>
      <c r="L109" s="70"/>
      <c r="M109" s="72"/>
      <c r="N109" s="71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</row>
    <row r="110" spans="1:27" ht="18" customHeight="1">
      <c r="A110" s="61"/>
      <c r="B110" s="60"/>
      <c r="C110" s="69"/>
      <c r="D110" s="70"/>
      <c r="E110" s="72"/>
      <c r="F110" s="71"/>
      <c r="G110" s="71"/>
      <c r="H110" s="60"/>
      <c r="I110" s="60"/>
      <c r="J110" s="69"/>
      <c r="K110" s="69"/>
      <c r="L110" s="70"/>
      <c r="M110" s="72"/>
      <c r="N110" s="71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</row>
    <row r="111" spans="1:27" ht="18" customHeight="1">
      <c r="A111" s="61"/>
      <c r="B111" s="60"/>
      <c r="C111" s="69"/>
      <c r="D111" s="70"/>
      <c r="E111" s="72"/>
      <c r="F111" s="71"/>
      <c r="G111" s="71"/>
      <c r="H111" s="60"/>
      <c r="I111" s="60"/>
      <c r="J111" s="69"/>
      <c r="K111" s="69"/>
      <c r="L111" s="70"/>
      <c r="M111" s="72"/>
      <c r="N111" s="71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</row>
    <row r="112" spans="1:27" ht="18" customHeight="1">
      <c r="A112" s="61"/>
      <c r="B112" s="60"/>
      <c r="C112" s="69"/>
      <c r="D112" s="70"/>
      <c r="E112" s="72"/>
      <c r="F112" s="71"/>
      <c r="G112" s="71"/>
      <c r="H112" s="60"/>
      <c r="I112" s="60"/>
      <c r="J112" s="69"/>
      <c r="K112" s="69"/>
      <c r="L112" s="70"/>
      <c r="M112" s="72"/>
      <c r="N112" s="71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</row>
    <row r="113" spans="1:27" ht="18" customHeight="1">
      <c r="A113" s="61"/>
      <c r="B113" s="60"/>
      <c r="C113" s="69"/>
      <c r="D113" s="70"/>
      <c r="E113" s="72"/>
      <c r="F113" s="71"/>
      <c r="G113" s="71"/>
      <c r="H113" s="60"/>
      <c r="I113" s="60"/>
      <c r="J113" s="69"/>
      <c r="K113" s="69"/>
      <c r="L113" s="70"/>
      <c r="M113" s="72"/>
      <c r="N113" s="71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</row>
    <row r="114" spans="1:27" ht="18" customHeight="1">
      <c r="A114" s="61"/>
      <c r="B114" s="60"/>
      <c r="C114" s="69"/>
      <c r="D114" s="70"/>
      <c r="E114" s="72"/>
      <c r="F114" s="71"/>
      <c r="G114" s="71"/>
      <c r="H114" s="60"/>
      <c r="I114" s="60"/>
      <c r="J114" s="69"/>
      <c r="K114" s="69"/>
      <c r="L114" s="70"/>
      <c r="M114" s="72"/>
      <c r="N114" s="71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</row>
    <row r="115" spans="1:27" ht="18" customHeight="1">
      <c r="A115" s="61"/>
      <c r="B115" s="60"/>
      <c r="C115" s="69"/>
      <c r="D115" s="70"/>
      <c r="E115" s="72"/>
      <c r="F115" s="71"/>
      <c r="G115" s="71"/>
      <c r="H115" s="60"/>
      <c r="I115" s="60"/>
      <c r="J115" s="69"/>
      <c r="K115" s="69"/>
      <c r="L115" s="70"/>
      <c r="M115" s="72"/>
      <c r="N115" s="71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</row>
    <row r="116" spans="1:27" ht="18" customHeight="1">
      <c r="A116" s="61"/>
      <c r="B116" s="60"/>
      <c r="C116" s="69"/>
      <c r="D116" s="70"/>
      <c r="E116" s="72"/>
      <c r="F116" s="71"/>
      <c r="G116" s="71"/>
      <c r="H116" s="60"/>
      <c r="I116" s="60"/>
      <c r="J116" s="69"/>
      <c r="K116" s="69"/>
      <c r="L116" s="70"/>
      <c r="M116" s="72"/>
      <c r="N116" s="71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</row>
    <row r="117" spans="1:27" ht="18" customHeight="1">
      <c r="A117" s="61"/>
      <c r="B117" s="60"/>
      <c r="C117" s="69"/>
      <c r="D117" s="70"/>
      <c r="E117" s="72"/>
      <c r="F117" s="71"/>
      <c r="G117" s="71"/>
      <c r="H117" s="60"/>
      <c r="I117" s="60"/>
      <c r="J117" s="69"/>
      <c r="K117" s="69"/>
      <c r="L117" s="70"/>
      <c r="M117" s="72"/>
      <c r="N117" s="71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</row>
    <row r="118" spans="1:27" ht="18" customHeight="1">
      <c r="A118" s="61"/>
      <c r="B118" s="60"/>
      <c r="C118" s="69"/>
      <c r="D118" s="70"/>
      <c r="E118" s="72"/>
      <c r="F118" s="71"/>
      <c r="G118" s="71"/>
      <c r="H118" s="60"/>
      <c r="I118" s="60"/>
      <c r="J118" s="69"/>
      <c r="K118" s="69"/>
      <c r="L118" s="70"/>
      <c r="M118" s="72"/>
      <c r="N118" s="71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</row>
    <row r="119" spans="1:27" ht="18" customHeight="1">
      <c r="A119" s="61"/>
      <c r="B119" s="60"/>
      <c r="C119" s="69"/>
      <c r="D119" s="70"/>
      <c r="E119" s="72"/>
      <c r="F119" s="71"/>
      <c r="G119" s="71"/>
      <c r="H119" s="60"/>
      <c r="I119" s="60"/>
      <c r="J119" s="69"/>
      <c r="K119" s="69"/>
      <c r="L119" s="70"/>
      <c r="M119" s="72"/>
      <c r="N119" s="71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</row>
    <row r="120" spans="1:27" ht="18" customHeight="1">
      <c r="A120" s="61"/>
      <c r="B120" s="60"/>
      <c r="C120" s="69"/>
      <c r="D120" s="70"/>
      <c r="E120" s="72"/>
      <c r="F120" s="71"/>
      <c r="G120" s="71"/>
      <c r="H120" s="60"/>
      <c r="I120" s="60"/>
      <c r="J120" s="69"/>
      <c r="K120" s="69"/>
      <c r="L120" s="70"/>
      <c r="M120" s="72"/>
      <c r="N120" s="71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</row>
    <row r="121" spans="1:27" ht="18" customHeight="1">
      <c r="A121" s="61"/>
      <c r="B121" s="60"/>
      <c r="C121" s="69"/>
      <c r="D121" s="70"/>
      <c r="E121" s="72"/>
      <c r="F121" s="71"/>
      <c r="G121" s="71"/>
      <c r="H121" s="60"/>
      <c r="I121" s="60"/>
      <c r="J121" s="69"/>
      <c r="K121" s="69"/>
      <c r="L121" s="70"/>
      <c r="M121" s="72"/>
      <c r="N121" s="71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</row>
    <row r="122" spans="1:27" ht="18" customHeight="1">
      <c r="A122" s="61"/>
      <c r="B122" s="60"/>
      <c r="C122" s="69"/>
      <c r="D122" s="70"/>
      <c r="E122" s="72"/>
      <c r="F122" s="71"/>
      <c r="G122" s="71"/>
      <c r="H122" s="60"/>
      <c r="I122" s="60"/>
      <c r="J122" s="69"/>
      <c r="K122" s="69"/>
      <c r="L122" s="70"/>
      <c r="M122" s="72"/>
      <c r="N122" s="71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</row>
    <row r="123" spans="1:27" ht="18" customHeight="1">
      <c r="A123" s="61"/>
      <c r="B123" s="60"/>
      <c r="C123" s="69"/>
      <c r="D123" s="70"/>
      <c r="E123" s="72"/>
      <c r="F123" s="71"/>
      <c r="G123" s="71"/>
      <c r="H123" s="60"/>
      <c r="I123" s="60"/>
      <c r="J123" s="69"/>
      <c r="K123" s="69"/>
      <c r="L123" s="70"/>
      <c r="M123" s="72"/>
      <c r="N123" s="71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</row>
    <row r="124" spans="1:27" ht="18" customHeight="1">
      <c r="A124" s="61"/>
      <c r="B124" s="60"/>
      <c r="C124" s="69"/>
      <c r="D124" s="70"/>
      <c r="E124" s="72"/>
      <c r="F124" s="71"/>
      <c r="G124" s="71"/>
      <c r="H124" s="60"/>
      <c r="I124" s="60"/>
      <c r="J124" s="69"/>
      <c r="K124" s="69"/>
      <c r="L124" s="70"/>
      <c r="M124" s="72"/>
      <c r="N124" s="71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</row>
    <row r="125" spans="1:27" ht="18" customHeight="1">
      <c r="A125" s="61"/>
      <c r="B125" s="60"/>
      <c r="C125" s="69"/>
      <c r="D125" s="70"/>
      <c r="E125" s="72"/>
      <c r="F125" s="71"/>
      <c r="G125" s="71"/>
      <c r="H125" s="60"/>
      <c r="I125" s="60"/>
      <c r="J125" s="69"/>
      <c r="K125" s="69"/>
      <c r="L125" s="70"/>
      <c r="M125" s="72"/>
      <c r="N125" s="71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</row>
    <row r="126" spans="1:27" ht="18" customHeight="1">
      <c r="A126" s="61"/>
      <c r="B126" s="60"/>
      <c r="C126" s="69"/>
      <c r="D126" s="70"/>
      <c r="E126" s="72"/>
      <c r="F126" s="71"/>
      <c r="G126" s="71"/>
      <c r="H126" s="60"/>
      <c r="I126" s="60"/>
      <c r="J126" s="69"/>
      <c r="K126" s="69"/>
      <c r="L126" s="70"/>
      <c r="M126" s="72"/>
      <c r="N126" s="71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</row>
    <row r="127" spans="1:27" ht="18" customHeight="1">
      <c r="A127" s="61"/>
      <c r="B127" s="60"/>
      <c r="C127" s="69"/>
      <c r="D127" s="70"/>
      <c r="E127" s="72"/>
      <c r="F127" s="71"/>
      <c r="G127" s="71"/>
      <c r="H127" s="60"/>
      <c r="I127" s="60"/>
      <c r="J127" s="69"/>
      <c r="K127" s="69"/>
      <c r="L127" s="70"/>
      <c r="M127" s="72"/>
      <c r="N127" s="71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</row>
    <row r="128" spans="1:27" ht="18" customHeight="1">
      <c r="A128" s="61"/>
      <c r="B128" s="60"/>
      <c r="C128" s="69"/>
      <c r="D128" s="70"/>
      <c r="E128" s="72"/>
      <c r="F128" s="71"/>
      <c r="G128" s="71"/>
      <c r="H128" s="60"/>
      <c r="I128" s="60"/>
      <c r="J128" s="69"/>
      <c r="K128" s="69"/>
      <c r="L128" s="70"/>
      <c r="M128" s="72"/>
      <c r="N128" s="71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</row>
    <row r="129" spans="1:27" ht="18" customHeight="1">
      <c r="A129" s="61"/>
      <c r="B129" s="60"/>
      <c r="C129" s="69"/>
      <c r="D129" s="70"/>
      <c r="E129" s="72"/>
      <c r="F129" s="71"/>
      <c r="G129" s="71"/>
      <c r="H129" s="60"/>
      <c r="I129" s="60"/>
      <c r="J129" s="69"/>
      <c r="K129" s="69"/>
      <c r="L129" s="70"/>
      <c r="M129" s="72"/>
      <c r="N129" s="71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</row>
    <row r="130" spans="1:27" ht="18" customHeight="1">
      <c r="A130" s="61"/>
      <c r="B130" s="60"/>
      <c r="C130" s="69"/>
      <c r="D130" s="70"/>
      <c r="E130" s="72"/>
      <c r="F130" s="71"/>
      <c r="G130" s="71"/>
      <c r="H130" s="60"/>
      <c r="I130" s="60"/>
      <c r="J130" s="69"/>
      <c r="K130" s="69"/>
      <c r="L130" s="70"/>
      <c r="M130" s="72"/>
      <c r="N130" s="71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</row>
    <row r="131" spans="1:27" ht="18" customHeight="1">
      <c r="A131" s="61"/>
      <c r="B131" s="60"/>
      <c r="C131" s="69"/>
      <c r="D131" s="70"/>
      <c r="E131" s="72"/>
      <c r="F131" s="71"/>
      <c r="G131" s="71"/>
      <c r="H131" s="60"/>
      <c r="I131" s="60"/>
      <c r="J131" s="69"/>
      <c r="K131" s="69"/>
      <c r="L131" s="70"/>
      <c r="M131" s="72"/>
      <c r="N131" s="71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</row>
    <row r="132" spans="1:27" ht="18" customHeight="1">
      <c r="A132" s="61"/>
      <c r="B132" s="60"/>
      <c r="C132" s="69"/>
      <c r="D132" s="70"/>
      <c r="E132" s="72"/>
      <c r="F132" s="71"/>
      <c r="G132" s="71"/>
      <c r="H132" s="60"/>
      <c r="I132" s="60"/>
      <c r="J132" s="69"/>
      <c r="K132" s="69"/>
      <c r="L132" s="70"/>
      <c r="M132" s="72"/>
      <c r="N132" s="71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</row>
    <row r="133" spans="1:27" ht="18" customHeight="1">
      <c r="A133" s="61"/>
      <c r="B133" s="60"/>
      <c r="C133" s="69"/>
      <c r="D133" s="70"/>
      <c r="E133" s="72"/>
      <c r="F133" s="71"/>
      <c r="G133" s="71"/>
      <c r="H133" s="60"/>
      <c r="I133" s="60"/>
      <c r="J133" s="69"/>
      <c r="K133" s="69"/>
      <c r="L133" s="70"/>
      <c r="M133" s="72"/>
      <c r="N133" s="71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</row>
    <row r="134" spans="1:27" ht="18" customHeight="1">
      <c r="A134" s="61"/>
      <c r="B134" s="60"/>
      <c r="C134" s="69"/>
      <c r="D134" s="70"/>
      <c r="E134" s="72"/>
      <c r="F134" s="71"/>
      <c r="G134" s="71"/>
      <c r="H134" s="60"/>
      <c r="I134" s="60"/>
      <c r="J134" s="69"/>
      <c r="K134" s="69"/>
      <c r="L134" s="70"/>
      <c r="M134" s="72"/>
      <c r="N134" s="71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</row>
    <row r="135" spans="1:27" ht="18" customHeight="1">
      <c r="A135" s="61"/>
      <c r="B135" s="60"/>
      <c r="C135" s="69"/>
      <c r="D135" s="70"/>
      <c r="E135" s="72"/>
      <c r="F135" s="71"/>
      <c r="G135" s="71"/>
      <c r="H135" s="60"/>
      <c r="I135" s="60"/>
      <c r="J135" s="69"/>
      <c r="K135" s="69"/>
      <c r="L135" s="70"/>
      <c r="M135" s="72"/>
      <c r="N135" s="71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</row>
    <row r="136" spans="1:27" ht="18" customHeight="1">
      <c r="A136" s="61"/>
      <c r="B136" s="60"/>
      <c r="C136" s="69"/>
      <c r="D136" s="70"/>
      <c r="E136" s="72"/>
      <c r="F136" s="71"/>
      <c r="G136" s="71"/>
      <c r="H136" s="60"/>
      <c r="I136" s="60"/>
      <c r="J136" s="69"/>
      <c r="K136" s="69"/>
      <c r="L136" s="70"/>
      <c r="M136" s="72"/>
      <c r="N136" s="71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</row>
    <row r="137" spans="1:27" ht="18" customHeight="1">
      <c r="A137" s="61"/>
      <c r="B137" s="60"/>
      <c r="C137" s="69"/>
      <c r="D137" s="70"/>
      <c r="E137" s="72"/>
      <c r="F137" s="71"/>
      <c r="G137" s="71"/>
      <c r="H137" s="60"/>
      <c r="I137" s="60"/>
      <c r="J137" s="69"/>
      <c r="K137" s="69"/>
      <c r="L137" s="70"/>
      <c r="M137" s="72"/>
      <c r="N137" s="71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</row>
    <row r="138" spans="1:27" ht="18" customHeight="1">
      <c r="A138" s="61"/>
      <c r="B138" s="60"/>
      <c r="C138" s="69"/>
      <c r="D138" s="70"/>
      <c r="E138" s="72"/>
      <c r="F138" s="71"/>
      <c r="G138" s="71"/>
      <c r="H138" s="60"/>
      <c r="I138" s="60"/>
      <c r="J138" s="69"/>
      <c r="K138" s="69"/>
      <c r="L138" s="70"/>
      <c r="M138" s="72"/>
      <c r="N138" s="71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</row>
    <row r="139" spans="1:27" ht="18" customHeight="1">
      <c r="A139" s="61"/>
      <c r="B139" s="60"/>
      <c r="C139" s="69"/>
      <c r="D139" s="70"/>
      <c r="E139" s="72"/>
      <c r="F139" s="71"/>
      <c r="G139" s="71"/>
      <c r="H139" s="60"/>
      <c r="I139" s="60"/>
      <c r="J139" s="69"/>
      <c r="K139" s="69"/>
      <c r="L139" s="70"/>
      <c r="M139" s="72"/>
      <c r="N139" s="71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</row>
    <row r="140" spans="1:27" ht="18" customHeight="1">
      <c r="A140" s="61"/>
      <c r="B140" s="60"/>
      <c r="C140" s="69"/>
      <c r="D140" s="70"/>
      <c r="E140" s="72"/>
      <c r="F140" s="71"/>
      <c r="G140" s="71"/>
      <c r="H140" s="60"/>
      <c r="I140" s="60"/>
      <c r="J140" s="69"/>
      <c r="K140" s="69"/>
      <c r="L140" s="70"/>
      <c r="M140" s="72"/>
      <c r="N140" s="71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</row>
    <row r="141" spans="1:27" ht="18" customHeight="1">
      <c r="A141" s="61"/>
      <c r="B141" s="60"/>
      <c r="C141" s="69"/>
      <c r="D141" s="70"/>
      <c r="E141" s="72"/>
      <c r="F141" s="71"/>
      <c r="G141" s="71"/>
      <c r="H141" s="60"/>
      <c r="I141" s="60"/>
      <c r="J141" s="69"/>
      <c r="K141" s="69"/>
      <c r="L141" s="70"/>
      <c r="M141" s="72"/>
      <c r="N141" s="71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</row>
    <row r="142" spans="1:27" ht="18" customHeight="1">
      <c r="A142" s="61"/>
      <c r="B142" s="60"/>
      <c r="C142" s="69"/>
      <c r="D142" s="70"/>
      <c r="E142" s="72"/>
      <c r="F142" s="71"/>
      <c r="G142" s="71"/>
      <c r="H142" s="60"/>
      <c r="I142" s="60"/>
      <c r="J142" s="69"/>
      <c r="K142" s="69"/>
      <c r="L142" s="70"/>
      <c r="M142" s="72"/>
      <c r="N142" s="71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</row>
    <row r="143" spans="1:27" ht="18" customHeight="1">
      <c r="A143" s="61"/>
      <c r="B143" s="60"/>
      <c r="C143" s="69"/>
      <c r="D143" s="70"/>
      <c r="E143" s="72"/>
      <c r="F143" s="71"/>
      <c r="G143" s="71"/>
      <c r="H143" s="60"/>
      <c r="I143" s="60"/>
      <c r="J143" s="69"/>
      <c r="K143" s="69"/>
      <c r="L143" s="70"/>
      <c r="M143" s="72"/>
      <c r="N143" s="71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</row>
    <row r="144" spans="1:27" ht="18" customHeight="1">
      <c r="A144" s="61"/>
      <c r="B144" s="60"/>
      <c r="C144" s="69"/>
      <c r="D144" s="70"/>
      <c r="E144" s="72"/>
      <c r="F144" s="71"/>
      <c r="G144" s="71"/>
      <c r="H144" s="60"/>
      <c r="I144" s="60"/>
      <c r="J144" s="69"/>
      <c r="K144" s="69"/>
      <c r="L144" s="70"/>
      <c r="M144" s="72"/>
      <c r="N144" s="71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</row>
    <row r="145" spans="1:27" ht="18" customHeight="1">
      <c r="A145" s="61"/>
      <c r="B145" s="60"/>
      <c r="C145" s="69"/>
      <c r="D145" s="70"/>
      <c r="E145" s="72"/>
      <c r="F145" s="71"/>
      <c r="G145" s="71"/>
      <c r="H145" s="60"/>
      <c r="I145" s="60"/>
      <c r="J145" s="69"/>
      <c r="K145" s="69"/>
      <c r="L145" s="70"/>
      <c r="M145" s="72"/>
      <c r="N145" s="71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</row>
    <row r="146" spans="1:27" ht="18" customHeight="1">
      <c r="A146" s="61"/>
      <c r="B146" s="60"/>
      <c r="C146" s="69"/>
      <c r="D146" s="70"/>
      <c r="E146" s="72"/>
      <c r="F146" s="71"/>
      <c r="G146" s="71"/>
      <c r="H146" s="60"/>
      <c r="I146" s="60"/>
      <c r="J146" s="69"/>
      <c r="K146" s="69"/>
      <c r="L146" s="70"/>
      <c r="M146" s="72"/>
      <c r="N146" s="71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</row>
    <row r="147" spans="1:27" ht="18" customHeight="1">
      <c r="A147" s="61"/>
      <c r="B147" s="60"/>
      <c r="C147" s="69"/>
      <c r="D147" s="70"/>
      <c r="E147" s="72"/>
      <c r="F147" s="71"/>
      <c r="G147" s="71"/>
      <c r="H147" s="60"/>
      <c r="I147" s="60"/>
      <c r="J147" s="69"/>
      <c r="K147" s="69"/>
      <c r="L147" s="70"/>
      <c r="M147" s="72"/>
      <c r="N147" s="71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</row>
    <row r="148" spans="1:27" ht="18" customHeight="1">
      <c r="A148" s="61"/>
      <c r="B148" s="60"/>
      <c r="C148" s="69"/>
      <c r="D148" s="70"/>
      <c r="E148" s="72"/>
      <c r="F148" s="71"/>
      <c r="G148" s="71"/>
      <c r="H148" s="60"/>
      <c r="I148" s="60"/>
      <c r="J148" s="69"/>
      <c r="K148" s="69"/>
      <c r="L148" s="70"/>
      <c r="M148" s="72"/>
      <c r="N148" s="71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</row>
    <row r="149" spans="1:27" ht="18" customHeight="1">
      <c r="A149" s="61"/>
      <c r="B149" s="60"/>
      <c r="C149" s="69"/>
      <c r="D149" s="70"/>
      <c r="E149" s="72"/>
      <c r="F149" s="71"/>
      <c r="G149" s="71"/>
      <c r="H149" s="60"/>
      <c r="I149" s="60"/>
      <c r="J149" s="69"/>
      <c r="K149" s="69"/>
      <c r="L149" s="70"/>
      <c r="M149" s="72"/>
      <c r="N149" s="71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</row>
    <row r="150" spans="1:27" ht="18" customHeight="1">
      <c r="A150" s="61"/>
      <c r="B150" s="60"/>
      <c r="C150" s="69"/>
      <c r="D150" s="70"/>
      <c r="E150" s="72"/>
      <c r="F150" s="71"/>
      <c r="G150" s="71"/>
      <c r="H150" s="60"/>
      <c r="I150" s="60"/>
      <c r="J150" s="69"/>
      <c r="K150" s="69"/>
      <c r="L150" s="70"/>
      <c r="M150" s="72"/>
      <c r="N150" s="71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</row>
    <row r="151" spans="1:27" ht="18" customHeight="1">
      <c r="A151" s="61"/>
      <c r="B151" s="60"/>
      <c r="C151" s="69"/>
      <c r="D151" s="70"/>
      <c r="E151" s="72"/>
      <c r="F151" s="71"/>
      <c r="G151" s="71"/>
      <c r="H151" s="60"/>
      <c r="I151" s="60"/>
      <c r="J151" s="69"/>
      <c r="K151" s="69"/>
      <c r="L151" s="70"/>
      <c r="M151" s="72"/>
      <c r="N151" s="71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</row>
    <row r="152" spans="1:27" ht="18" customHeight="1">
      <c r="A152" s="61"/>
      <c r="B152" s="60"/>
      <c r="C152" s="69"/>
      <c r="D152" s="70"/>
      <c r="E152" s="72"/>
      <c r="F152" s="71"/>
      <c r="G152" s="71"/>
      <c r="H152" s="60"/>
      <c r="I152" s="60"/>
      <c r="J152" s="69"/>
      <c r="K152" s="69"/>
      <c r="L152" s="70"/>
      <c r="M152" s="72"/>
      <c r="N152" s="71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</row>
    <row r="153" spans="1:27" ht="18" customHeight="1">
      <c r="A153" s="61"/>
      <c r="B153" s="60"/>
      <c r="C153" s="69"/>
      <c r="D153" s="70"/>
      <c r="E153" s="72"/>
      <c r="F153" s="71"/>
      <c r="G153" s="71"/>
      <c r="H153" s="60"/>
      <c r="I153" s="60"/>
      <c r="J153" s="69"/>
      <c r="K153" s="69"/>
      <c r="L153" s="70"/>
      <c r="M153" s="72"/>
      <c r="N153" s="71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</row>
    <row r="154" spans="1:27" ht="18" customHeight="1">
      <c r="A154" s="61"/>
      <c r="B154" s="60"/>
      <c r="C154" s="69"/>
      <c r="D154" s="70"/>
      <c r="E154" s="72"/>
      <c r="F154" s="71"/>
      <c r="G154" s="71"/>
      <c r="H154" s="60"/>
      <c r="I154" s="60"/>
      <c r="J154" s="69"/>
      <c r="K154" s="69"/>
      <c r="L154" s="70"/>
      <c r="M154" s="72"/>
      <c r="N154" s="71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</row>
    <row r="155" spans="1:27" ht="18" customHeight="1">
      <c r="A155" s="61"/>
      <c r="B155" s="60"/>
      <c r="C155" s="69"/>
      <c r="D155" s="70"/>
      <c r="E155" s="72"/>
      <c r="F155" s="71"/>
      <c r="G155" s="71"/>
      <c r="H155" s="60"/>
      <c r="I155" s="60"/>
      <c r="J155" s="69"/>
      <c r="K155" s="69"/>
      <c r="L155" s="70"/>
      <c r="M155" s="72"/>
      <c r="N155" s="71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</row>
    <row r="156" spans="1:27" ht="18" customHeight="1">
      <c r="A156" s="61"/>
      <c r="B156" s="60"/>
      <c r="C156" s="69"/>
      <c r="D156" s="70"/>
      <c r="E156" s="72"/>
      <c r="F156" s="71"/>
      <c r="G156" s="71"/>
      <c r="H156" s="60"/>
      <c r="I156" s="60"/>
      <c r="J156" s="69"/>
      <c r="K156" s="69"/>
      <c r="L156" s="70"/>
      <c r="M156" s="72"/>
      <c r="N156" s="71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</row>
    <row r="157" spans="1:27" ht="18" customHeight="1">
      <c r="A157" s="61"/>
      <c r="B157" s="60"/>
      <c r="C157" s="69"/>
      <c r="D157" s="70"/>
      <c r="E157" s="72"/>
      <c r="F157" s="71"/>
      <c r="G157" s="71"/>
      <c r="H157" s="60"/>
      <c r="I157" s="60"/>
      <c r="J157" s="69"/>
      <c r="K157" s="69"/>
      <c r="L157" s="70"/>
      <c r="M157" s="72"/>
      <c r="N157" s="71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</row>
    <row r="158" spans="1:27" ht="18" customHeight="1">
      <c r="A158" s="61"/>
      <c r="B158" s="60"/>
      <c r="C158" s="69"/>
      <c r="D158" s="70"/>
      <c r="E158" s="72"/>
      <c r="F158" s="71"/>
      <c r="G158" s="71"/>
      <c r="H158" s="60"/>
      <c r="I158" s="60"/>
      <c r="J158" s="69"/>
      <c r="K158" s="69"/>
      <c r="L158" s="70"/>
      <c r="M158" s="72"/>
      <c r="N158" s="71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</row>
    <row r="159" spans="1:27" ht="18" customHeight="1">
      <c r="A159" s="61"/>
      <c r="B159" s="60"/>
      <c r="C159" s="69"/>
      <c r="D159" s="70"/>
      <c r="E159" s="72"/>
      <c r="F159" s="71"/>
      <c r="G159" s="71"/>
      <c r="H159" s="60"/>
      <c r="I159" s="60"/>
      <c r="J159" s="69"/>
      <c r="K159" s="69"/>
      <c r="L159" s="70"/>
      <c r="M159" s="72"/>
      <c r="N159" s="71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</row>
    <row r="160" spans="1:27" ht="18" customHeight="1">
      <c r="A160" s="61"/>
      <c r="B160" s="60"/>
      <c r="C160" s="69"/>
      <c r="D160" s="70"/>
      <c r="E160" s="72"/>
      <c r="F160" s="71"/>
      <c r="G160" s="71"/>
      <c r="H160" s="60"/>
      <c r="I160" s="60"/>
      <c r="J160" s="69"/>
      <c r="K160" s="69"/>
      <c r="L160" s="70"/>
      <c r="M160" s="72"/>
      <c r="N160" s="71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</row>
    <row r="161" spans="1:27" ht="18" customHeight="1">
      <c r="A161" s="61"/>
      <c r="B161" s="60"/>
      <c r="C161" s="69"/>
      <c r="D161" s="70"/>
      <c r="E161" s="72"/>
      <c r="F161" s="71"/>
      <c r="G161" s="71"/>
      <c r="H161" s="60"/>
      <c r="I161" s="60"/>
      <c r="J161" s="69"/>
      <c r="K161" s="69"/>
      <c r="L161" s="70"/>
      <c r="M161" s="72"/>
      <c r="N161" s="71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</row>
    <row r="162" spans="1:27" ht="18" customHeight="1">
      <c r="A162" s="61"/>
      <c r="B162" s="60"/>
      <c r="C162" s="69"/>
      <c r="D162" s="70"/>
      <c r="E162" s="72"/>
      <c r="F162" s="71"/>
      <c r="G162" s="71"/>
      <c r="H162" s="60"/>
      <c r="I162" s="60"/>
      <c r="J162" s="69"/>
      <c r="K162" s="69"/>
      <c r="L162" s="70"/>
      <c r="M162" s="72"/>
      <c r="N162" s="71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</row>
    <row r="163" spans="1:27" ht="18" customHeight="1">
      <c r="A163" s="61"/>
      <c r="B163" s="60"/>
      <c r="C163" s="69"/>
      <c r="D163" s="70"/>
      <c r="E163" s="72"/>
      <c r="F163" s="71"/>
      <c r="G163" s="71"/>
      <c r="H163" s="60"/>
      <c r="I163" s="60"/>
      <c r="J163" s="69"/>
      <c r="K163" s="69"/>
      <c r="L163" s="70"/>
      <c r="M163" s="72"/>
      <c r="N163" s="71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</row>
    <row r="164" spans="1:27" ht="18" customHeight="1">
      <c r="A164" s="61"/>
      <c r="B164" s="60"/>
      <c r="C164" s="69"/>
      <c r="D164" s="70"/>
      <c r="E164" s="72"/>
      <c r="F164" s="71"/>
      <c r="G164" s="71"/>
      <c r="H164" s="60"/>
      <c r="I164" s="60"/>
      <c r="J164" s="69"/>
      <c r="K164" s="69"/>
      <c r="L164" s="70"/>
      <c r="M164" s="72"/>
      <c r="N164" s="71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</row>
    <row r="165" spans="1:27" ht="18" customHeight="1">
      <c r="A165" s="61"/>
      <c r="B165" s="60"/>
      <c r="C165" s="69"/>
      <c r="D165" s="70"/>
      <c r="E165" s="72"/>
      <c r="F165" s="71"/>
      <c r="G165" s="71"/>
      <c r="H165" s="60"/>
      <c r="I165" s="60"/>
      <c r="J165" s="69"/>
      <c r="K165" s="69"/>
      <c r="L165" s="70"/>
      <c r="M165" s="72"/>
      <c r="N165" s="71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</row>
    <row r="166" spans="1:27" ht="18" customHeight="1">
      <c r="A166" s="61"/>
      <c r="B166" s="60"/>
      <c r="C166" s="69"/>
      <c r="D166" s="70"/>
      <c r="E166" s="72"/>
      <c r="F166" s="71"/>
      <c r="G166" s="71"/>
      <c r="H166" s="60"/>
      <c r="I166" s="60"/>
      <c r="J166" s="69"/>
      <c r="K166" s="69"/>
      <c r="L166" s="70"/>
      <c r="M166" s="72"/>
      <c r="N166" s="71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</row>
    <row r="167" spans="1:27" ht="18" customHeight="1">
      <c r="A167" s="61"/>
      <c r="B167" s="60"/>
      <c r="C167" s="69"/>
      <c r="D167" s="70"/>
      <c r="E167" s="72"/>
      <c r="F167" s="71"/>
      <c r="G167" s="71"/>
      <c r="H167" s="60"/>
      <c r="I167" s="60"/>
      <c r="J167" s="69"/>
      <c r="K167" s="69"/>
      <c r="L167" s="70"/>
      <c r="M167" s="72"/>
      <c r="N167" s="71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</row>
    <row r="168" spans="1:27" ht="18" customHeight="1">
      <c r="A168" s="61"/>
      <c r="B168" s="60"/>
      <c r="C168" s="69"/>
      <c r="D168" s="70"/>
      <c r="E168" s="72"/>
      <c r="F168" s="71"/>
      <c r="G168" s="71"/>
      <c r="H168" s="60"/>
      <c r="I168" s="60"/>
      <c r="J168" s="69"/>
      <c r="K168" s="69"/>
      <c r="L168" s="70"/>
      <c r="M168" s="72"/>
      <c r="N168" s="71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</row>
    <row r="169" spans="1:27" ht="18" customHeight="1">
      <c r="A169" s="61"/>
      <c r="B169" s="60"/>
      <c r="C169" s="69"/>
      <c r="D169" s="70"/>
      <c r="E169" s="72"/>
      <c r="F169" s="71"/>
      <c r="G169" s="71"/>
      <c r="H169" s="60"/>
      <c r="I169" s="60"/>
      <c r="J169" s="69"/>
      <c r="K169" s="69"/>
      <c r="L169" s="70"/>
      <c r="M169" s="72"/>
      <c r="N169" s="71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</row>
    <row r="170" spans="1:27" ht="18" customHeight="1">
      <c r="A170" s="61"/>
      <c r="B170" s="60"/>
      <c r="C170" s="69"/>
      <c r="D170" s="70"/>
      <c r="E170" s="72"/>
      <c r="F170" s="71"/>
      <c r="G170" s="71"/>
      <c r="H170" s="60"/>
      <c r="I170" s="60"/>
      <c r="J170" s="69"/>
      <c r="K170" s="69"/>
      <c r="L170" s="70"/>
      <c r="M170" s="72"/>
      <c r="N170" s="71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</row>
    <row r="171" spans="1:27" ht="18" customHeight="1">
      <c r="A171" s="61"/>
      <c r="B171" s="60"/>
      <c r="C171" s="69"/>
      <c r="D171" s="70"/>
      <c r="E171" s="72"/>
      <c r="F171" s="71"/>
      <c r="G171" s="71"/>
      <c r="H171" s="60"/>
      <c r="I171" s="60"/>
      <c r="J171" s="69"/>
      <c r="K171" s="69"/>
      <c r="L171" s="70"/>
      <c r="M171" s="72"/>
      <c r="N171" s="71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</row>
    <row r="172" spans="1:27" ht="18" customHeight="1">
      <c r="A172" s="61"/>
      <c r="B172" s="60"/>
      <c r="C172" s="69"/>
      <c r="D172" s="70"/>
      <c r="E172" s="72"/>
      <c r="F172" s="71"/>
      <c r="G172" s="71"/>
      <c r="H172" s="60"/>
      <c r="I172" s="60"/>
      <c r="J172" s="69"/>
      <c r="K172" s="69"/>
      <c r="L172" s="70"/>
      <c r="M172" s="72"/>
      <c r="N172" s="71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</row>
    <row r="173" spans="1:27" ht="18" customHeight="1">
      <c r="A173" s="61"/>
      <c r="B173" s="60"/>
      <c r="C173" s="69"/>
      <c r="D173" s="70"/>
      <c r="E173" s="72"/>
      <c r="F173" s="71"/>
      <c r="G173" s="71"/>
      <c r="H173" s="60"/>
      <c r="I173" s="60"/>
      <c r="J173" s="69"/>
      <c r="K173" s="69"/>
      <c r="L173" s="70"/>
      <c r="M173" s="72"/>
      <c r="N173" s="71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</row>
    <row r="174" spans="1:27" ht="18" customHeight="1">
      <c r="A174" s="61"/>
      <c r="B174" s="60"/>
      <c r="C174" s="69"/>
      <c r="D174" s="70"/>
      <c r="E174" s="72"/>
      <c r="F174" s="71"/>
      <c r="G174" s="71"/>
      <c r="H174" s="60"/>
      <c r="I174" s="60"/>
      <c r="J174" s="69"/>
      <c r="K174" s="69"/>
      <c r="L174" s="70"/>
      <c r="M174" s="72"/>
      <c r="N174" s="71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</row>
    <row r="175" spans="1:27" ht="18" customHeight="1">
      <c r="A175" s="61"/>
      <c r="B175" s="60"/>
      <c r="C175" s="69"/>
      <c r="D175" s="70"/>
      <c r="E175" s="72"/>
      <c r="F175" s="71"/>
      <c r="G175" s="71"/>
      <c r="H175" s="60"/>
      <c r="I175" s="60"/>
      <c r="J175" s="69"/>
      <c r="K175" s="69"/>
      <c r="L175" s="70"/>
      <c r="M175" s="72"/>
      <c r="N175" s="71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</row>
    <row r="176" spans="1:27" ht="18" customHeight="1">
      <c r="A176" s="61"/>
      <c r="B176" s="60"/>
      <c r="C176" s="69"/>
      <c r="D176" s="70"/>
      <c r="E176" s="72"/>
      <c r="F176" s="71"/>
      <c r="G176" s="71"/>
      <c r="H176" s="60"/>
      <c r="I176" s="60"/>
      <c r="J176" s="69"/>
      <c r="K176" s="69"/>
      <c r="L176" s="70"/>
      <c r="M176" s="72"/>
      <c r="N176" s="71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</row>
    <row r="177" spans="1:27" ht="18" customHeight="1">
      <c r="A177" s="61"/>
      <c r="B177" s="60"/>
      <c r="C177" s="69"/>
      <c r="D177" s="70"/>
      <c r="E177" s="72"/>
      <c r="F177" s="71"/>
      <c r="G177" s="71"/>
      <c r="H177" s="60"/>
      <c r="I177" s="60"/>
      <c r="J177" s="69"/>
      <c r="K177" s="69"/>
      <c r="L177" s="70"/>
      <c r="M177" s="72"/>
      <c r="N177" s="71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</row>
    <row r="178" spans="1:27" ht="18" customHeight="1">
      <c r="A178" s="61"/>
      <c r="B178" s="60"/>
      <c r="C178" s="69"/>
      <c r="D178" s="70"/>
      <c r="E178" s="72"/>
      <c r="F178" s="71"/>
      <c r="G178" s="71"/>
      <c r="H178" s="60"/>
      <c r="I178" s="60"/>
      <c r="J178" s="69"/>
      <c r="K178" s="69"/>
      <c r="L178" s="70"/>
      <c r="M178" s="72"/>
      <c r="N178" s="71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</row>
    <row r="179" spans="1:27" ht="18" customHeight="1">
      <c r="A179" s="61"/>
      <c r="B179" s="60"/>
      <c r="C179" s="69"/>
      <c r="D179" s="70"/>
      <c r="E179" s="72"/>
      <c r="F179" s="71"/>
      <c r="G179" s="71"/>
      <c r="H179" s="60"/>
      <c r="I179" s="60"/>
      <c r="J179" s="69"/>
      <c r="K179" s="69"/>
      <c r="L179" s="70"/>
      <c r="M179" s="72"/>
      <c r="N179" s="71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</row>
    <row r="180" spans="1:27" ht="18" customHeight="1">
      <c r="A180" s="61"/>
      <c r="B180" s="60"/>
      <c r="C180" s="69"/>
      <c r="D180" s="70"/>
      <c r="E180" s="72"/>
      <c r="F180" s="71"/>
      <c r="G180" s="71"/>
      <c r="H180" s="60"/>
      <c r="I180" s="60"/>
      <c r="J180" s="69"/>
      <c r="K180" s="69"/>
      <c r="L180" s="70"/>
      <c r="M180" s="72"/>
      <c r="N180" s="71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</row>
    <row r="181" spans="1:27" ht="18" customHeight="1">
      <c r="A181" s="61"/>
      <c r="B181" s="60"/>
      <c r="C181" s="69"/>
      <c r="D181" s="70"/>
      <c r="E181" s="72"/>
      <c r="F181" s="71"/>
      <c r="G181" s="71"/>
      <c r="H181" s="60"/>
      <c r="I181" s="60"/>
      <c r="J181" s="69"/>
      <c r="K181" s="69"/>
      <c r="L181" s="70"/>
      <c r="M181" s="72"/>
      <c r="N181" s="71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</row>
    <row r="182" spans="1:27" ht="18" customHeight="1">
      <c r="A182" s="61"/>
      <c r="B182" s="60"/>
      <c r="C182" s="69"/>
      <c r="D182" s="70"/>
      <c r="E182" s="72"/>
      <c r="F182" s="71"/>
      <c r="G182" s="71"/>
      <c r="H182" s="60"/>
      <c r="I182" s="60"/>
      <c r="J182" s="69"/>
      <c r="K182" s="69"/>
      <c r="L182" s="70"/>
      <c r="M182" s="72"/>
      <c r="N182" s="71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</row>
    <row r="183" spans="1:27" ht="18" customHeight="1">
      <c r="A183" s="61"/>
      <c r="B183" s="60"/>
      <c r="C183" s="69"/>
      <c r="D183" s="70"/>
      <c r="E183" s="72"/>
      <c r="F183" s="71"/>
      <c r="G183" s="71"/>
      <c r="H183" s="60"/>
      <c r="I183" s="60"/>
      <c r="J183" s="69"/>
      <c r="K183" s="69"/>
      <c r="L183" s="70"/>
      <c r="M183" s="72"/>
      <c r="N183" s="71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</row>
    <row r="184" spans="1:27" ht="18" customHeight="1">
      <c r="A184" s="61"/>
      <c r="B184" s="60"/>
      <c r="C184" s="69"/>
      <c r="D184" s="70"/>
      <c r="E184" s="72"/>
      <c r="F184" s="71"/>
      <c r="G184" s="71"/>
      <c r="H184" s="60"/>
      <c r="I184" s="60"/>
      <c r="J184" s="69"/>
      <c r="K184" s="69"/>
      <c r="L184" s="70"/>
      <c r="M184" s="72"/>
      <c r="N184" s="71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</row>
    <row r="185" spans="1:27" ht="18" customHeight="1">
      <c r="A185" s="61"/>
      <c r="B185" s="60"/>
      <c r="C185" s="69"/>
      <c r="D185" s="70"/>
      <c r="E185" s="72"/>
      <c r="F185" s="71"/>
      <c r="G185" s="71"/>
      <c r="H185" s="60"/>
      <c r="I185" s="60"/>
      <c r="J185" s="69"/>
      <c r="K185" s="69"/>
      <c r="L185" s="70"/>
      <c r="M185" s="72"/>
      <c r="N185" s="71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</row>
    <row r="186" spans="1:27" ht="18" customHeight="1">
      <c r="A186" s="61"/>
      <c r="B186" s="60"/>
      <c r="C186" s="69"/>
      <c r="D186" s="70"/>
      <c r="E186" s="72"/>
      <c r="F186" s="71"/>
      <c r="G186" s="71"/>
      <c r="H186" s="60"/>
      <c r="I186" s="60"/>
      <c r="J186" s="69"/>
      <c r="K186" s="69"/>
      <c r="L186" s="70"/>
      <c r="M186" s="72"/>
      <c r="N186" s="71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</row>
    <row r="187" spans="1:27" ht="18" customHeight="1">
      <c r="A187" s="61"/>
      <c r="B187" s="60"/>
      <c r="C187" s="69"/>
      <c r="D187" s="70"/>
      <c r="E187" s="72"/>
      <c r="F187" s="71"/>
      <c r="G187" s="71"/>
      <c r="H187" s="60"/>
      <c r="I187" s="60"/>
      <c r="J187" s="69"/>
      <c r="K187" s="69"/>
      <c r="L187" s="70"/>
      <c r="M187" s="72"/>
      <c r="N187" s="71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</row>
    <row r="188" spans="1:27" ht="18" customHeight="1">
      <c r="A188" s="61"/>
      <c r="B188" s="60"/>
      <c r="C188" s="69"/>
      <c r="D188" s="70"/>
      <c r="E188" s="72"/>
      <c r="F188" s="71"/>
      <c r="G188" s="71"/>
      <c r="H188" s="60"/>
      <c r="I188" s="60"/>
      <c r="J188" s="69"/>
      <c r="K188" s="69"/>
      <c r="L188" s="70"/>
      <c r="M188" s="72"/>
      <c r="N188" s="71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</row>
    <row r="189" spans="1:27" ht="18" customHeight="1">
      <c r="A189" s="61"/>
      <c r="B189" s="60"/>
      <c r="C189" s="69"/>
      <c r="D189" s="70"/>
      <c r="E189" s="72"/>
      <c r="F189" s="71"/>
      <c r="G189" s="71"/>
      <c r="H189" s="60"/>
      <c r="I189" s="60"/>
      <c r="J189" s="69"/>
      <c r="K189" s="69"/>
      <c r="L189" s="70"/>
      <c r="M189" s="72"/>
      <c r="N189" s="71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</row>
    <row r="190" spans="1:27" ht="18" customHeight="1">
      <c r="A190" s="61"/>
      <c r="B190" s="60"/>
      <c r="C190" s="69"/>
      <c r="D190" s="70"/>
      <c r="E190" s="72"/>
      <c r="F190" s="71"/>
      <c r="G190" s="71"/>
      <c r="H190" s="60"/>
      <c r="I190" s="60"/>
      <c r="J190" s="69"/>
      <c r="K190" s="69"/>
      <c r="L190" s="70"/>
      <c r="M190" s="72"/>
      <c r="N190" s="71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</row>
    <row r="191" spans="1:27" ht="18" customHeight="1">
      <c r="A191" s="61"/>
      <c r="B191" s="60"/>
      <c r="C191" s="69"/>
      <c r="D191" s="70"/>
      <c r="E191" s="72"/>
      <c r="F191" s="71"/>
      <c r="G191" s="71"/>
      <c r="H191" s="60"/>
      <c r="I191" s="60"/>
      <c r="J191" s="69"/>
      <c r="K191" s="69"/>
      <c r="L191" s="70"/>
      <c r="M191" s="72"/>
      <c r="N191" s="71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</row>
    <row r="192" spans="1:27" ht="18" customHeight="1">
      <c r="A192" s="61"/>
      <c r="B192" s="60"/>
      <c r="C192" s="69"/>
      <c r="D192" s="70"/>
      <c r="E192" s="72"/>
      <c r="F192" s="71"/>
      <c r="G192" s="71"/>
      <c r="H192" s="60"/>
      <c r="I192" s="60"/>
      <c r="J192" s="69"/>
      <c r="K192" s="69"/>
      <c r="L192" s="70"/>
      <c r="M192" s="72"/>
      <c r="N192" s="71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</row>
    <row r="193" spans="1:27" ht="18" customHeight="1">
      <c r="A193" s="61"/>
      <c r="B193" s="60"/>
      <c r="C193" s="69"/>
      <c r="D193" s="70"/>
      <c r="E193" s="72"/>
      <c r="F193" s="71"/>
      <c r="G193" s="71"/>
      <c r="H193" s="60"/>
      <c r="I193" s="60"/>
      <c r="J193" s="69"/>
      <c r="K193" s="69"/>
      <c r="L193" s="70"/>
      <c r="M193" s="72"/>
      <c r="N193" s="71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</row>
    <row r="194" spans="1:27" ht="18" customHeight="1">
      <c r="A194" s="61"/>
      <c r="B194" s="60"/>
      <c r="C194" s="69"/>
      <c r="D194" s="70"/>
      <c r="E194" s="72"/>
      <c r="F194" s="71"/>
      <c r="G194" s="71"/>
      <c r="H194" s="60"/>
      <c r="I194" s="60"/>
      <c r="J194" s="69"/>
      <c r="K194" s="69"/>
      <c r="L194" s="70"/>
      <c r="M194" s="72"/>
      <c r="N194" s="71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</row>
    <row r="195" spans="1:27" ht="18" customHeight="1">
      <c r="A195" s="61"/>
      <c r="B195" s="60"/>
      <c r="C195" s="69"/>
      <c r="D195" s="70"/>
      <c r="E195" s="72"/>
      <c r="F195" s="71"/>
      <c r="G195" s="71"/>
      <c r="H195" s="60"/>
      <c r="I195" s="60"/>
      <c r="J195" s="69"/>
      <c r="K195" s="69"/>
      <c r="L195" s="70"/>
      <c r="M195" s="72"/>
      <c r="N195" s="71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</row>
    <row r="196" spans="1:27" ht="18" customHeight="1">
      <c r="A196" s="61"/>
      <c r="B196" s="60"/>
      <c r="C196" s="69"/>
      <c r="D196" s="70"/>
      <c r="E196" s="72"/>
      <c r="F196" s="71"/>
      <c r="G196" s="71"/>
      <c r="H196" s="60"/>
      <c r="I196" s="60"/>
      <c r="J196" s="69"/>
      <c r="K196" s="69"/>
      <c r="L196" s="70"/>
      <c r="M196" s="72"/>
      <c r="N196" s="71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</row>
    <row r="197" spans="1:27" ht="18" customHeight="1">
      <c r="A197" s="61"/>
      <c r="B197" s="60"/>
      <c r="C197" s="69"/>
      <c r="D197" s="70"/>
      <c r="E197" s="72"/>
      <c r="F197" s="71"/>
      <c r="G197" s="71"/>
      <c r="H197" s="60"/>
      <c r="I197" s="60"/>
      <c r="J197" s="69"/>
      <c r="K197" s="69"/>
      <c r="L197" s="70"/>
      <c r="M197" s="72"/>
      <c r="N197" s="71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</row>
    <row r="198" spans="1:27" ht="18" customHeight="1">
      <c r="A198" s="61"/>
      <c r="B198" s="60"/>
      <c r="C198" s="69"/>
      <c r="D198" s="70"/>
      <c r="E198" s="72"/>
      <c r="F198" s="71"/>
      <c r="G198" s="71"/>
      <c r="H198" s="60"/>
      <c r="I198" s="60"/>
      <c r="J198" s="69"/>
      <c r="K198" s="69"/>
      <c r="L198" s="70"/>
      <c r="M198" s="72"/>
      <c r="N198" s="71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</row>
    <row r="199" spans="1:27" ht="18" customHeight="1">
      <c r="A199" s="61"/>
      <c r="B199" s="60"/>
      <c r="C199" s="69"/>
      <c r="D199" s="70"/>
      <c r="E199" s="72"/>
      <c r="F199" s="71"/>
      <c r="G199" s="71"/>
      <c r="H199" s="60"/>
      <c r="I199" s="60"/>
      <c r="J199" s="69"/>
      <c r="K199" s="69"/>
      <c r="L199" s="70"/>
      <c r="M199" s="72"/>
      <c r="N199" s="71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</row>
    <row r="200" spans="1:27" ht="18" customHeight="1">
      <c r="A200" s="61"/>
      <c r="B200" s="60"/>
      <c r="C200" s="69"/>
      <c r="D200" s="70"/>
      <c r="E200" s="72"/>
      <c r="F200" s="71"/>
      <c r="G200" s="71"/>
      <c r="H200" s="60"/>
      <c r="I200" s="60"/>
      <c r="J200" s="69"/>
      <c r="K200" s="69"/>
      <c r="L200" s="70"/>
      <c r="M200" s="72"/>
      <c r="N200" s="71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</row>
    <row r="201" spans="1:27" ht="18" customHeight="1">
      <c r="A201" s="61"/>
      <c r="B201" s="60"/>
      <c r="C201" s="69"/>
      <c r="D201" s="70"/>
      <c r="E201" s="72"/>
      <c r="F201" s="71"/>
      <c r="G201" s="71"/>
      <c r="H201" s="60"/>
      <c r="I201" s="60"/>
      <c r="J201" s="69"/>
      <c r="K201" s="69"/>
      <c r="L201" s="70"/>
      <c r="M201" s="72"/>
      <c r="N201" s="71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</row>
    <row r="202" spans="1:27" ht="18" customHeight="1">
      <c r="A202" s="61"/>
      <c r="B202" s="60"/>
      <c r="C202" s="69"/>
      <c r="D202" s="70"/>
      <c r="E202" s="72"/>
      <c r="F202" s="71"/>
      <c r="G202" s="71"/>
      <c r="H202" s="60"/>
      <c r="I202" s="60"/>
      <c r="J202" s="69"/>
      <c r="K202" s="69"/>
      <c r="L202" s="70"/>
      <c r="M202" s="72"/>
      <c r="N202" s="71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</row>
    <row r="203" spans="1:27" ht="18" customHeight="1">
      <c r="A203" s="61"/>
      <c r="B203" s="60"/>
      <c r="C203" s="69"/>
      <c r="D203" s="70"/>
      <c r="E203" s="72"/>
      <c r="F203" s="71"/>
      <c r="G203" s="71"/>
      <c r="H203" s="60"/>
      <c r="I203" s="60"/>
      <c r="J203" s="69"/>
      <c r="K203" s="69"/>
      <c r="L203" s="70"/>
      <c r="M203" s="72"/>
      <c r="N203" s="71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</row>
    <row r="204" spans="1:27" ht="18" customHeight="1">
      <c r="A204" s="61"/>
      <c r="B204" s="60"/>
      <c r="C204" s="69"/>
      <c r="D204" s="70"/>
      <c r="E204" s="72"/>
      <c r="F204" s="71"/>
      <c r="G204" s="71"/>
      <c r="H204" s="60"/>
      <c r="I204" s="60"/>
      <c r="J204" s="69"/>
      <c r="K204" s="69"/>
      <c r="L204" s="70"/>
      <c r="M204" s="72"/>
      <c r="N204" s="71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</row>
    <row r="205" spans="1:27" ht="18" customHeight="1">
      <c r="A205" s="61"/>
      <c r="B205" s="60"/>
      <c r="C205" s="69"/>
      <c r="D205" s="70"/>
      <c r="E205" s="72"/>
      <c r="F205" s="71"/>
      <c r="G205" s="71"/>
      <c r="H205" s="60"/>
      <c r="I205" s="60"/>
      <c r="J205" s="69"/>
      <c r="K205" s="69"/>
      <c r="L205" s="70"/>
      <c r="M205" s="72"/>
      <c r="N205" s="71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</row>
    <row r="206" spans="1:27" ht="18" customHeight="1">
      <c r="A206" s="61"/>
      <c r="B206" s="60"/>
      <c r="C206" s="69"/>
      <c r="D206" s="70"/>
      <c r="E206" s="72"/>
      <c r="F206" s="71"/>
      <c r="G206" s="71"/>
      <c r="H206" s="60"/>
      <c r="I206" s="60"/>
      <c r="J206" s="69"/>
      <c r="K206" s="69"/>
      <c r="L206" s="70"/>
      <c r="M206" s="72"/>
      <c r="N206" s="71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</row>
    <row r="207" spans="1:27" ht="18" customHeight="1">
      <c r="A207" s="61"/>
      <c r="B207" s="60"/>
      <c r="C207" s="69"/>
      <c r="D207" s="70"/>
      <c r="E207" s="72"/>
      <c r="F207" s="71"/>
      <c r="G207" s="71"/>
      <c r="H207" s="60"/>
      <c r="I207" s="60"/>
      <c r="J207" s="69"/>
      <c r="K207" s="69"/>
      <c r="L207" s="70"/>
      <c r="M207" s="72"/>
      <c r="N207" s="71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</row>
    <row r="208" spans="1:27" ht="18" customHeight="1">
      <c r="A208" s="61"/>
      <c r="B208" s="60"/>
      <c r="C208" s="69"/>
      <c r="D208" s="70"/>
      <c r="E208" s="72"/>
      <c r="F208" s="71"/>
      <c r="G208" s="71"/>
      <c r="H208" s="60"/>
      <c r="I208" s="60"/>
      <c r="J208" s="69"/>
      <c r="K208" s="69"/>
      <c r="L208" s="70"/>
      <c r="M208" s="72"/>
      <c r="N208" s="71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</row>
    <row r="209" spans="1:27" ht="18" customHeight="1">
      <c r="A209" s="61"/>
      <c r="B209" s="60"/>
      <c r="C209" s="69"/>
      <c r="D209" s="70"/>
      <c r="E209" s="72"/>
      <c r="F209" s="71"/>
      <c r="G209" s="71"/>
      <c r="H209" s="60"/>
      <c r="I209" s="60"/>
      <c r="J209" s="69"/>
      <c r="K209" s="69"/>
      <c r="L209" s="70"/>
      <c r="M209" s="72"/>
      <c r="N209" s="71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</row>
    <row r="210" spans="1:27" ht="18" customHeight="1">
      <c r="A210" s="61"/>
      <c r="B210" s="60"/>
      <c r="C210" s="69"/>
      <c r="D210" s="70"/>
      <c r="E210" s="72"/>
      <c r="F210" s="71"/>
      <c r="G210" s="71"/>
      <c r="H210" s="60"/>
      <c r="I210" s="60"/>
      <c r="J210" s="69"/>
      <c r="K210" s="69"/>
      <c r="L210" s="70"/>
      <c r="M210" s="72"/>
      <c r="N210" s="71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</row>
    <row r="211" spans="1:27" ht="18" customHeight="1">
      <c r="A211" s="61"/>
      <c r="B211" s="60"/>
      <c r="C211" s="69"/>
      <c r="D211" s="70"/>
      <c r="E211" s="72"/>
      <c r="F211" s="71"/>
      <c r="G211" s="71"/>
      <c r="H211" s="60"/>
      <c r="I211" s="60"/>
      <c r="J211" s="69"/>
      <c r="K211" s="69"/>
      <c r="L211" s="70"/>
      <c r="M211" s="72"/>
      <c r="N211" s="71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</row>
    <row r="212" spans="1:27" ht="18" customHeight="1">
      <c r="A212" s="61"/>
      <c r="B212" s="60"/>
      <c r="C212" s="69"/>
      <c r="D212" s="70"/>
      <c r="E212" s="72"/>
      <c r="F212" s="71"/>
      <c r="G212" s="71"/>
      <c r="H212" s="60"/>
      <c r="I212" s="60"/>
      <c r="J212" s="69"/>
      <c r="K212" s="69"/>
      <c r="L212" s="70"/>
      <c r="M212" s="72"/>
      <c r="N212" s="71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</row>
    <row r="213" spans="1:27" ht="18" customHeight="1">
      <c r="A213" s="61"/>
      <c r="B213" s="60"/>
      <c r="C213" s="69"/>
      <c r="D213" s="70"/>
      <c r="E213" s="72"/>
      <c r="F213" s="71"/>
      <c r="G213" s="71"/>
      <c r="H213" s="60"/>
      <c r="I213" s="60"/>
      <c r="J213" s="69"/>
      <c r="K213" s="69"/>
      <c r="L213" s="70"/>
      <c r="M213" s="72"/>
      <c r="N213" s="71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</row>
    <row r="214" spans="1:27" ht="18" customHeight="1">
      <c r="A214" s="61"/>
      <c r="B214" s="60"/>
      <c r="C214" s="69"/>
      <c r="D214" s="70"/>
      <c r="E214" s="72"/>
      <c r="F214" s="71"/>
      <c r="G214" s="71"/>
      <c r="H214" s="60"/>
      <c r="I214" s="60"/>
      <c r="J214" s="69"/>
      <c r="K214" s="69"/>
      <c r="L214" s="70"/>
      <c r="M214" s="72"/>
      <c r="N214" s="71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</row>
    <row r="215" spans="1:27" ht="18" customHeight="1">
      <c r="A215" s="61"/>
      <c r="B215" s="60"/>
      <c r="C215" s="69"/>
      <c r="D215" s="70"/>
      <c r="E215" s="72"/>
      <c r="F215" s="71"/>
      <c r="G215" s="71"/>
      <c r="H215" s="60"/>
      <c r="I215" s="60"/>
      <c r="J215" s="69"/>
      <c r="K215" s="69"/>
      <c r="L215" s="70"/>
      <c r="M215" s="72"/>
      <c r="N215" s="71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</row>
    <row r="216" spans="1:27" ht="18" customHeight="1">
      <c r="A216" s="61"/>
      <c r="B216" s="60"/>
      <c r="C216" s="69"/>
      <c r="D216" s="70"/>
      <c r="E216" s="72"/>
      <c r="F216" s="71"/>
      <c r="G216" s="71"/>
      <c r="H216" s="60"/>
      <c r="I216" s="60"/>
      <c r="J216" s="69"/>
      <c r="K216" s="69"/>
      <c r="L216" s="70"/>
      <c r="M216" s="72"/>
      <c r="N216" s="71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</row>
    <row r="217" spans="1:27" ht="18" customHeight="1">
      <c r="A217" s="61"/>
      <c r="B217" s="60"/>
      <c r="C217" s="69"/>
      <c r="D217" s="70"/>
      <c r="E217" s="72"/>
      <c r="F217" s="71"/>
      <c r="G217" s="71"/>
      <c r="H217" s="60"/>
      <c r="I217" s="60"/>
      <c r="J217" s="69"/>
      <c r="K217" s="69"/>
      <c r="L217" s="70"/>
      <c r="M217" s="72"/>
      <c r="N217" s="71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</row>
    <row r="218" spans="1:27" ht="18" customHeight="1">
      <c r="A218" s="61"/>
      <c r="B218" s="60"/>
      <c r="C218" s="69"/>
      <c r="D218" s="70"/>
      <c r="E218" s="72"/>
      <c r="F218" s="71"/>
      <c r="G218" s="71"/>
      <c r="H218" s="60"/>
      <c r="I218" s="60"/>
      <c r="J218" s="69"/>
      <c r="K218" s="69"/>
      <c r="L218" s="70"/>
      <c r="M218" s="72"/>
      <c r="N218" s="71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</row>
    <row r="219" spans="1:27" ht="18" customHeight="1">
      <c r="A219" s="61"/>
      <c r="B219" s="60"/>
      <c r="C219" s="69"/>
      <c r="D219" s="70"/>
      <c r="E219" s="72"/>
      <c r="F219" s="71"/>
      <c r="G219" s="71"/>
      <c r="H219" s="60"/>
      <c r="I219" s="60"/>
      <c r="J219" s="69"/>
      <c r="K219" s="69"/>
      <c r="L219" s="70"/>
      <c r="M219" s="72"/>
      <c r="N219" s="71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</row>
    <row r="220" spans="1:27" ht="18" customHeight="1">
      <c r="A220" s="61"/>
      <c r="B220" s="60"/>
      <c r="C220" s="69"/>
      <c r="D220" s="70"/>
      <c r="E220" s="72"/>
      <c r="F220" s="71"/>
      <c r="G220" s="71"/>
      <c r="H220" s="60"/>
      <c r="I220" s="60"/>
      <c r="J220" s="69"/>
      <c r="K220" s="69"/>
      <c r="L220" s="70"/>
      <c r="M220" s="72"/>
      <c r="N220" s="71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</row>
    <row r="221" spans="1:27" ht="18" customHeight="1">
      <c r="A221" s="61"/>
      <c r="B221" s="60"/>
      <c r="C221" s="69"/>
      <c r="D221" s="70"/>
      <c r="E221" s="72"/>
      <c r="F221" s="71"/>
      <c r="G221" s="71"/>
      <c r="H221" s="60"/>
      <c r="I221" s="60"/>
      <c r="J221" s="69"/>
      <c r="K221" s="69"/>
      <c r="L221" s="70"/>
      <c r="M221" s="72"/>
      <c r="N221" s="71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</row>
    <row r="222" spans="1:27" ht="18" customHeight="1">
      <c r="A222" s="61"/>
      <c r="B222" s="60"/>
      <c r="C222" s="69"/>
      <c r="D222" s="70"/>
      <c r="E222" s="72"/>
      <c r="F222" s="71"/>
      <c r="G222" s="71"/>
      <c r="H222" s="60"/>
      <c r="I222" s="60"/>
      <c r="J222" s="69"/>
      <c r="K222" s="69"/>
      <c r="L222" s="70"/>
      <c r="M222" s="72"/>
      <c r="N222" s="71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</row>
    <row r="223" spans="1:27" ht="18" customHeight="1">
      <c r="A223" s="61"/>
      <c r="B223" s="60"/>
      <c r="C223" s="69"/>
      <c r="D223" s="70"/>
      <c r="E223" s="72"/>
      <c r="F223" s="71"/>
      <c r="G223" s="71"/>
      <c r="H223" s="60"/>
      <c r="I223" s="60"/>
      <c r="J223" s="69"/>
      <c r="K223" s="69"/>
      <c r="L223" s="70"/>
      <c r="M223" s="72"/>
      <c r="N223" s="71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</row>
    <row r="224" spans="1:27" ht="18" customHeight="1">
      <c r="A224" s="61"/>
      <c r="B224" s="60"/>
      <c r="C224" s="69"/>
      <c r="D224" s="70"/>
      <c r="E224" s="72"/>
      <c r="F224" s="71"/>
      <c r="G224" s="71"/>
      <c r="H224" s="60"/>
      <c r="I224" s="60"/>
      <c r="J224" s="69"/>
      <c r="K224" s="69"/>
      <c r="L224" s="70"/>
      <c r="M224" s="72"/>
      <c r="N224" s="71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</row>
    <row r="225" spans="1:27" ht="18" customHeight="1">
      <c r="A225" s="61"/>
      <c r="B225" s="60"/>
      <c r="C225" s="69"/>
      <c r="D225" s="70"/>
      <c r="E225" s="72"/>
      <c r="F225" s="71"/>
      <c r="G225" s="71"/>
      <c r="H225" s="60"/>
      <c r="I225" s="60"/>
      <c r="J225" s="69"/>
      <c r="K225" s="69"/>
      <c r="L225" s="70"/>
      <c r="M225" s="72"/>
      <c r="N225" s="71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</row>
    <row r="226" spans="1:27" ht="18" customHeight="1">
      <c r="A226" s="61"/>
      <c r="B226" s="60"/>
      <c r="C226" s="69"/>
      <c r="D226" s="70"/>
      <c r="E226" s="72"/>
      <c r="F226" s="71"/>
      <c r="G226" s="71"/>
      <c r="H226" s="60"/>
      <c r="I226" s="60"/>
      <c r="J226" s="69"/>
      <c r="K226" s="69"/>
      <c r="L226" s="70"/>
      <c r="M226" s="72"/>
      <c r="N226" s="71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</row>
    <row r="227" spans="1:27" ht="18" customHeight="1">
      <c r="A227" s="61"/>
      <c r="B227" s="60"/>
      <c r="C227" s="69"/>
      <c r="D227" s="70"/>
      <c r="E227" s="72"/>
      <c r="F227" s="71"/>
      <c r="G227" s="71"/>
      <c r="H227" s="60"/>
      <c r="I227" s="60"/>
      <c r="J227" s="69"/>
      <c r="K227" s="69"/>
      <c r="L227" s="70"/>
      <c r="M227" s="72"/>
      <c r="N227" s="71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</row>
    <row r="228" spans="1:27" ht="18" customHeight="1">
      <c r="A228" s="61"/>
      <c r="B228" s="60"/>
      <c r="C228" s="69"/>
      <c r="D228" s="70"/>
      <c r="E228" s="72"/>
      <c r="F228" s="71"/>
      <c r="G228" s="71"/>
      <c r="H228" s="60"/>
      <c r="I228" s="60"/>
      <c r="J228" s="69"/>
      <c r="K228" s="69"/>
      <c r="L228" s="70"/>
      <c r="M228" s="72"/>
      <c r="N228" s="71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</row>
    <row r="229" spans="1:27" ht="18" customHeight="1">
      <c r="A229" s="61"/>
      <c r="B229" s="60"/>
      <c r="C229" s="69"/>
      <c r="D229" s="70"/>
      <c r="E229" s="72"/>
      <c r="F229" s="71"/>
      <c r="G229" s="71"/>
      <c r="H229" s="60"/>
      <c r="I229" s="60"/>
      <c r="J229" s="69"/>
      <c r="K229" s="69"/>
      <c r="L229" s="70"/>
      <c r="M229" s="72"/>
      <c r="N229" s="71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</row>
    <row r="230" spans="1:27" ht="18" customHeight="1">
      <c r="A230" s="61"/>
      <c r="B230" s="60"/>
      <c r="C230" s="69"/>
      <c r="D230" s="70"/>
      <c r="E230" s="72"/>
      <c r="F230" s="71"/>
      <c r="G230" s="71"/>
      <c r="H230" s="60"/>
      <c r="I230" s="60"/>
      <c r="J230" s="69"/>
      <c r="K230" s="69"/>
      <c r="L230" s="70"/>
      <c r="M230" s="72"/>
      <c r="N230" s="71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</row>
    <row r="231" spans="1:27" ht="18" customHeight="1">
      <c r="A231" s="61"/>
      <c r="B231" s="60"/>
      <c r="C231" s="69"/>
      <c r="D231" s="70"/>
      <c r="E231" s="72"/>
      <c r="F231" s="71"/>
      <c r="G231" s="71"/>
      <c r="H231" s="60"/>
      <c r="I231" s="60"/>
      <c r="J231" s="69"/>
      <c r="K231" s="69"/>
      <c r="L231" s="70"/>
      <c r="M231" s="72"/>
      <c r="N231" s="71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</row>
    <row r="232" spans="1:27" ht="18" customHeight="1">
      <c r="A232" s="61"/>
      <c r="B232" s="60"/>
      <c r="C232" s="69"/>
      <c r="D232" s="70"/>
      <c r="E232" s="72"/>
      <c r="F232" s="71"/>
      <c r="G232" s="71"/>
      <c r="H232" s="60"/>
      <c r="I232" s="60"/>
      <c r="J232" s="69"/>
      <c r="K232" s="69"/>
      <c r="L232" s="70"/>
      <c r="M232" s="72"/>
      <c r="N232" s="71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</row>
    <row r="233" spans="1:27" ht="18" customHeight="1">
      <c r="A233" s="61"/>
      <c r="B233" s="60"/>
      <c r="C233" s="69"/>
      <c r="D233" s="70"/>
      <c r="E233" s="72"/>
      <c r="F233" s="71"/>
      <c r="G233" s="71"/>
      <c r="H233" s="60"/>
      <c r="I233" s="60"/>
      <c r="J233" s="69"/>
      <c r="K233" s="69"/>
      <c r="L233" s="70"/>
      <c r="M233" s="72"/>
      <c r="N233" s="71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</row>
    <row r="234" spans="1:27" ht="18" customHeight="1">
      <c r="A234" s="61"/>
      <c r="B234" s="60"/>
      <c r="C234" s="69"/>
      <c r="D234" s="70"/>
      <c r="E234" s="72"/>
      <c r="F234" s="71"/>
      <c r="G234" s="71"/>
      <c r="H234" s="60"/>
      <c r="I234" s="60"/>
      <c r="J234" s="69"/>
      <c r="K234" s="69"/>
      <c r="L234" s="70"/>
      <c r="M234" s="72"/>
      <c r="N234" s="71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</row>
    <row r="235" spans="1:27" ht="18" customHeight="1">
      <c r="A235" s="61"/>
      <c r="B235" s="60"/>
      <c r="C235" s="69"/>
      <c r="D235" s="70"/>
      <c r="E235" s="72"/>
      <c r="F235" s="71"/>
      <c r="G235" s="71"/>
      <c r="H235" s="60"/>
      <c r="I235" s="60"/>
      <c r="J235" s="69"/>
      <c r="K235" s="69"/>
      <c r="L235" s="70"/>
      <c r="M235" s="72"/>
      <c r="N235" s="71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</row>
    <row r="236" spans="1:27" ht="18" customHeight="1">
      <c r="A236" s="61"/>
      <c r="B236" s="60"/>
      <c r="C236" s="69"/>
      <c r="D236" s="70"/>
      <c r="E236" s="72"/>
      <c r="F236" s="71"/>
      <c r="G236" s="71"/>
      <c r="H236" s="60"/>
      <c r="I236" s="60"/>
      <c r="J236" s="69"/>
      <c r="K236" s="69"/>
      <c r="L236" s="70"/>
      <c r="M236" s="72"/>
      <c r="N236" s="71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</row>
    <row r="237" spans="1:27" ht="18" customHeight="1">
      <c r="A237" s="61"/>
      <c r="B237" s="60"/>
      <c r="C237" s="69"/>
      <c r="D237" s="70"/>
      <c r="E237" s="72"/>
      <c r="F237" s="71"/>
      <c r="G237" s="71"/>
      <c r="H237" s="60"/>
      <c r="I237" s="60"/>
      <c r="J237" s="69"/>
      <c r="K237" s="69"/>
      <c r="L237" s="70"/>
      <c r="M237" s="72"/>
      <c r="N237" s="71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</row>
    <row r="238" spans="1:27" ht="18" customHeight="1">
      <c r="A238" s="61"/>
      <c r="B238" s="60"/>
      <c r="C238" s="69"/>
      <c r="D238" s="70"/>
      <c r="E238" s="72"/>
      <c r="F238" s="71"/>
      <c r="G238" s="71"/>
      <c r="H238" s="60"/>
      <c r="I238" s="60"/>
      <c r="J238" s="69"/>
      <c r="K238" s="69"/>
      <c r="L238" s="70"/>
      <c r="M238" s="72"/>
      <c r="N238" s="71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</row>
    <row r="239" spans="1:27" ht="18" customHeight="1">
      <c r="A239" s="61"/>
      <c r="B239" s="60"/>
      <c r="C239" s="69"/>
      <c r="D239" s="70"/>
      <c r="E239" s="72"/>
      <c r="F239" s="71"/>
      <c r="G239" s="71"/>
      <c r="H239" s="60"/>
      <c r="I239" s="60"/>
      <c r="J239" s="69"/>
      <c r="K239" s="69"/>
      <c r="L239" s="70"/>
      <c r="M239" s="72"/>
      <c r="N239" s="71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</row>
    <row r="240" spans="1:27" ht="18" customHeight="1">
      <c r="A240" s="61"/>
      <c r="B240" s="60"/>
      <c r="C240" s="69"/>
      <c r="D240" s="70"/>
      <c r="E240" s="72"/>
      <c r="F240" s="71"/>
      <c r="G240" s="71"/>
      <c r="H240" s="60"/>
      <c r="I240" s="60"/>
      <c r="J240" s="69"/>
      <c r="K240" s="69"/>
      <c r="L240" s="70"/>
      <c r="M240" s="72"/>
      <c r="N240" s="71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</row>
    <row r="241" spans="1:27" ht="18" customHeight="1">
      <c r="A241" s="61"/>
      <c r="B241" s="60"/>
      <c r="C241" s="69"/>
      <c r="D241" s="70"/>
      <c r="E241" s="72"/>
      <c r="F241" s="71"/>
      <c r="G241" s="71"/>
      <c r="H241" s="60"/>
      <c r="I241" s="60"/>
      <c r="J241" s="69"/>
      <c r="K241" s="69"/>
      <c r="L241" s="70"/>
      <c r="M241" s="72"/>
      <c r="N241" s="71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</row>
    <row r="242" spans="1:27" ht="18" customHeight="1">
      <c r="A242" s="61"/>
      <c r="B242" s="60"/>
      <c r="C242" s="69"/>
      <c r="D242" s="70"/>
      <c r="E242" s="72"/>
      <c r="F242" s="71"/>
      <c r="G242" s="71"/>
      <c r="H242" s="60"/>
      <c r="I242" s="60"/>
      <c r="J242" s="69"/>
      <c r="K242" s="69"/>
      <c r="L242" s="70"/>
      <c r="M242" s="72"/>
      <c r="N242" s="71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</row>
    <row r="243" spans="1:27" ht="18" customHeight="1">
      <c r="A243" s="61"/>
      <c r="B243" s="60"/>
      <c r="C243" s="69"/>
      <c r="D243" s="70"/>
      <c r="E243" s="72"/>
      <c r="F243" s="71"/>
      <c r="G243" s="71"/>
      <c r="H243" s="60"/>
      <c r="I243" s="60"/>
      <c r="J243" s="69"/>
      <c r="K243" s="69"/>
      <c r="L243" s="70"/>
      <c r="M243" s="72"/>
      <c r="N243" s="71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</row>
    <row r="244" spans="1:27" ht="18" customHeight="1">
      <c r="A244" s="61"/>
      <c r="B244" s="60"/>
      <c r="C244" s="69"/>
      <c r="D244" s="70"/>
      <c r="E244" s="72"/>
      <c r="F244" s="71"/>
      <c r="G244" s="71"/>
      <c r="H244" s="60"/>
      <c r="I244" s="60"/>
      <c r="J244" s="69"/>
      <c r="K244" s="69"/>
      <c r="L244" s="70"/>
      <c r="M244" s="72"/>
      <c r="N244" s="71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</row>
    <row r="245" spans="1:27" ht="18" customHeight="1">
      <c r="A245" s="61"/>
      <c r="B245" s="60"/>
      <c r="C245" s="69"/>
      <c r="D245" s="70"/>
      <c r="E245" s="72"/>
      <c r="F245" s="71"/>
      <c r="G245" s="71"/>
      <c r="H245" s="60"/>
      <c r="I245" s="60"/>
      <c r="J245" s="69"/>
      <c r="K245" s="69"/>
      <c r="L245" s="70"/>
      <c r="M245" s="72"/>
      <c r="N245" s="71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</row>
    <row r="246" spans="1:27" ht="18" customHeight="1">
      <c r="A246" s="61"/>
      <c r="B246" s="60"/>
      <c r="C246" s="69"/>
      <c r="D246" s="70"/>
      <c r="E246" s="72"/>
      <c r="F246" s="71"/>
      <c r="G246" s="71"/>
      <c r="H246" s="60"/>
      <c r="I246" s="60"/>
      <c r="J246" s="69"/>
      <c r="K246" s="69"/>
      <c r="L246" s="70"/>
      <c r="M246" s="72"/>
      <c r="N246" s="71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</row>
    <row r="247" spans="1:27" ht="18" customHeight="1">
      <c r="A247" s="61"/>
      <c r="B247" s="60"/>
      <c r="C247" s="69"/>
      <c r="D247" s="70"/>
      <c r="E247" s="72"/>
      <c r="F247" s="71"/>
      <c r="G247" s="71"/>
      <c r="H247" s="60"/>
      <c r="I247" s="60"/>
      <c r="J247" s="69"/>
      <c r="K247" s="69"/>
      <c r="L247" s="70"/>
      <c r="M247" s="72"/>
      <c r="N247" s="71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</row>
    <row r="248" spans="1:27" ht="18" customHeight="1">
      <c r="A248" s="61"/>
      <c r="B248" s="60"/>
      <c r="C248" s="69"/>
      <c r="D248" s="70"/>
      <c r="E248" s="72"/>
      <c r="F248" s="71"/>
      <c r="G248" s="71"/>
      <c r="H248" s="60"/>
      <c r="I248" s="60"/>
      <c r="J248" s="69"/>
      <c r="K248" s="69"/>
      <c r="L248" s="70"/>
      <c r="M248" s="72"/>
      <c r="N248" s="71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</row>
    <row r="249" spans="1:27" ht="18" customHeight="1">
      <c r="A249" s="61"/>
      <c r="B249" s="60"/>
      <c r="C249" s="69"/>
      <c r="D249" s="70"/>
      <c r="E249" s="72"/>
      <c r="F249" s="71"/>
      <c r="G249" s="71"/>
      <c r="H249" s="60"/>
      <c r="I249" s="60"/>
      <c r="J249" s="69"/>
      <c r="K249" s="69"/>
      <c r="L249" s="70"/>
      <c r="M249" s="72"/>
      <c r="N249" s="71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</row>
    <row r="250" spans="1:27" ht="18" customHeight="1">
      <c r="A250" s="61"/>
      <c r="B250" s="60"/>
      <c r="C250" s="69"/>
      <c r="D250" s="70"/>
      <c r="E250" s="72"/>
      <c r="F250" s="71"/>
      <c r="G250" s="71"/>
      <c r="H250" s="60"/>
      <c r="I250" s="60"/>
      <c r="J250" s="69"/>
      <c r="K250" s="69"/>
      <c r="L250" s="70"/>
      <c r="M250" s="72"/>
      <c r="N250" s="71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</row>
    <row r="251" spans="1:27" ht="18" customHeight="1">
      <c r="A251" s="61"/>
      <c r="B251" s="60"/>
      <c r="C251" s="69"/>
      <c r="D251" s="70"/>
      <c r="E251" s="72"/>
      <c r="F251" s="71"/>
      <c r="G251" s="71"/>
      <c r="H251" s="60"/>
      <c r="I251" s="60"/>
      <c r="J251" s="69"/>
      <c r="K251" s="69"/>
      <c r="L251" s="70"/>
      <c r="M251" s="72"/>
      <c r="N251" s="71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</row>
    <row r="252" spans="1:27" ht="18" customHeight="1">
      <c r="A252" s="61"/>
      <c r="B252" s="60"/>
      <c r="C252" s="69"/>
      <c r="D252" s="70"/>
      <c r="E252" s="72"/>
      <c r="F252" s="71"/>
      <c r="G252" s="71"/>
      <c r="H252" s="60"/>
      <c r="I252" s="60"/>
      <c r="J252" s="69"/>
      <c r="K252" s="69"/>
      <c r="L252" s="70"/>
      <c r="M252" s="72"/>
      <c r="N252" s="71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</row>
    <row r="253" spans="1:27" ht="18" customHeight="1">
      <c r="A253" s="61"/>
      <c r="B253" s="60"/>
      <c r="C253" s="69"/>
      <c r="D253" s="70"/>
      <c r="E253" s="72"/>
      <c r="F253" s="71"/>
      <c r="G253" s="71"/>
      <c r="H253" s="60"/>
      <c r="I253" s="60"/>
      <c r="J253" s="69"/>
      <c r="K253" s="69"/>
      <c r="L253" s="70"/>
      <c r="M253" s="72"/>
      <c r="N253" s="71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</row>
    <row r="254" spans="1:27" ht="18" customHeight="1">
      <c r="A254" s="61"/>
      <c r="B254" s="60"/>
      <c r="C254" s="69"/>
      <c r="D254" s="70"/>
      <c r="E254" s="72"/>
      <c r="F254" s="71"/>
      <c r="G254" s="71"/>
      <c r="H254" s="60"/>
      <c r="I254" s="60"/>
      <c r="J254" s="69"/>
      <c r="K254" s="69"/>
      <c r="L254" s="70"/>
      <c r="M254" s="72"/>
      <c r="N254" s="71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</row>
    <row r="255" spans="1:27" ht="18" customHeight="1">
      <c r="A255" s="61"/>
      <c r="B255" s="60"/>
      <c r="C255" s="69"/>
      <c r="D255" s="70"/>
      <c r="E255" s="72"/>
      <c r="F255" s="71"/>
      <c r="G255" s="71"/>
      <c r="H255" s="60"/>
      <c r="I255" s="60"/>
      <c r="J255" s="69"/>
      <c r="K255" s="69"/>
      <c r="L255" s="70"/>
      <c r="M255" s="72"/>
      <c r="N255" s="71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</row>
    <row r="256" spans="1:27" ht="18" customHeight="1">
      <c r="A256" s="61"/>
      <c r="B256" s="60"/>
      <c r="C256" s="69"/>
      <c r="D256" s="70"/>
      <c r="E256" s="72"/>
      <c r="F256" s="71"/>
      <c r="G256" s="71"/>
      <c r="H256" s="60"/>
      <c r="I256" s="60"/>
      <c r="J256" s="69"/>
      <c r="K256" s="69"/>
      <c r="L256" s="70"/>
      <c r="M256" s="72"/>
      <c r="N256" s="71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</row>
    <row r="257" spans="1:27" ht="18" customHeight="1">
      <c r="A257" s="61"/>
      <c r="B257" s="60"/>
      <c r="C257" s="69"/>
      <c r="D257" s="70"/>
      <c r="E257" s="72"/>
      <c r="F257" s="71"/>
      <c r="G257" s="71"/>
      <c r="H257" s="60"/>
      <c r="I257" s="60"/>
      <c r="J257" s="69"/>
      <c r="K257" s="69"/>
      <c r="L257" s="70"/>
      <c r="M257" s="72"/>
      <c r="N257" s="71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</row>
    <row r="258" spans="1:27" ht="18" customHeight="1">
      <c r="A258" s="61"/>
      <c r="B258" s="60"/>
      <c r="C258" s="69"/>
      <c r="D258" s="70"/>
      <c r="E258" s="72"/>
      <c r="F258" s="71"/>
      <c r="G258" s="71"/>
      <c r="H258" s="60"/>
      <c r="I258" s="60"/>
      <c r="J258" s="69"/>
      <c r="K258" s="69"/>
      <c r="L258" s="70"/>
      <c r="M258" s="72"/>
      <c r="N258" s="71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</row>
    <row r="259" spans="1:27" ht="18" customHeight="1">
      <c r="A259" s="61"/>
      <c r="B259" s="60"/>
      <c r="C259" s="69"/>
      <c r="D259" s="70"/>
      <c r="E259" s="72"/>
      <c r="F259" s="71"/>
      <c r="G259" s="71"/>
      <c r="H259" s="60"/>
      <c r="I259" s="60"/>
      <c r="J259" s="69"/>
      <c r="K259" s="69"/>
      <c r="L259" s="70"/>
      <c r="M259" s="72"/>
      <c r="N259" s="71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</row>
    <row r="260" spans="1:27" ht="18" customHeight="1">
      <c r="A260" s="61"/>
      <c r="B260" s="60"/>
      <c r="C260" s="69"/>
      <c r="D260" s="70"/>
      <c r="E260" s="72"/>
      <c r="F260" s="71"/>
      <c r="G260" s="71"/>
      <c r="H260" s="60"/>
      <c r="I260" s="60"/>
      <c r="J260" s="69"/>
      <c r="K260" s="69"/>
      <c r="L260" s="70"/>
      <c r="M260" s="72"/>
      <c r="N260" s="71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</row>
    <row r="261" spans="1:27" ht="18" customHeight="1">
      <c r="A261" s="61"/>
      <c r="B261" s="60"/>
      <c r="C261" s="69"/>
      <c r="D261" s="70"/>
      <c r="E261" s="72"/>
      <c r="F261" s="71"/>
      <c r="G261" s="71"/>
      <c r="H261" s="60"/>
      <c r="I261" s="60"/>
      <c r="J261" s="69"/>
      <c r="K261" s="69"/>
      <c r="L261" s="70"/>
      <c r="M261" s="72"/>
      <c r="N261" s="71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</row>
    <row r="262" spans="1:27" ht="18" customHeight="1">
      <c r="A262" s="61"/>
      <c r="B262" s="60"/>
      <c r="C262" s="69"/>
      <c r="D262" s="70"/>
      <c r="E262" s="72"/>
      <c r="F262" s="71"/>
      <c r="G262" s="71"/>
      <c r="H262" s="60"/>
      <c r="I262" s="60"/>
      <c r="J262" s="69"/>
      <c r="K262" s="69"/>
      <c r="L262" s="70"/>
      <c r="M262" s="72"/>
      <c r="N262" s="71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</row>
    <row r="263" spans="1:27" ht="18" customHeight="1">
      <c r="A263" s="61"/>
      <c r="B263" s="60"/>
      <c r="C263" s="69"/>
      <c r="D263" s="70"/>
      <c r="E263" s="72"/>
      <c r="F263" s="71"/>
      <c r="G263" s="71"/>
      <c r="H263" s="60"/>
      <c r="I263" s="60"/>
      <c r="J263" s="69"/>
      <c r="K263" s="69"/>
      <c r="L263" s="70"/>
      <c r="M263" s="72"/>
      <c r="N263" s="71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</row>
    <row r="264" spans="1:27" ht="18" customHeight="1">
      <c r="A264" s="61"/>
      <c r="B264" s="60"/>
      <c r="C264" s="69"/>
      <c r="D264" s="70"/>
      <c r="E264" s="72"/>
      <c r="F264" s="71"/>
      <c r="G264" s="71"/>
      <c r="H264" s="60"/>
      <c r="I264" s="60"/>
      <c r="J264" s="69"/>
      <c r="K264" s="69"/>
      <c r="L264" s="70"/>
      <c r="M264" s="72"/>
      <c r="N264" s="71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</row>
    <row r="265" spans="1:27" ht="18" customHeight="1">
      <c r="A265" s="61"/>
      <c r="B265" s="60"/>
      <c r="C265" s="69"/>
      <c r="D265" s="70"/>
      <c r="E265" s="72"/>
      <c r="F265" s="71"/>
      <c r="G265" s="71"/>
      <c r="H265" s="60"/>
      <c r="I265" s="60"/>
      <c r="J265" s="69"/>
      <c r="K265" s="69"/>
      <c r="L265" s="70"/>
      <c r="M265" s="72"/>
      <c r="N265" s="71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</row>
    <row r="266" spans="1:27" ht="18" customHeight="1">
      <c r="A266" s="61"/>
      <c r="B266" s="60"/>
      <c r="C266" s="69"/>
      <c r="D266" s="70"/>
      <c r="E266" s="72"/>
      <c r="F266" s="71"/>
      <c r="G266" s="71"/>
      <c r="H266" s="60"/>
      <c r="I266" s="60"/>
      <c r="J266" s="69"/>
      <c r="K266" s="69"/>
      <c r="L266" s="70"/>
      <c r="M266" s="72"/>
      <c r="N266" s="71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</row>
    <row r="267" spans="1:27" ht="18" customHeight="1">
      <c r="A267" s="61"/>
      <c r="B267" s="60"/>
      <c r="C267" s="69"/>
      <c r="D267" s="70"/>
      <c r="E267" s="72"/>
      <c r="F267" s="71"/>
      <c r="G267" s="71"/>
      <c r="H267" s="60"/>
      <c r="I267" s="60"/>
      <c r="J267" s="69"/>
      <c r="K267" s="69"/>
      <c r="L267" s="70"/>
      <c r="M267" s="72"/>
      <c r="N267" s="71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</row>
    <row r="268" spans="1:27" ht="18" customHeight="1">
      <c r="A268" s="61"/>
      <c r="B268" s="60"/>
      <c r="C268" s="69"/>
      <c r="D268" s="70"/>
      <c r="E268" s="72"/>
      <c r="F268" s="71"/>
      <c r="G268" s="71"/>
      <c r="H268" s="60"/>
      <c r="I268" s="60"/>
      <c r="J268" s="69"/>
      <c r="K268" s="69"/>
      <c r="L268" s="70"/>
      <c r="M268" s="72"/>
      <c r="N268" s="71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</row>
    <row r="269" spans="1:27" ht="18" customHeight="1">
      <c r="A269" s="61"/>
      <c r="B269" s="60"/>
      <c r="C269" s="69"/>
      <c r="D269" s="70"/>
      <c r="E269" s="72"/>
      <c r="F269" s="71"/>
      <c r="G269" s="71"/>
      <c r="H269" s="60"/>
      <c r="I269" s="60"/>
      <c r="J269" s="69"/>
      <c r="K269" s="69"/>
      <c r="L269" s="70"/>
      <c r="M269" s="72"/>
      <c r="N269" s="71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</row>
    <row r="270" spans="1:27" ht="18" customHeight="1">
      <c r="A270" s="61"/>
      <c r="B270" s="60"/>
      <c r="C270" s="69"/>
      <c r="D270" s="70"/>
      <c r="E270" s="72"/>
      <c r="F270" s="71"/>
      <c r="G270" s="71"/>
      <c r="H270" s="60"/>
      <c r="I270" s="60"/>
      <c r="J270" s="69"/>
      <c r="K270" s="69"/>
      <c r="L270" s="70"/>
      <c r="M270" s="72"/>
      <c r="N270" s="71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</row>
    <row r="271" spans="1:27" ht="18" customHeight="1">
      <c r="A271" s="61"/>
      <c r="B271" s="60"/>
      <c r="C271" s="69"/>
      <c r="D271" s="70"/>
      <c r="E271" s="72"/>
      <c r="F271" s="71"/>
      <c r="G271" s="71"/>
      <c r="H271" s="60"/>
      <c r="I271" s="60"/>
      <c r="J271" s="69"/>
      <c r="K271" s="69"/>
      <c r="L271" s="70"/>
      <c r="M271" s="72"/>
      <c r="N271" s="71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</row>
    <row r="272" spans="1:27" ht="18" customHeight="1">
      <c r="A272" s="61"/>
      <c r="B272" s="60"/>
      <c r="C272" s="69"/>
      <c r="D272" s="70"/>
      <c r="E272" s="72"/>
      <c r="F272" s="71"/>
      <c r="G272" s="71"/>
      <c r="H272" s="60"/>
      <c r="I272" s="60"/>
      <c r="J272" s="69"/>
      <c r="K272" s="69"/>
      <c r="L272" s="70"/>
      <c r="M272" s="72"/>
      <c r="N272" s="71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</row>
    <row r="273" spans="1:27" ht="18" customHeight="1">
      <c r="A273" s="61"/>
      <c r="B273" s="60"/>
      <c r="C273" s="69"/>
      <c r="D273" s="70"/>
      <c r="E273" s="72"/>
      <c r="F273" s="71"/>
      <c r="G273" s="71"/>
      <c r="H273" s="60"/>
      <c r="I273" s="60"/>
      <c r="J273" s="69"/>
      <c r="K273" s="69"/>
      <c r="L273" s="70"/>
      <c r="M273" s="72"/>
      <c r="N273" s="71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</row>
    <row r="274" spans="1:27" ht="18" customHeight="1">
      <c r="A274" s="61"/>
      <c r="B274" s="60"/>
      <c r="C274" s="69"/>
      <c r="D274" s="70"/>
      <c r="E274" s="72"/>
      <c r="F274" s="71"/>
      <c r="G274" s="71"/>
      <c r="H274" s="60"/>
      <c r="I274" s="60"/>
      <c r="J274" s="69"/>
      <c r="K274" s="69"/>
      <c r="L274" s="70"/>
      <c r="M274" s="72"/>
      <c r="N274" s="71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</row>
    <row r="275" spans="1:27" ht="18" customHeight="1">
      <c r="A275" s="61"/>
      <c r="B275" s="60"/>
      <c r="C275" s="69"/>
      <c r="D275" s="70"/>
      <c r="E275" s="72"/>
      <c r="F275" s="71"/>
      <c r="G275" s="71"/>
      <c r="H275" s="60"/>
      <c r="I275" s="60"/>
      <c r="J275" s="69"/>
      <c r="K275" s="69"/>
      <c r="L275" s="70"/>
      <c r="M275" s="72"/>
      <c r="N275" s="71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</row>
    <row r="276" spans="1:27" ht="18" customHeight="1">
      <c r="A276" s="61"/>
      <c r="B276" s="60"/>
      <c r="C276" s="69"/>
      <c r="D276" s="70"/>
      <c r="E276" s="72"/>
      <c r="F276" s="71"/>
      <c r="G276" s="71"/>
      <c r="H276" s="60"/>
      <c r="I276" s="60"/>
      <c r="J276" s="69"/>
      <c r="K276" s="69"/>
      <c r="L276" s="70"/>
      <c r="M276" s="72"/>
      <c r="N276" s="71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</row>
    <row r="277" spans="1:27" ht="18" customHeight="1">
      <c r="A277" s="61"/>
      <c r="B277" s="60"/>
      <c r="C277" s="69"/>
      <c r="D277" s="70"/>
      <c r="E277" s="72"/>
      <c r="F277" s="71"/>
      <c r="G277" s="71"/>
      <c r="H277" s="60"/>
      <c r="I277" s="60"/>
      <c r="J277" s="69"/>
      <c r="K277" s="69"/>
      <c r="L277" s="70"/>
      <c r="M277" s="72"/>
      <c r="N277" s="71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</row>
    <row r="278" spans="1:27" ht="18" customHeight="1">
      <c r="A278" s="61"/>
      <c r="B278" s="60"/>
      <c r="C278" s="69"/>
      <c r="D278" s="70"/>
      <c r="E278" s="72"/>
      <c r="F278" s="71"/>
      <c r="G278" s="71"/>
      <c r="H278" s="60"/>
      <c r="I278" s="60"/>
      <c r="J278" s="69"/>
      <c r="K278" s="69"/>
      <c r="L278" s="70"/>
      <c r="M278" s="72"/>
      <c r="N278" s="71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</row>
    <row r="279" spans="1:27" ht="18" customHeight="1">
      <c r="A279" s="61"/>
      <c r="B279" s="60"/>
      <c r="C279" s="69"/>
      <c r="D279" s="70"/>
      <c r="E279" s="72"/>
      <c r="F279" s="71"/>
      <c r="G279" s="71"/>
      <c r="H279" s="60"/>
      <c r="I279" s="60"/>
      <c r="J279" s="69"/>
      <c r="K279" s="69"/>
      <c r="L279" s="70"/>
      <c r="M279" s="72"/>
      <c r="N279" s="71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</row>
    <row r="280" spans="1:27" ht="18" customHeight="1">
      <c r="A280" s="61"/>
      <c r="B280" s="60"/>
      <c r="C280" s="69"/>
      <c r="D280" s="70"/>
      <c r="E280" s="72"/>
      <c r="F280" s="71"/>
      <c r="G280" s="71"/>
      <c r="H280" s="60"/>
      <c r="I280" s="60"/>
      <c r="J280" s="69"/>
      <c r="K280" s="69"/>
      <c r="L280" s="70"/>
      <c r="M280" s="72"/>
      <c r="N280" s="71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</row>
    <row r="281" spans="1:27" ht="18" customHeight="1">
      <c r="A281" s="61"/>
      <c r="B281" s="60"/>
      <c r="C281" s="69"/>
      <c r="D281" s="70"/>
      <c r="E281" s="72"/>
      <c r="F281" s="71"/>
      <c r="G281" s="71"/>
      <c r="H281" s="60"/>
      <c r="I281" s="60"/>
      <c r="J281" s="69"/>
      <c r="K281" s="69"/>
      <c r="L281" s="70"/>
      <c r="M281" s="72"/>
      <c r="N281" s="71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</row>
    <row r="282" spans="1:27" ht="18" customHeight="1">
      <c r="A282" s="61"/>
      <c r="B282" s="60"/>
      <c r="C282" s="69"/>
      <c r="D282" s="70"/>
      <c r="E282" s="72"/>
      <c r="F282" s="71"/>
      <c r="G282" s="71"/>
      <c r="H282" s="60"/>
      <c r="I282" s="60"/>
      <c r="J282" s="69"/>
      <c r="K282" s="69"/>
      <c r="L282" s="70"/>
      <c r="M282" s="72"/>
      <c r="N282" s="71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</row>
    <row r="283" spans="1:27" ht="18" customHeight="1">
      <c r="A283" s="61"/>
      <c r="B283" s="60"/>
      <c r="C283" s="69"/>
      <c r="D283" s="70"/>
      <c r="E283" s="72"/>
      <c r="F283" s="71"/>
      <c r="G283" s="71"/>
      <c r="H283" s="60"/>
      <c r="I283" s="60"/>
      <c r="J283" s="69"/>
      <c r="K283" s="69"/>
      <c r="L283" s="70"/>
      <c r="M283" s="72"/>
      <c r="N283" s="71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</row>
    <row r="284" spans="1:27" ht="18" customHeight="1">
      <c r="A284" s="61"/>
      <c r="B284" s="60"/>
      <c r="C284" s="69"/>
      <c r="D284" s="70"/>
      <c r="E284" s="72"/>
      <c r="F284" s="71"/>
      <c r="G284" s="71"/>
      <c r="H284" s="60"/>
      <c r="I284" s="60"/>
      <c r="J284" s="69"/>
      <c r="K284" s="69"/>
      <c r="L284" s="70"/>
      <c r="M284" s="72"/>
      <c r="N284" s="71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</row>
    <row r="285" spans="1:27" ht="18" customHeight="1">
      <c r="A285" s="61"/>
      <c r="B285" s="60"/>
      <c r="C285" s="69"/>
      <c r="D285" s="70"/>
      <c r="E285" s="72"/>
      <c r="F285" s="71"/>
      <c r="G285" s="71"/>
      <c r="H285" s="60"/>
      <c r="I285" s="60"/>
      <c r="J285" s="69"/>
      <c r="K285" s="69"/>
      <c r="L285" s="70"/>
      <c r="M285" s="72"/>
      <c r="N285" s="71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</row>
    <row r="286" spans="1:27" ht="18" customHeight="1">
      <c r="A286" s="61"/>
      <c r="B286" s="60"/>
      <c r="C286" s="69"/>
      <c r="D286" s="70"/>
      <c r="E286" s="72"/>
      <c r="F286" s="71"/>
      <c r="G286" s="71"/>
      <c r="H286" s="60"/>
      <c r="I286" s="60"/>
      <c r="J286" s="69"/>
      <c r="K286" s="69"/>
      <c r="L286" s="70"/>
      <c r="M286" s="72"/>
      <c r="N286" s="71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</row>
    <row r="287" spans="1:27" ht="18" customHeight="1">
      <c r="A287" s="61"/>
      <c r="B287" s="60"/>
      <c r="C287" s="69"/>
      <c r="D287" s="70"/>
      <c r="E287" s="72"/>
      <c r="F287" s="71"/>
      <c r="G287" s="71"/>
      <c r="H287" s="60"/>
      <c r="I287" s="60"/>
      <c r="J287" s="69"/>
      <c r="K287" s="69"/>
      <c r="L287" s="70"/>
      <c r="M287" s="72"/>
      <c r="N287" s="71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</row>
    <row r="288" spans="1:27" ht="18" customHeight="1">
      <c r="A288" s="61"/>
      <c r="B288" s="60"/>
      <c r="C288" s="69"/>
      <c r="D288" s="70"/>
      <c r="E288" s="72"/>
      <c r="F288" s="71"/>
      <c r="G288" s="71"/>
      <c r="H288" s="60"/>
      <c r="I288" s="60"/>
      <c r="J288" s="69"/>
      <c r="K288" s="69"/>
      <c r="L288" s="70"/>
      <c r="M288" s="72"/>
      <c r="N288" s="71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</row>
    <row r="289" spans="1:27" ht="18" customHeight="1">
      <c r="A289" s="61"/>
      <c r="B289" s="60"/>
      <c r="C289" s="69"/>
      <c r="D289" s="70"/>
      <c r="E289" s="72"/>
      <c r="F289" s="71"/>
      <c r="G289" s="71"/>
      <c r="H289" s="60"/>
      <c r="I289" s="60"/>
      <c r="J289" s="69"/>
      <c r="K289" s="69"/>
      <c r="L289" s="70"/>
      <c r="M289" s="72"/>
      <c r="N289" s="71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</row>
    <row r="290" spans="1:27" ht="18" customHeight="1">
      <c r="A290" s="61"/>
      <c r="B290" s="60"/>
      <c r="C290" s="69"/>
      <c r="D290" s="70"/>
      <c r="E290" s="72"/>
      <c r="F290" s="71"/>
      <c r="G290" s="71"/>
      <c r="H290" s="60"/>
      <c r="I290" s="60"/>
      <c r="J290" s="69"/>
      <c r="K290" s="69"/>
      <c r="L290" s="70"/>
      <c r="M290" s="72"/>
      <c r="N290" s="71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</row>
    <row r="291" spans="1:27" ht="18" customHeight="1">
      <c r="A291" s="61"/>
      <c r="B291" s="60"/>
      <c r="C291" s="69"/>
      <c r="D291" s="70"/>
      <c r="E291" s="72"/>
      <c r="F291" s="71"/>
      <c r="G291" s="71"/>
      <c r="H291" s="60"/>
      <c r="I291" s="60"/>
      <c r="J291" s="69"/>
      <c r="K291" s="69"/>
      <c r="L291" s="70"/>
      <c r="M291" s="72"/>
      <c r="N291" s="71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</row>
    <row r="292" spans="1:27" ht="18" customHeight="1">
      <c r="A292" s="61"/>
      <c r="B292" s="60"/>
      <c r="C292" s="69"/>
      <c r="D292" s="70"/>
      <c r="E292" s="72"/>
      <c r="F292" s="71"/>
      <c r="G292" s="71"/>
      <c r="H292" s="60"/>
      <c r="I292" s="60"/>
      <c r="J292" s="69"/>
      <c r="K292" s="69"/>
      <c r="L292" s="70"/>
      <c r="M292" s="72"/>
      <c r="N292" s="71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</row>
    <row r="293" spans="1:27" ht="18" customHeight="1">
      <c r="A293" s="61"/>
      <c r="B293" s="60"/>
      <c r="C293" s="69"/>
      <c r="D293" s="70"/>
      <c r="E293" s="72"/>
      <c r="F293" s="71"/>
      <c r="G293" s="71"/>
      <c r="H293" s="60"/>
      <c r="I293" s="60"/>
      <c r="J293" s="69"/>
      <c r="K293" s="69"/>
      <c r="L293" s="70"/>
      <c r="M293" s="72"/>
      <c r="N293" s="71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</row>
    <row r="294" spans="1:27" ht="18" customHeight="1">
      <c r="A294" s="61"/>
      <c r="B294" s="60"/>
      <c r="C294" s="69"/>
      <c r="D294" s="70"/>
      <c r="E294" s="72"/>
      <c r="F294" s="71"/>
      <c r="G294" s="71"/>
      <c r="H294" s="60"/>
      <c r="I294" s="60"/>
      <c r="J294" s="69"/>
      <c r="K294" s="69"/>
      <c r="L294" s="70"/>
      <c r="M294" s="72"/>
      <c r="N294" s="71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</row>
    <row r="295" spans="1:27" ht="18" customHeight="1">
      <c r="A295" s="61"/>
      <c r="B295" s="60"/>
      <c r="C295" s="69"/>
      <c r="D295" s="70"/>
      <c r="E295" s="72"/>
      <c r="F295" s="71"/>
      <c r="G295" s="71"/>
      <c r="H295" s="60"/>
      <c r="I295" s="60"/>
      <c r="J295" s="69"/>
      <c r="K295" s="69"/>
      <c r="L295" s="70"/>
      <c r="M295" s="72"/>
      <c r="N295" s="71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</row>
    <row r="296" spans="1:27" ht="18" customHeight="1">
      <c r="A296" s="61"/>
      <c r="B296" s="60"/>
      <c r="C296" s="69"/>
      <c r="D296" s="70"/>
      <c r="E296" s="72"/>
      <c r="F296" s="71"/>
      <c r="G296" s="71"/>
      <c r="H296" s="60"/>
      <c r="I296" s="60"/>
      <c r="J296" s="69"/>
      <c r="K296" s="69"/>
      <c r="L296" s="70"/>
      <c r="M296" s="72"/>
      <c r="N296" s="71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</row>
    <row r="297" spans="1:27" ht="18" customHeight="1">
      <c r="A297" s="61"/>
      <c r="B297" s="60"/>
      <c r="C297" s="69"/>
      <c r="D297" s="70"/>
      <c r="E297" s="72"/>
      <c r="F297" s="71"/>
      <c r="G297" s="71"/>
      <c r="H297" s="60"/>
      <c r="I297" s="60"/>
      <c r="J297" s="69"/>
      <c r="K297" s="69"/>
      <c r="L297" s="70"/>
      <c r="M297" s="72"/>
      <c r="N297" s="71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</row>
    <row r="298" spans="1:27" ht="18" customHeight="1">
      <c r="A298" s="61"/>
      <c r="B298" s="60"/>
      <c r="C298" s="69"/>
      <c r="D298" s="70"/>
      <c r="E298" s="72"/>
      <c r="F298" s="71"/>
      <c r="G298" s="71"/>
      <c r="H298" s="60"/>
      <c r="I298" s="60"/>
      <c r="J298" s="69"/>
      <c r="K298" s="69"/>
      <c r="L298" s="70"/>
      <c r="M298" s="72"/>
      <c r="N298" s="71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</row>
    <row r="299" spans="1:27" ht="18" customHeight="1">
      <c r="A299" s="61"/>
      <c r="B299" s="60"/>
      <c r="C299" s="69"/>
      <c r="D299" s="70"/>
      <c r="E299" s="72"/>
      <c r="F299" s="71"/>
      <c r="G299" s="71"/>
      <c r="H299" s="60"/>
      <c r="I299" s="60"/>
      <c r="J299" s="69"/>
      <c r="K299" s="69"/>
      <c r="L299" s="70"/>
      <c r="M299" s="72"/>
      <c r="N299" s="71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</row>
    <row r="300" spans="1:27" ht="18" customHeight="1">
      <c r="A300" s="61"/>
      <c r="B300" s="60"/>
      <c r="C300" s="69"/>
      <c r="D300" s="70"/>
      <c r="E300" s="72"/>
      <c r="F300" s="71"/>
      <c r="G300" s="71"/>
      <c r="H300" s="60"/>
      <c r="I300" s="60"/>
      <c r="J300" s="69"/>
      <c r="K300" s="69"/>
      <c r="L300" s="70"/>
      <c r="M300" s="72"/>
      <c r="N300" s="71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</row>
    <row r="301" spans="1:27" ht="18" customHeight="1">
      <c r="A301" s="61"/>
      <c r="B301" s="60"/>
      <c r="C301" s="69"/>
      <c r="D301" s="70"/>
      <c r="E301" s="72"/>
      <c r="F301" s="71"/>
      <c r="G301" s="71"/>
      <c r="H301" s="60"/>
      <c r="I301" s="60"/>
      <c r="J301" s="69"/>
      <c r="K301" s="69"/>
      <c r="L301" s="70"/>
      <c r="M301" s="72"/>
      <c r="N301" s="71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</row>
    <row r="302" spans="1:27" ht="18" customHeight="1">
      <c r="A302" s="61"/>
      <c r="B302" s="60"/>
      <c r="C302" s="69"/>
      <c r="D302" s="70"/>
      <c r="E302" s="72"/>
      <c r="F302" s="71"/>
      <c r="G302" s="71"/>
      <c r="H302" s="60"/>
      <c r="I302" s="60"/>
      <c r="J302" s="69"/>
      <c r="K302" s="69"/>
      <c r="L302" s="70"/>
      <c r="M302" s="72"/>
      <c r="N302" s="71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</row>
    <row r="303" spans="1:27" ht="18" customHeight="1">
      <c r="A303" s="61"/>
      <c r="B303" s="60"/>
      <c r="C303" s="69"/>
      <c r="D303" s="70"/>
      <c r="E303" s="72"/>
      <c r="F303" s="71"/>
      <c r="G303" s="71"/>
      <c r="H303" s="60"/>
      <c r="I303" s="60"/>
      <c r="J303" s="69"/>
      <c r="K303" s="69"/>
      <c r="L303" s="70"/>
      <c r="M303" s="72"/>
      <c r="N303" s="71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</row>
    <row r="304" spans="1:27" ht="18" customHeight="1">
      <c r="A304" s="61"/>
      <c r="B304" s="60"/>
      <c r="C304" s="69"/>
      <c r="D304" s="70"/>
      <c r="E304" s="72"/>
      <c r="F304" s="71"/>
      <c r="G304" s="71"/>
      <c r="H304" s="60"/>
      <c r="I304" s="60"/>
      <c r="J304" s="69"/>
      <c r="K304" s="69"/>
      <c r="L304" s="70"/>
      <c r="M304" s="72"/>
      <c r="N304" s="71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</row>
    <row r="305" spans="1:27" ht="18" customHeight="1">
      <c r="A305" s="61"/>
      <c r="B305" s="60"/>
      <c r="C305" s="69"/>
      <c r="D305" s="70"/>
      <c r="E305" s="72"/>
      <c r="F305" s="71"/>
      <c r="G305" s="71"/>
      <c r="H305" s="60"/>
      <c r="I305" s="60"/>
      <c r="J305" s="69"/>
      <c r="K305" s="69"/>
      <c r="L305" s="70"/>
      <c r="M305" s="72"/>
      <c r="N305" s="71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</row>
    <row r="306" spans="1:27" ht="18" customHeight="1">
      <c r="A306" s="61"/>
      <c r="B306" s="60"/>
      <c r="C306" s="69"/>
      <c r="D306" s="70"/>
      <c r="E306" s="72"/>
      <c r="F306" s="71"/>
      <c r="G306" s="71"/>
      <c r="H306" s="60"/>
      <c r="I306" s="60"/>
      <c r="J306" s="69"/>
      <c r="K306" s="69"/>
      <c r="L306" s="70"/>
      <c r="M306" s="72"/>
      <c r="N306" s="71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</row>
    <row r="307" spans="1:27" ht="18" customHeight="1">
      <c r="A307" s="61"/>
      <c r="B307" s="60"/>
      <c r="C307" s="69"/>
      <c r="D307" s="70"/>
      <c r="E307" s="72"/>
      <c r="F307" s="71"/>
      <c r="G307" s="71"/>
      <c r="H307" s="60"/>
      <c r="I307" s="60"/>
      <c r="J307" s="69"/>
      <c r="K307" s="69"/>
      <c r="L307" s="70"/>
      <c r="M307" s="72"/>
      <c r="N307" s="71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</row>
    <row r="308" spans="1:27" ht="18" customHeight="1">
      <c r="A308" s="61"/>
      <c r="B308" s="60"/>
      <c r="C308" s="69"/>
      <c r="D308" s="70"/>
      <c r="E308" s="72"/>
      <c r="F308" s="71"/>
      <c r="G308" s="71"/>
      <c r="H308" s="60"/>
      <c r="I308" s="60"/>
      <c r="J308" s="69"/>
      <c r="K308" s="69"/>
      <c r="L308" s="70"/>
      <c r="M308" s="72"/>
      <c r="N308" s="71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</row>
    <row r="309" spans="1:27" ht="18" customHeight="1">
      <c r="A309" s="61"/>
      <c r="B309" s="60"/>
      <c r="C309" s="69"/>
      <c r="D309" s="70"/>
      <c r="E309" s="72"/>
      <c r="F309" s="71"/>
      <c r="G309" s="71"/>
      <c r="H309" s="60"/>
      <c r="I309" s="60"/>
      <c r="J309" s="69"/>
      <c r="K309" s="69"/>
      <c r="L309" s="70"/>
      <c r="M309" s="72"/>
      <c r="N309" s="71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</row>
    <row r="310" spans="1:27" ht="18" customHeight="1">
      <c r="A310" s="61"/>
      <c r="B310" s="60"/>
      <c r="C310" s="69"/>
      <c r="D310" s="70"/>
      <c r="E310" s="72"/>
      <c r="F310" s="71"/>
      <c r="G310" s="71"/>
      <c r="H310" s="60"/>
      <c r="I310" s="60"/>
      <c r="J310" s="69"/>
      <c r="K310" s="69"/>
      <c r="L310" s="70"/>
      <c r="M310" s="72"/>
      <c r="N310" s="71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</row>
    <row r="311" spans="1:27" ht="18" customHeight="1">
      <c r="A311" s="61"/>
      <c r="B311" s="60"/>
      <c r="C311" s="69"/>
      <c r="D311" s="70"/>
      <c r="E311" s="72"/>
      <c r="F311" s="71"/>
      <c r="G311" s="71"/>
      <c r="H311" s="60"/>
      <c r="I311" s="60"/>
      <c r="J311" s="69"/>
      <c r="K311" s="69"/>
      <c r="L311" s="70"/>
      <c r="M311" s="72"/>
      <c r="N311" s="71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</row>
    <row r="312" spans="1:27" ht="18" customHeight="1">
      <c r="A312" s="61"/>
      <c r="B312" s="60"/>
      <c r="C312" s="69"/>
      <c r="D312" s="70"/>
      <c r="E312" s="72"/>
      <c r="F312" s="71"/>
      <c r="G312" s="71"/>
      <c r="H312" s="60"/>
      <c r="I312" s="60"/>
      <c r="J312" s="69"/>
      <c r="K312" s="69"/>
      <c r="L312" s="70"/>
      <c r="M312" s="72"/>
      <c r="N312" s="71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</row>
    <row r="313" spans="1:27" ht="18" customHeight="1">
      <c r="A313" s="61"/>
      <c r="B313" s="60"/>
      <c r="C313" s="69"/>
      <c r="D313" s="70"/>
      <c r="E313" s="72"/>
      <c r="F313" s="71"/>
      <c r="G313" s="71"/>
      <c r="H313" s="60"/>
      <c r="I313" s="60"/>
      <c r="J313" s="69"/>
      <c r="K313" s="69"/>
      <c r="L313" s="70"/>
      <c r="M313" s="72"/>
      <c r="N313" s="71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</row>
    <row r="314" spans="1:27" ht="18" customHeight="1">
      <c r="A314" s="61"/>
      <c r="B314" s="60"/>
      <c r="C314" s="69"/>
      <c r="D314" s="70"/>
      <c r="E314" s="72"/>
      <c r="F314" s="71"/>
      <c r="G314" s="71"/>
      <c r="H314" s="60"/>
      <c r="I314" s="60"/>
      <c r="J314" s="69"/>
      <c r="K314" s="69"/>
      <c r="L314" s="70"/>
      <c r="M314" s="72"/>
      <c r="N314" s="71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</row>
    <row r="315" spans="1:27" ht="18" customHeight="1">
      <c r="A315" s="61"/>
      <c r="B315" s="60"/>
      <c r="C315" s="69"/>
      <c r="D315" s="70"/>
      <c r="E315" s="72"/>
      <c r="F315" s="71"/>
      <c r="G315" s="71"/>
      <c r="H315" s="60"/>
      <c r="I315" s="60"/>
      <c r="J315" s="69"/>
      <c r="K315" s="69"/>
      <c r="L315" s="70"/>
      <c r="M315" s="72"/>
      <c r="N315" s="71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</row>
    <row r="316" spans="1:27" ht="18" customHeight="1">
      <c r="A316" s="61"/>
      <c r="B316" s="60"/>
      <c r="C316" s="69"/>
      <c r="D316" s="70"/>
      <c r="E316" s="72"/>
      <c r="F316" s="71"/>
      <c r="G316" s="71"/>
      <c r="H316" s="60"/>
      <c r="I316" s="60"/>
      <c r="J316" s="69"/>
      <c r="K316" s="69"/>
      <c r="L316" s="70"/>
      <c r="M316" s="72"/>
      <c r="N316" s="71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</row>
    <row r="317" spans="1:27" ht="18" customHeight="1">
      <c r="A317" s="61"/>
      <c r="B317" s="60"/>
      <c r="C317" s="69"/>
      <c r="D317" s="70"/>
      <c r="E317" s="72"/>
      <c r="F317" s="71"/>
      <c r="G317" s="71"/>
      <c r="H317" s="60"/>
      <c r="I317" s="60"/>
      <c r="J317" s="69"/>
      <c r="K317" s="69"/>
      <c r="L317" s="70"/>
      <c r="M317" s="72"/>
      <c r="N317" s="71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</row>
    <row r="318" spans="1:27" ht="18" customHeight="1">
      <c r="A318" s="61"/>
      <c r="B318" s="60"/>
      <c r="C318" s="69"/>
      <c r="D318" s="70"/>
      <c r="E318" s="72"/>
      <c r="F318" s="71"/>
      <c r="G318" s="71"/>
      <c r="H318" s="60"/>
      <c r="I318" s="60"/>
      <c r="J318" s="69"/>
      <c r="K318" s="69"/>
      <c r="L318" s="70"/>
      <c r="M318" s="72"/>
      <c r="N318" s="71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</row>
    <row r="319" spans="1:27" ht="18" customHeight="1">
      <c r="A319" s="61"/>
      <c r="B319" s="60"/>
      <c r="C319" s="69"/>
      <c r="D319" s="70"/>
      <c r="E319" s="72"/>
      <c r="F319" s="71"/>
      <c r="G319" s="71"/>
      <c r="H319" s="60"/>
      <c r="I319" s="60"/>
      <c r="J319" s="69"/>
      <c r="K319" s="69"/>
      <c r="L319" s="70"/>
      <c r="M319" s="72"/>
      <c r="N319" s="71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</row>
    <row r="320" spans="1:27" ht="18" customHeight="1">
      <c r="A320" s="61"/>
      <c r="B320" s="60"/>
      <c r="C320" s="69"/>
      <c r="D320" s="70"/>
      <c r="E320" s="72"/>
      <c r="F320" s="71"/>
      <c r="G320" s="71"/>
      <c r="H320" s="60"/>
      <c r="I320" s="60"/>
      <c r="J320" s="69"/>
      <c r="K320" s="69"/>
      <c r="L320" s="70"/>
      <c r="M320" s="72"/>
      <c r="N320" s="71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</row>
    <row r="321" spans="1:27" ht="18" customHeight="1">
      <c r="A321" s="61"/>
      <c r="B321" s="60"/>
      <c r="C321" s="69"/>
      <c r="D321" s="70"/>
      <c r="E321" s="72"/>
      <c r="F321" s="71"/>
      <c r="G321" s="71"/>
      <c r="H321" s="60"/>
      <c r="I321" s="60"/>
      <c r="J321" s="69"/>
      <c r="K321" s="69"/>
      <c r="L321" s="70"/>
      <c r="M321" s="72"/>
      <c r="N321" s="71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</row>
    <row r="322" spans="1:27" ht="18" customHeight="1">
      <c r="A322" s="61"/>
      <c r="B322" s="60"/>
      <c r="C322" s="69"/>
      <c r="D322" s="70"/>
      <c r="E322" s="72"/>
      <c r="F322" s="71"/>
      <c r="G322" s="71"/>
      <c r="H322" s="60"/>
      <c r="I322" s="60"/>
      <c r="J322" s="69"/>
      <c r="K322" s="69"/>
      <c r="L322" s="70"/>
      <c r="M322" s="72"/>
      <c r="N322" s="71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</row>
    <row r="323" spans="1:27" ht="18" customHeight="1">
      <c r="A323" s="61"/>
      <c r="B323" s="60"/>
      <c r="C323" s="69"/>
      <c r="D323" s="70"/>
      <c r="E323" s="72"/>
      <c r="F323" s="71"/>
      <c r="G323" s="71"/>
      <c r="H323" s="60"/>
      <c r="I323" s="60"/>
      <c r="J323" s="69"/>
      <c r="K323" s="69"/>
      <c r="L323" s="70"/>
      <c r="M323" s="72"/>
      <c r="N323" s="71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</row>
    <row r="324" spans="1:27" ht="18" customHeight="1">
      <c r="A324" s="61"/>
      <c r="B324" s="60"/>
      <c r="C324" s="69"/>
      <c r="D324" s="70"/>
      <c r="E324" s="72"/>
      <c r="F324" s="71"/>
      <c r="G324" s="71"/>
      <c r="H324" s="60"/>
      <c r="I324" s="60"/>
      <c r="J324" s="69"/>
      <c r="K324" s="69"/>
      <c r="L324" s="70"/>
      <c r="M324" s="72"/>
      <c r="N324" s="71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</row>
    <row r="325" spans="1:27" ht="18" customHeight="1">
      <c r="A325" s="61"/>
      <c r="B325" s="60"/>
      <c r="C325" s="69"/>
      <c r="D325" s="70"/>
      <c r="E325" s="72"/>
      <c r="F325" s="71"/>
      <c r="G325" s="71"/>
      <c r="H325" s="60"/>
      <c r="I325" s="60"/>
      <c r="J325" s="69"/>
      <c r="K325" s="69"/>
      <c r="L325" s="70"/>
      <c r="M325" s="72"/>
      <c r="N325" s="71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</row>
    <row r="326" spans="1:27" ht="18" customHeight="1">
      <c r="A326" s="61"/>
      <c r="B326" s="60"/>
      <c r="C326" s="69"/>
      <c r="D326" s="70"/>
      <c r="E326" s="72"/>
      <c r="F326" s="71"/>
      <c r="G326" s="71"/>
      <c r="H326" s="60"/>
      <c r="I326" s="60"/>
      <c r="J326" s="69"/>
      <c r="K326" s="69"/>
      <c r="L326" s="70"/>
      <c r="M326" s="72"/>
      <c r="N326" s="71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</row>
    <row r="327" spans="1:27" ht="18" customHeight="1">
      <c r="A327" s="61"/>
      <c r="B327" s="60"/>
      <c r="C327" s="69"/>
      <c r="D327" s="70"/>
      <c r="E327" s="72"/>
      <c r="F327" s="71"/>
      <c r="G327" s="71"/>
      <c r="H327" s="60"/>
      <c r="I327" s="60"/>
      <c r="J327" s="69"/>
      <c r="K327" s="69"/>
      <c r="L327" s="70"/>
      <c r="M327" s="72"/>
      <c r="N327" s="71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</row>
    <row r="328" spans="1:27" ht="18" customHeight="1">
      <c r="A328" s="61"/>
      <c r="B328" s="60"/>
      <c r="C328" s="69"/>
      <c r="D328" s="70"/>
      <c r="E328" s="72"/>
      <c r="F328" s="71"/>
      <c r="G328" s="71"/>
      <c r="H328" s="60"/>
      <c r="I328" s="60"/>
      <c r="J328" s="69"/>
      <c r="K328" s="69"/>
      <c r="L328" s="70"/>
      <c r="M328" s="72"/>
      <c r="N328" s="71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</row>
    <row r="329" spans="1:27" ht="18" customHeight="1">
      <c r="A329" s="61"/>
      <c r="B329" s="60"/>
      <c r="C329" s="69"/>
      <c r="D329" s="70"/>
      <c r="E329" s="72"/>
      <c r="F329" s="71"/>
      <c r="G329" s="71"/>
      <c r="H329" s="60"/>
      <c r="I329" s="60"/>
      <c r="J329" s="69"/>
      <c r="K329" s="69"/>
      <c r="L329" s="70"/>
      <c r="M329" s="72"/>
      <c r="N329" s="71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</row>
    <row r="330" spans="1:27" ht="18" customHeight="1">
      <c r="A330" s="61"/>
      <c r="B330" s="60"/>
      <c r="C330" s="69"/>
      <c r="D330" s="70"/>
      <c r="E330" s="72"/>
      <c r="F330" s="71"/>
      <c r="G330" s="71"/>
      <c r="H330" s="60"/>
      <c r="I330" s="60"/>
      <c r="J330" s="69"/>
      <c r="K330" s="69"/>
      <c r="L330" s="70"/>
      <c r="M330" s="72"/>
      <c r="N330" s="71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</row>
    <row r="331" spans="1:27" ht="18" customHeight="1">
      <c r="A331" s="61"/>
      <c r="B331" s="60"/>
      <c r="C331" s="69"/>
      <c r="D331" s="70"/>
      <c r="E331" s="72"/>
      <c r="F331" s="71"/>
      <c r="G331" s="71"/>
      <c r="H331" s="60"/>
      <c r="I331" s="60"/>
      <c r="J331" s="69"/>
      <c r="K331" s="69"/>
      <c r="L331" s="70"/>
      <c r="M331" s="72"/>
      <c r="N331" s="71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</row>
    <row r="332" spans="1:27" ht="18" customHeight="1">
      <c r="A332" s="61"/>
      <c r="B332" s="60"/>
      <c r="C332" s="69"/>
      <c r="D332" s="70"/>
      <c r="E332" s="72"/>
      <c r="F332" s="71"/>
      <c r="G332" s="71"/>
      <c r="H332" s="60"/>
      <c r="I332" s="60"/>
      <c r="J332" s="69"/>
      <c r="K332" s="69"/>
      <c r="L332" s="70"/>
      <c r="M332" s="72"/>
      <c r="N332" s="71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</row>
    <row r="333" spans="1:27" ht="18" customHeight="1">
      <c r="A333" s="61"/>
      <c r="B333" s="60"/>
      <c r="C333" s="69"/>
      <c r="D333" s="70"/>
      <c r="E333" s="72"/>
      <c r="F333" s="71"/>
      <c r="G333" s="71"/>
      <c r="H333" s="60"/>
      <c r="I333" s="60"/>
      <c r="J333" s="69"/>
      <c r="K333" s="69"/>
      <c r="L333" s="70"/>
      <c r="M333" s="72"/>
      <c r="N333" s="71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</row>
    <row r="334" spans="1:27" ht="18" customHeight="1">
      <c r="A334" s="61"/>
      <c r="B334" s="60"/>
      <c r="C334" s="69"/>
      <c r="D334" s="70"/>
      <c r="E334" s="72"/>
      <c r="F334" s="71"/>
      <c r="G334" s="71"/>
      <c r="H334" s="60"/>
      <c r="I334" s="60"/>
      <c r="J334" s="69"/>
      <c r="K334" s="69"/>
      <c r="L334" s="70"/>
      <c r="M334" s="72"/>
      <c r="N334" s="71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</row>
    <row r="335" spans="1:27" ht="18" customHeight="1">
      <c r="A335" s="61"/>
      <c r="B335" s="60"/>
      <c r="C335" s="69"/>
      <c r="D335" s="70"/>
      <c r="E335" s="72"/>
      <c r="F335" s="71"/>
      <c r="G335" s="71"/>
      <c r="H335" s="60"/>
      <c r="I335" s="60"/>
      <c r="J335" s="69"/>
      <c r="K335" s="69"/>
      <c r="L335" s="70"/>
      <c r="M335" s="72"/>
      <c r="N335" s="71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</row>
    <row r="336" spans="1:27" ht="18" customHeight="1">
      <c r="A336" s="61"/>
      <c r="B336" s="60"/>
      <c r="C336" s="69"/>
      <c r="D336" s="70"/>
      <c r="E336" s="72"/>
      <c r="F336" s="71"/>
      <c r="G336" s="71"/>
      <c r="H336" s="60"/>
      <c r="I336" s="60"/>
      <c r="J336" s="69"/>
      <c r="K336" s="69"/>
      <c r="L336" s="70"/>
      <c r="M336" s="72"/>
      <c r="N336" s="71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</row>
    <row r="337" spans="1:27" ht="18" customHeight="1">
      <c r="A337" s="61"/>
      <c r="B337" s="60"/>
      <c r="C337" s="69"/>
      <c r="D337" s="70"/>
      <c r="E337" s="72"/>
      <c r="F337" s="71"/>
      <c r="G337" s="71"/>
      <c r="H337" s="60"/>
      <c r="I337" s="60"/>
      <c r="J337" s="69"/>
      <c r="K337" s="69"/>
      <c r="L337" s="70"/>
      <c r="M337" s="72"/>
      <c r="N337" s="71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</row>
    <row r="338" spans="1:27" ht="18" customHeight="1">
      <c r="A338" s="61"/>
      <c r="B338" s="60"/>
      <c r="C338" s="69"/>
      <c r="D338" s="70"/>
      <c r="E338" s="72"/>
      <c r="F338" s="71"/>
      <c r="G338" s="71"/>
      <c r="H338" s="60"/>
      <c r="I338" s="60"/>
      <c r="J338" s="69"/>
      <c r="K338" s="69"/>
      <c r="L338" s="70"/>
      <c r="M338" s="72"/>
      <c r="N338" s="71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</row>
    <row r="339" spans="1:27" ht="18" customHeight="1">
      <c r="A339" s="61"/>
      <c r="B339" s="60"/>
      <c r="C339" s="69"/>
      <c r="D339" s="70"/>
      <c r="E339" s="72"/>
      <c r="F339" s="71"/>
      <c r="G339" s="71"/>
      <c r="H339" s="60"/>
      <c r="I339" s="60"/>
      <c r="J339" s="69"/>
      <c r="K339" s="69"/>
      <c r="L339" s="70"/>
      <c r="M339" s="72"/>
      <c r="N339" s="71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</row>
    <row r="340" spans="1:27" ht="18" customHeight="1">
      <c r="A340" s="61"/>
      <c r="B340" s="60"/>
      <c r="C340" s="69"/>
      <c r="D340" s="70"/>
      <c r="E340" s="72"/>
      <c r="F340" s="71"/>
      <c r="G340" s="71"/>
      <c r="H340" s="60"/>
      <c r="I340" s="60"/>
      <c r="J340" s="69"/>
      <c r="K340" s="69"/>
      <c r="L340" s="70"/>
      <c r="M340" s="72"/>
      <c r="N340" s="71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</row>
    <row r="341" spans="1:27" ht="18" customHeight="1">
      <c r="A341" s="61"/>
      <c r="B341" s="60"/>
      <c r="C341" s="69"/>
      <c r="D341" s="70"/>
      <c r="E341" s="72"/>
      <c r="F341" s="71"/>
      <c r="G341" s="71"/>
      <c r="H341" s="60"/>
      <c r="I341" s="60"/>
      <c r="J341" s="69"/>
      <c r="K341" s="69"/>
      <c r="L341" s="70"/>
      <c r="M341" s="72"/>
      <c r="N341" s="71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</row>
    <row r="342" spans="1:27" ht="18" customHeight="1">
      <c r="A342" s="61"/>
      <c r="B342" s="60"/>
      <c r="C342" s="69"/>
      <c r="D342" s="70"/>
      <c r="E342" s="72"/>
      <c r="F342" s="71"/>
      <c r="G342" s="71"/>
      <c r="H342" s="60"/>
      <c r="I342" s="60"/>
      <c r="J342" s="69"/>
      <c r="K342" s="69"/>
      <c r="L342" s="70"/>
      <c r="M342" s="72"/>
      <c r="N342" s="71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</row>
    <row r="343" spans="1:27" ht="18" customHeight="1">
      <c r="A343" s="61"/>
      <c r="B343" s="60"/>
      <c r="C343" s="69"/>
      <c r="D343" s="70"/>
      <c r="E343" s="72"/>
      <c r="F343" s="71"/>
      <c r="G343" s="71"/>
      <c r="H343" s="60"/>
      <c r="I343" s="60"/>
      <c r="J343" s="69"/>
      <c r="K343" s="69"/>
      <c r="L343" s="70"/>
      <c r="M343" s="72"/>
      <c r="N343" s="71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</row>
    <row r="344" spans="1:27" ht="18" customHeight="1">
      <c r="A344" s="61"/>
      <c r="B344" s="60"/>
      <c r="C344" s="69"/>
      <c r="D344" s="70"/>
      <c r="E344" s="72"/>
      <c r="F344" s="71"/>
      <c r="G344" s="71"/>
      <c r="H344" s="60"/>
      <c r="I344" s="60"/>
      <c r="J344" s="69"/>
      <c r="K344" s="69"/>
      <c r="L344" s="70"/>
      <c r="M344" s="72"/>
      <c r="N344" s="71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</row>
    <row r="345" spans="1:27" ht="18" customHeight="1">
      <c r="A345" s="61"/>
      <c r="B345" s="60"/>
      <c r="C345" s="69"/>
      <c r="D345" s="70"/>
      <c r="E345" s="72"/>
      <c r="F345" s="71"/>
      <c r="G345" s="71"/>
      <c r="H345" s="60"/>
      <c r="I345" s="60"/>
      <c r="J345" s="69"/>
      <c r="K345" s="69"/>
      <c r="L345" s="70"/>
      <c r="M345" s="72"/>
      <c r="N345" s="71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</row>
    <row r="346" spans="1:27" ht="18" customHeight="1">
      <c r="A346" s="61"/>
      <c r="B346" s="60"/>
      <c r="C346" s="69"/>
      <c r="D346" s="70"/>
      <c r="E346" s="72"/>
      <c r="F346" s="71"/>
      <c r="G346" s="71"/>
      <c r="H346" s="60"/>
      <c r="I346" s="60"/>
      <c r="J346" s="69"/>
      <c r="K346" s="69"/>
      <c r="L346" s="70"/>
      <c r="M346" s="72"/>
      <c r="N346" s="71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</row>
    <row r="347" spans="1:27" ht="18" customHeight="1">
      <c r="A347" s="61"/>
      <c r="B347" s="60"/>
      <c r="C347" s="69"/>
      <c r="D347" s="70"/>
      <c r="E347" s="72"/>
      <c r="F347" s="71"/>
      <c r="G347" s="71"/>
      <c r="H347" s="60"/>
      <c r="I347" s="60"/>
      <c r="J347" s="69"/>
      <c r="K347" s="69"/>
      <c r="L347" s="70"/>
      <c r="M347" s="72"/>
      <c r="N347" s="71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</row>
    <row r="348" spans="1:27" ht="18" customHeight="1">
      <c r="A348" s="61"/>
      <c r="B348" s="60"/>
      <c r="C348" s="69"/>
      <c r="D348" s="70"/>
      <c r="E348" s="72"/>
      <c r="F348" s="71"/>
      <c r="G348" s="71"/>
      <c r="H348" s="60"/>
      <c r="I348" s="60"/>
      <c r="J348" s="69"/>
      <c r="K348" s="69"/>
      <c r="L348" s="70"/>
      <c r="M348" s="72"/>
      <c r="N348" s="71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</row>
    <row r="349" spans="1:27" ht="18" customHeight="1">
      <c r="A349" s="61"/>
      <c r="B349" s="60"/>
      <c r="C349" s="69"/>
      <c r="D349" s="70"/>
      <c r="E349" s="72"/>
      <c r="F349" s="71"/>
      <c r="G349" s="71"/>
      <c r="H349" s="60"/>
      <c r="I349" s="60"/>
      <c r="J349" s="69"/>
      <c r="K349" s="69"/>
      <c r="L349" s="70"/>
      <c r="M349" s="72"/>
      <c r="N349" s="71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</row>
    <row r="350" spans="1:27" ht="18" customHeight="1">
      <c r="A350" s="61"/>
      <c r="B350" s="60"/>
      <c r="C350" s="69"/>
      <c r="D350" s="70"/>
      <c r="E350" s="72"/>
      <c r="F350" s="71"/>
      <c r="G350" s="71"/>
      <c r="H350" s="60"/>
      <c r="I350" s="60"/>
      <c r="J350" s="69"/>
      <c r="K350" s="69"/>
      <c r="L350" s="70"/>
      <c r="M350" s="72"/>
      <c r="N350" s="71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</row>
    <row r="351" spans="1:27" ht="18" customHeight="1">
      <c r="A351" s="61"/>
      <c r="B351" s="60"/>
      <c r="C351" s="69"/>
      <c r="D351" s="70"/>
      <c r="E351" s="72"/>
      <c r="F351" s="71"/>
      <c r="G351" s="71"/>
      <c r="H351" s="60"/>
      <c r="I351" s="60"/>
      <c r="J351" s="69"/>
      <c r="K351" s="69"/>
      <c r="L351" s="70"/>
      <c r="M351" s="72"/>
      <c r="N351" s="71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</row>
    <row r="352" spans="1:27" ht="18" customHeight="1">
      <c r="A352" s="61"/>
      <c r="B352" s="60"/>
      <c r="C352" s="69"/>
      <c r="D352" s="70"/>
      <c r="E352" s="72"/>
      <c r="F352" s="71"/>
      <c r="G352" s="71"/>
      <c r="H352" s="60"/>
      <c r="I352" s="60"/>
      <c r="J352" s="69"/>
      <c r="K352" s="69"/>
      <c r="L352" s="70"/>
      <c r="M352" s="72"/>
      <c r="N352" s="71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</row>
    <row r="353" spans="1:27" ht="18" customHeight="1">
      <c r="A353" s="61"/>
      <c r="B353" s="60"/>
      <c r="C353" s="69"/>
      <c r="D353" s="70"/>
      <c r="E353" s="72"/>
      <c r="F353" s="71"/>
      <c r="G353" s="71"/>
      <c r="H353" s="60"/>
      <c r="I353" s="60"/>
      <c r="J353" s="69"/>
      <c r="K353" s="69"/>
      <c r="L353" s="70"/>
      <c r="M353" s="72"/>
      <c r="N353" s="71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</row>
    <row r="354" spans="1:27" ht="18" customHeight="1">
      <c r="A354" s="61"/>
      <c r="B354" s="60"/>
      <c r="C354" s="69"/>
      <c r="D354" s="70"/>
      <c r="E354" s="72"/>
      <c r="F354" s="71"/>
      <c r="G354" s="71"/>
      <c r="H354" s="60"/>
      <c r="I354" s="60"/>
      <c r="J354" s="69"/>
      <c r="K354" s="69"/>
      <c r="L354" s="70"/>
      <c r="M354" s="72"/>
      <c r="N354" s="71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</row>
    <row r="355" spans="1:27" ht="18" customHeight="1">
      <c r="A355" s="61"/>
      <c r="B355" s="60"/>
      <c r="C355" s="69"/>
      <c r="D355" s="70"/>
      <c r="E355" s="72"/>
      <c r="F355" s="71"/>
      <c r="G355" s="71"/>
      <c r="H355" s="60"/>
      <c r="I355" s="60"/>
      <c r="J355" s="69"/>
      <c r="K355" s="69"/>
      <c r="L355" s="70"/>
      <c r="M355" s="72"/>
      <c r="N355" s="71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</row>
    <row r="356" spans="1:27" ht="18" customHeight="1">
      <c r="A356" s="61"/>
      <c r="B356" s="60"/>
      <c r="C356" s="69"/>
      <c r="D356" s="70"/>
      <c r="E356" s="72"/>
      <c r="F356" s="71"/>
      <c r="G356" s="71"/>
      <c r="H356" s="60"/>
      <c r="I356" s="60"/>
      <c r="J356" s="69"/>
      <c r="K356" s="69"/>
      <c r="L356" s="70"/>
      <c r="M356" s="72"/>
      <c r="N356" s="71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</row>
    <row r="357" spans="1:27" ht="18" customHeight="1">
      <c r="A357" s="61"/>
      <c r="B357" s="60"/>
      <c r="C357" s="69"/>
      <c r="D357" s="70"/>
      <c r="E357" s="72"/>
      <c r="F357" s="71"/>
      <c r="G357" s="71"/>
      <c r="H357" s="60"/>
      <c r="I357" s="60"/>
      <c r="J357" s="69"/>
      <c r="K357" s="69"/>
      <c r="L357" s="70"/>
      <c r="M357" s="72"/>
      <c r="N357" s="71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</row>
    <row r="358" spans="1:27" ht="18" customHeight="1">
      <c r="A358" s="61"/>
      <c r="B358" s="60"/>
      <c r="C358" s="69"/>
      <c r="D358" s="70"/>
      <c r="E358" s="72"/>
      <c r="F358" s="71"/>
      <c r="G358" s="71"/>
      <c r="H358" s="60"/>
      <c r="I358" s="60"/>
      <c r="J358" s="69"/>
      <c r="K358" s="69"/>
      <c r="L358" s="70"/>
      <c r="M358" s="72"/>
      <c r="N358" s="71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</row>
    <row r="359" spans="1:27" ht="18" customHeight="1">
      <c r="A359" s="61"/>
      <c r="B359" s="60"/>
      <c r="C359" s="69"/>
      <c r="D359" s="70"/>
      <c r="E359" s="72"/>
      <c r="F359" s="71"/>
      <c r="G359" s="71"/>
      <c r="H359" s="60"/>
      <c r="I359" s="60"/>
      <c r="J359" s="69"/>
      <c r="K359" s="69"/>
      <c r="L359" s="70"/>
      <c r="M359" s="72"/>
      <c r="N359" s="71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</row>
    <row r="360" spans="1:27" ht="18" customHeight="1">
      <c r="A360" s="61"/>
      <c r="B360" s="60"/>
      <c r="C360" s="69"/>
      <c r="D360" s="70"/>
      <c r="E360" s="72"/>
      <c r="F360" s="71"/>
      <c r="G360" s="71"/>
      <c r="H360" s="60"/>
      <c r="I360" s="60"/>
      <c r="J360" s="69"/>
      <c r="K360" s="69"/>
      <c r="L360" s="70"/>
      <c r="M360" s="72"/>
      <c r="N360" s="71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</row>
    <row r="361" spans="1:27" ht="18" customHeight="1">
      <c r="A361" s="61"/>
      <c r="B361" s="60"/>
      <c r="C361" s="69"/>
      <c r="D361" s="70"/>
      <c r="E361" s="72"/>
      <c r="F361" s="71"/>
      <c r="G361" s="71"/>
      <c r="H361" s="60"/>
      <c r="I361" s="60"/>
      <c r="J361" s="69"/>
      <c r="K361" s="69"/>
      <c r="L361" s="70"/>
      <c r="M361" s="72"/>
      <c r="N361" s="71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</row>
    <row r="362" spans="1:27" ht="18" customHeight="1">
      <c r="A362" s="61"/>
      <c r="B362" s="60"/>
      <c r="C362" s="69"/>
      <c r="D362" s="70"/>
      <c r="E362" s="72"/>
      <c r="F362" s="71"/>
      <c r="G362" s="71"/>
      <c r="H362" s="60"/>
      <c r="I362" s="60"/>
      <c r="J362" s="69"/>
      <c r="K362" s="69"/>
      <c r="L362" s="70"/>
      <c r="M362" s="72"/>
      <c r="N362" s="71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</row>
    <row r="363" spans="1:27" ht="18" customHeight="1">
      <c r="A363" s="61"/>
      <c r="B363" s="60"/>
      <c r="C363" s="69"/>
      <c r="D363" s="70"/>
      <c r="E363" s="72"/>
      <c r="F363" s="71"/>
      <c r="G363" s="71"/>
      <c r="H363" s="60"/>
      <c r="I363" s="60"/>
      <c r="J363" s="69"/>
      <c r="K363" s="69"/>
      <c r="L363" s="70"/>
      <c r="M363" s="72"/>
      <c r="N363" s="71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</row>
    <row r="364" spans="1:27" ht="18" customHeight="1">
      <c r="A364" s="61"/>
      <c r="B364" s="60"/>
      <c r="C364" s="69"/>
      <c r="D364" s="70"/>
      <c r="E364" s="72"/>
      <c r="F364" s="71"/>
      <c r="G364" s="71"/>
      <c r="H364" s="60"/>
      <c r="I364" s="60"/>
      <c r="J364" s="69"/>
      <c r="K364" s="69"/>
      <c r="L364" s="70"/>
      <c r="M364" s="72"/>
      <c r="N364" s="71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</row>
    <row r="365" spans="1:27" ht="18" customHeight="1">
      <c r="A365" s="61"/>
      <c r="B365" s="60"/>
      <c r="C365" s="69"/>
      <c r="D365" s="70"/>
      <c r="E365" s="72"/>
      <c r="F365" s="71"/>
      <c r="G365" s="71"/>
      <c r="H365" s="60"/>
      <c r="I365" s="60"/>
      <c r="J365" s="69"/>
      <c r="K365" s="69"/>
      <c r="L365" s="70"/>
      <c r="M365" s="72"/>
      <c r="N365" s="71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</row>
    <row r="366" spans="1:27" ht="18" customHeight="1">
      <c r="A366" s="61"/>
      <c r="B366" s="60"/>
      <c r="C366" s="69"/>
      <c r="D366" s="70"/>
      <c r="E366" s="72"/>
      <c r="F366" s="71"/>
      <c r="G366" s="71"/>
      <c r="H366" s="60"/>
      <c r="I366" s="60"/>
      <c r="J366" s="69"/>
      <c r="K366" s="69"/>
      <c r="L366" s="70"/>
      <c r="M366" s="72"/>
      <c r="N366" s="71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</row>
    <row r="367" spans="1:27" ht="18" customHeight="1">
      <c r="A367" s="61"/>
      <c r="B367" s="60"/>
      <c r="C367" s="69"/>
      <c r="D367" s="70"/>
      <c r="E367" s="72"/>
      <c r="F367" s="71"/>
      <c r="G367" s="71"/>
      <c r="H367" s="60"/>
      <c r="I367" s="60"/>
      <c r="J367" s="69"/>
      <c r="K367" s="69"/>
      <c r="L367" s="70"/>
      <c r="M367" s="72"/>
      <c r="N367" s="71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</row>
    <row r="368" spans="1:27" ht="18" customHeight="1">
      <c r="A368" s="61"/>
      <c r="B368" s="60"/>
      <c r="C368" s="69"/>
      <c r="D368" s="70"/>
      <c r="E368" s="72"/>
      <c r="F368" s="71"/>
      <c r="G368" s="71"/>
      <c r="H368" s="60"/>
      <c r="I368" s="60"/>
      <c r="J368" s="69"/>
      <c r="K368" s="69"/>
      <c r="L368" s="70"/>
      <c r="M368" s="72"/>
      <c r="N368" s="71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</row>
    <row r="369" spans="1:27" ht="18" customHeight="1">
      <c r="A369" s="61"/>
      <c r="B369" s="60"/>
      <c r="C369" s="69"/>
      <c r="D369" s="70"/>
      <c r="E369" s="72"/>
      <c r="F369" s="71"/>
      <c r="G369" s="71"/>
      <c r="H369" s="60"/>
      <c r="I369" s="60"/>
      <c r="J369" s="69"/>
      <c r="K369" s="69"/>
      <c r="L369" s="70"/>
      <c r="M369" s="72"/>
      <c r="N369" s="71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</row>
    <row r="370" spans="1:27" ht="18" customHeight="1">
      <c r="A370" s="61"/>
      <c r="B370" s="60"/>
      <c r="C370" s="69"/>
      <c r="D370" s="70"/>
      <c r="E370" s="72"/>
      <c r="F370" s="71"/>
      <c r="G370" s="71"/>
      <c r="H370" s="60"/>
      <c r="I370" s="60"/>
      <c r="J370" s="69"/>
      <c r="K370" s="69"/>
      <c r="L370" s="70"/>
      <c r="M370" s="72"/>
      <c r="N370" s="71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</row>
    <row r="371" spans="1:27" ht="18" customHeight="1">
      <c r="A371" s="61"/>
      <c r="B371" s="60"/>
      <c r="C371" s="69"/>
      <c r="D371" s="70"/>
      <c r="E371" s="72"/>
      <c r="F371" s="71"/>
      <c r="G371" s="71"/>
      <c r="H371" s="60"/>
      <c r="I371" s="60"/>
      <c r="J371" s="69"/>
      <c r="K371" s="69"/>
      <c r="L371" s="70"/>
      <c r="M371" s="72"/>
      <c r="N371" s="71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</row>
    <row r="372" spans="1:27" ht="18" customHeight="1">
      <c r="A372" s="61"/>
      <c r="B372" s="60"/>
      <c r="C372" s="69"/>
      <c r="D372" s="70"/>
      <c r="E372" s="72"/>
      <c r="F372" s="71"/>
      <c r="G372" s="71"/>
      <c r="H372" s="60"/>
      <c r="I372" s="60"/>
      <c r="J372" s="69"/>
      <c r="K372" s="69"/>
      <c r="L372" s="70"/>
      <c r="M372" s="72"/>
      <c r="N372" s="71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</row>
    <row r="373" spans="1:27" ht="18" customHeight="1">
      <c r="A373" s="61"/>
      <c r="B373" s="60"/>
      <c r="C373" s="69"/>
      <c r="D373" s="70"/>
      <c r="E373" s="72"/>
      <c r="F373" s="71"/>
      <c r="G373" s="71"/>
      <c r="H373" s="60"/>
      <c r="I373" s="60"/>
      <c r="J373" s="69"/>
      <c r="K373" s="69"/>
      <c r="L373" s="70"/>
      <c r="M373" s="72"/>
      <c r="N373" s="71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</row>
    <row r="374" spans="1:27" ht="18" customHeight="1">
      <c r="A374" s="61"/>
      <c r="B374" s="60"/>
      <c r="C374" s="69"/>
      <c r="D374" s="70"/>
      <c r="E374" s="72"/>
      <c r="F374" s="71"/>
      <c r="G374" s="71"/>
      <c r="H374" s="60"/>
      <c r="I374" s="60"/>
      <c r="J374" s="69"/>
      <c r="K374" s="69"/>
      <c r="L374" s="70"/>
      <c r="M374" s="72"/>
      <c r="N374" s="71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</row>
    <row r="375" spans="1:27" ht="18" customHeight="1">
      <c r="A375" s="61"/>
      <c r="B375" s="60"/>
      <c r="C375" s="69"/>
      <c r="D375" s="70"/>
      <c r="E375" s="72"/>
      <c r="F375" s="71"/>
      <c r="G375" s="71"/>
      <c r="H375" s="60"/>
      <c r="I375" s="60"/>
      <c r="J375" s="69"/>
      <c r="K375" s="69"/>
      <c r="L375" s="70"/>
      <c r="M375" s="72"/>
      <c r="N375" s="71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</row>
    <row r="376" spans="1:27" ht="18" customHeight="1">
      <c r="A376" s="61"/>
      <c r="B376" s="60"/>
      <c r="C376" s="69"/>
      <c r="D376" s="70"/>
      <c r="E376" s="72"/>
      <c r="F376" s="71"/>
      <c r="G376" s="71"/>
      <c r="H376" s="60"/>
      <c r="I376" s="60"/>
      <c r="J376" s="69"/>
      <c r="K376" s="69"/>
      <c r="L376" s="70"/>
      <c r="M376" s="72"/>
      <c r="N376" s="71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</row>
    <row r="377" spans="1:27" ht="18" customHeight="1">
      <c r="A377" s="61"/>
      <c r="B377" s="60"/>
      <c r="C377" s="69"/>
      <c r="D377" s="70"/>
      <c r="E377" s="72"/>
      <c r="F377" s="71"/>
      <c r="G377" s="71"/>
      <c r="H377" s="60"/>
      <c r="I377" s="60"/>
      <c r="J377" s="69"/>
      <c r="K377" s="69"/>
      <c r="L377" s="70"/>
      <c r="M377" s="72"/>
      <c r="N377" s="71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</row>
    <row r="378" spans="1:27" ht="18" customHeight="1">
      <c r="A378" s="61"/>
      <c r="B378" s="60"/>
      <c r="C378" s="69"/>
      <c r="D378" s="70"/>
      <c r="E378" s="72"/>
      <c r="F378" s="71"/>
      <c r="G378" s="71"/>
      <c r="H378" s="60"/>
      <c r="I378" s="60"/>
      <c r="J378" s="69"/>
      <c r="K378" s="69"/>
      <c r="L378" s="70"/>
      <c r="M378" s="72"/>
      <c r="N378" s="71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</row>
    <row r="379" spans="1:27" ht="18" customHeight="1">
      <c r="A379" s="61"/>
      <c r="B379" s="60"/>
      <c r="C379" s="69"/>
      <c r="D379" s="70"/>
      <c r="E379" s="72"/>
      <c r="F379" s="71"/>
      <c r="G379" s="71"/>
      <c r="H379" s="60"/>
      <c r="I379" s="60"/>
      <c r="J379" s="69"/>
      <c r="K379" s="69"/>
      <c r="L379" s="70"/>
      <c r="M379" s="72"/>
      <c r="N379" s="71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</row>
    <row r="380" spans="1:27" ht="18" customHeight="1">
      <c r="A380" s="61"/>
      <c r="B380" s="60"/>
      <c r="C380" s="69"/>
      <c r="D380" s="70"/>
      <c r="E380" s="72"/>
      <c r="F380" s="71"/>
      <c r="G380" s="71"/>
      <c r="H380" s="60"/>
      <c r="I380" s="60"/>
      <c r="J380" s="69"/>
      <c r="K380" s="69"/>
      <c r="L380" s="70"/>
      <c r="M380" s="72"/>
      <c r="N380" s="71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</row>
    <row r="381" spans="1:27" ht="18" customHeight="1">
      <c r="A381" s="61"/>
      <c r="B381" s="60"/>
      <c r="C381" s="69"/>
      <c r="D381" s="70"/>
      <c r="E381" s="72"/>
      <c r="F381" s="71"/>
      <c r="G381" s="71"/>
      <c r="H381" s="60"/>
      <c r="I381" s="60"/>
      <c r="J381" s="69"/>
      <c r="K381" s="69"/>
      <c r="L381" s="70"/>
      <c r="M381" s="72"/>
      <c r="N381" s="71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</row>
    <row r="382" spans="1:27" ht="18" customHeight="1">
      <c r="A382" s="61"/>
      <c r="B382" s="60"/>
      <c r="C382" s="69"/>
      <c r="D382" s="70"/>
      <c r="E382" s="72"/>
      <c r="F382" s="71"/>
      <c r="G382" s="71"/>
      <c r="H382" s="60"/>
      <c r="I382" s="60"/>
      <c r="J382" s="69"/>
      <c r="K382" s="69"/>
      <c r="L382" s="70"/>
      <c r="M382" s="72"/>
      <c r="N382" s="71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</row>
    <row r="383" spans="1:27" ht="18" customHeight="1">
      <c r="A383" s="61"/>
      <c r="B383" s="60"/>
      <c r="C383" s="69"/>
      <c r="D383" s="70"/>
      <c r="E383" s="72"/>
      <c r="F383" s="71"/>
      <c r="G383" s="71"/>
      <c r="H383" s="60"/>
      <c r="I383" s="60"/>
      <c r="J383" s="69"/>
      <c r="K383" s="69"/>
      <c r="L383" s="70"/>
      <c r="M383" s="72"/>
      <c r="N383" s="71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</row>
    <row r="384" spans="1:27" ht="18" customHeight="1">
      <c r="A384" s="61"/>
      <c r="B384" s="60"/>
      <c r="C384" s="69"/>
      <c r="D384" s="70"/>
      <c r="E384" s="72"/>
      <c r="F384" s="71"/>
      <c r="G384" s="71"/>
      <c r="H384" s="60"/>
      <c r="I384" s="60"/>
      <c r="J384" s="69"/>
      <c r="K384" s="69"/>
      <c r="L384" s="70"/>
      <c r="M384" s="72"/>
      <c r="N384" s="71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</row>
    <row r="385" spans="1:27" ht="18" customHeight="1">
      <c r="A385" s="61"/>
      <c r="B385" s="60"/>
      <c r="C385" s="69"/>
      <c r="D385" s="70"/>
      <c r="E385" s="72"/>
      <c r="F385" s="71"/>
      <c r="G385" s="71"/>
      <c r="H385" s="60"/>
      <c r="I385" s="60"/>
      <c r="J385" s="69"/>
      <c r="K385" s="69"/>
      <c r="L385" s="70"/>
      <c r="M385" s="72"/>
      <c r="N385" s="71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</row>
    <row r="386" spans="1:27" ht="18" customHeight="1">
      <c r="A386" s="61"/>
      <c r="B386" s="60"/>
      <c r="C386" s="69"/>
      <c r="D386" s="70"/>
      <c r="E386" s="72"/>
      <c r="F386" s="71"/>
      <c r="G386" s="71"/>
      <c r="H386" s="60"/>
      <c r="I386" s="60"/>
      <c r="J386" s="69"/>
      <c r="K386" s="69"/>
      <c r="L386" s="70"/>
      <c r="M386" s="72"/>
      <c r="N386" s="71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</row>
    <row r="387" spans="1:27" ht="18" customHeight="1">
      <c r="A387" s="61"/>
      <c r="B387" s="60"/>
      <c r="C387" s="69"/>
      <c r="D387" s="70"/>
      <c r="E387" s="72"/>
      <c r="F387" s="71"/>
      <c r="G387" s="71"/>
      <c r="H387" s="60"/>
      <c r="I387" s="60"/>
      <c r="J387" s="69"/>
      <c r="K387" s="69"/>
      <c r="L387" s="70"/>
      <c r="M387" s="72"/>
      <c r="N387" s="71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</row>
    <row r="388" spans="1:27" ht="18" customHeight="1">
      <c r="A388" s="61"/>
      <c r="B388" s="60"/>
      <c r="C388" s="69"/>
      <c r="D388" s="70"/>
      <c r="E388" s="72"/>
      <c r="F388" s="71"/>
      <c r="G388" s="71"/>
      <c r="H388" s="60"/>
      <c r="I388" s="60"/>
      <c r="J388" s="69"/>
      <c r="K388" s="69"/>
      <c r="L388" s="70"/>
      <c r="M388" s="72"/>
      <c r="N388" s="71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</row>
    <row r="389" spans="1:27" ht="18" customHeight="1">
      <c r="A389" s="61"/>
      <c r="B389" s="60"/>
      <c r="C389" s="69"/>
      <c r="D389" s="70"/>
      <c r="E389" s="72"/>
      <c r="F389" s="71"/>
      <c r="G389" s="71"/>
      <c r="H389" s="60"/>
      <c r="I389" s="60"/>
      <c r="J389" s="69"/>
      <c r="K389" s="69"/>
      <c r="L389" s="70"/>
      <c r="M389" s="72"/>
      <c r="N389" s="71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</row>
    <row r="390" spans="1:27" ht="18" customHeight="1">
      <c r="A390" s="61"/>
      <c r="B390" s="60"/>
      <c r="C390" s="69"/>
      <c r="D390" s="70"/>
      <c r="E390" s="72"/>
      <c r="F390" s="71"/>
      <c r="G390" s="71"/>
      <c r="H390" s="60"/>
      <c r="I390" s="60"/>
      <c r="J390" s="69"/>
      <c r="K390" s="69"/>
      <c r="L390" s="70"/>
      <c r="M390" s="72"/>
      <c r="N390" s="71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</row>
    <row r="391" spans="1:27" ht="18" customHeight="1">
      <c r="A391" s="61"/>
      <c r="B391" s="60"/>
      <c r="C391" s="69"/>
      <c r="D391" s="70"/>
      <c r="E391" s="72"/>
      <c r="F391" s="71"/>
      <c r="G391" s="71"/>
      <c r="H391" s="60"/>
      <c r="I391" s="60"/>
      <c r="J391" s="69"/>
      <c r="K391" s="69"/>
      <c r="L391" s="70"/>
      <c r="M391" s="72"/>
      <c r="N391" s="71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</row>
    <row r="392" spans="1:27" ht="18" customHeight="1">
      <c r="A392" s="61"/>
      <c r="B392" s="60"/>
      <c r="C392" s="69"/>
      <c r="D392" s="70"/>
      <c r="E392" s="72"/>
      <c r="F392" s="71"/>
      <c r="G392" s="71"/>
      <c r="H392" s="60"/>
      <c r="I392" s="60"/>
      <c r="J392" s="69"/>
      <c r="K392" s="69"/>
      <c r="L392" s="70"/>
      <c r="M392" s="72"/>
      <c r="N392" s="71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</row>
    <row r="393" spans="1:27" ht="18" customHeight="1">
      <c r="A393" s="61"/>
      <c r="B393" s="60"/>
      <c r="C393" s="69"/>
      <c r="D393" s="70"/>
      <c r="E393" s="72"/>
      <c r="F393" s="71"/>
      <c r="G393" s="71"/>
      <c r="H393" s="60"/>
      <c r="I393" s="60"/>
      <c r="J393" s="69"/>
      <c r="K393" s="69"/>
      <c r="L393" s="70"/>
      <c r="M393" s="72"/>
      <c r="N393" s="71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</row>
    <row r="394" spans="1:27" ht="18" customHeight="1">
      <c r="A394" s="61"/>
      <c r="B394" s="60"/>
      <c r="C394" s="69"/>
      <c r="D394" s="70"/>
      <c r="E394" s="72"/>
      <c r="F394" s="71"/>
      <c r="G394" s="71"/>
      <c r="H394" s="60"/>
      <c r="I394" s="60"/>
      <c r="J394" s="69"/>
      <c r="K394" s="69"/>
      <c r="L394" s="70"/>
      <c r="M394" s="72"/>
      <c r="N394" s="71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</row>
    <row r="395" spans="1:27" ht="18" customHeight="1">
      <c r="A395" s="61"/>
      <c r="B395" s="60"/>
      <c r="C395" s="69"/>
      <c r="D395" s="70"/>
      <c r="E395" s="72"/>
      <c r="F395" s="71"/>
      <c r="G395" s="71"/>
      <c r="H395" s="60"/>
      <c r="I395" s="60"/>
      <c r="J395" s="69"/>
      <c r="K395" s="69"/>
      <c r="L395" s="70"/>
      <c r="M395" s="72"/>
      <c r="N395" s="71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</row>
    <row r="396" spans="1:27" ht="18" customHeight="1">
      <c r="A396" s="61"/>
      <c r="B396" s="60"/>
      <c r="C396" s="69"/>
      <c r="D396" s="70"/>
      <c r="E396" s="72"/>
      <c r="F396" s="71"/>
      <c r="G396" s="71"/>
      <c r="H396" s="60"/>
      <c r="I396" s="60"/>
      <c r="J396" s="69"/>
      <c r="K396" s="69"/>
      <c r="L396" s="70"/>
      <c r="M396" s="72"/>
      <c r="N396" s="71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</row>
    <row r="397" spans="1:27" ht="18" customHeight="1">
      <c r="A397" s="61"/>
      <c r="B397" s="60"/>
      <c r="C397" s="69"/>
      <c r="D397" s="70"/>
      <c r="E397" s="72"/>
      <c r="F397" s="71"/>
      <c r="G397" s="71"/>
      <c r="H397" s="60"/>
      <c r="I397" s="60"/>
      <c r="J397" s="69"/>
      <c r="K397" s="69"/>
      <c r="L397" s="70"/>
      <c r="M397" s="72"/>
      <c r="N397" s="71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</row>
    <row r="398" spans="1:27" ht="18" customHeight="1">
      <c r="A398" s="61"/>
      <c r="B398" s="60"/>
      <c r="C398" s="69"/>
      <c r="D398" s="70"/>
      <c r="E398" s="72"/>
      <c r="F398" s="71"/>
      <c r="G398" s="71"/>
      <c r="H398" s="60"/>
      <c r="I398" s="60"/>
      <c r="J398" s="69"/>
      <c r="K398" s="69"/>
      <c r="L398" s="70"/>
      <c r="M398" s="72"/>
      <c r="N398" s="71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</row>
    <row r="399" spans="1:27" ht="18" customHeight="1">
      <c r="A399" s="61"/>
      <c r="B399" s="60"/>
      <c r="C399" s="69"/>
      <c r="D399" s="70"/>
      <c r="E399" s="72"/>
      <c r="F399" s="71"/>
      <c r="G399" s="71"/>
      <c r="H399" s="60"/>
      <c r="I399" s="60"/>
      <c r="J399" s="69"/>
      <c r="K399" s="69"/>
      <c r="L399" s="70"/>
      <c r="M399" s="72"/>
      <c r="N399" s="71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</row>
    <row r="400" spans="1:27" ht="18" customHeight="1">
      <c r="A400" s="61"/>
      <c r="B400" s="60"/>
      <c r="C400" s="69"/>
      <c r="D400" s="70"/>
      <c r="E400" s="72"/>
      <c r="F400" s="71"/>
      <c r="G400" s="71"/>
      <c r="H400" s="60"/>
      <c r="I400" s="60"/>
      <c r="J400" s="69"/>
      <c r="K400" s="69"/>
      <c r="L400" s="70"/>
      <c r="M400" s="72"/>
      <c r="N400" s="71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</row>
    <row r="401" spans="1:27" ht="18" customHeight="1">
      <c r="A401" s="61"/>
      <c r="B401" s="60"/>
      <c r="C401" s="69"/>
      <c r="D401" s="70"/>
      <c r="E401" s="72"/>
      <c r="F401" s="71"/>
      <c r="G401" s="71"/>
      <c r="H401" s="60"/>
      <c r="I401" s="60"/>
      <c r="J401" s="69"/>
      <c r="K401" s="69"/>
      <c r="L401" s="70"/>
      <c r="M401" s="72"/>
      <c r="N401" s="71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</row>
    <row r="402" spans="1:27" ht="18" customHeight="1">
      <c r="A402" s="61"/>
      <c r="B402" s="60"/>
      <c r="C402" s="69"/>
      <c r="D402" s="70"/>
      <c r="E402" s="72"/>
      <c r="F402" s="71"/>
      <c r="G402" s="71"/>
      <c r="H402" s="60"/>
      <c r="I402" s="60"/>
      <c r="J402" s="69"/>
      <c r="K402" s="69"/>
      <c r="L402" s="70"/>
      <c r="M402" s="72"/>
      <c r="N402" s="71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</row>
    <row r="403" spans="1:27" ht="18" customHeight="1">
      <c r="A403" s="61"/>
      <c r="B403" s="60"/>
      <c r="C403" s="69"/>
      <c r="D403" s="70"/>
      <c r="E403" s="72"/>
      <c r="F403" s="71"/>
      <c r="G403" s="71"/>
      <c r="H403" s="60"/>
      <c r="I403" s="60"/>
      <c r="J403" s="69"/>
      <c r="K403" s="69"/>
      <c r="L403" s="70"/>
      <c r="M403" s="72"/>
      <c r="N403" s="71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</row>
    <row r="404" spans="1:27" ht="18" customHeight="1">
      <c r="A404" s="61"/>
      <c r="B404" s="60"/>
      <c r="C404" s="69"/>
      <c r="D404" s="70"/>
      <c r="E404" s="72"/>
      <c r="F404" s="71"/>
      <c r="G404" s="71"/>
      <c r="H404" s="60"/>
      <c r="I404" s="60"/>
      <c r="J404" s="69"/>
      <c r="K404" s="69"/>
      <c r="L404" s="70"/>
      <c r="M404" s="72"/>
      <c r="N404" s="71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</row>
    <row r="405" spans="1:27" ht="18" customHeight="1">
      <c r="A405" s="61"/>
      <c r="B405" s="60"/>
      <c r="C405" s="69"/>
      <c r="D405" s="70"/>
      <c r="E405" s="72"/>
      <c r="F405" s="71"/>
      <c r="G405" s="71"/>
      <c r="H405" s="60"/>
      <c r="I405" s="60"/>
      <c r="J405" s="69"/>
      <c r="K405" s="69"/>
      <c r="L405" s="70"/>
      <c r="M405" s="72"/>
      <c r="N405" s="71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</row>
    <row r="406" spans="1:27" ht="18" customHeight="1">
      <c r="A406" s="61"/>
      <c r="B406" s="60"/>
      <c r="C406" s="69"/>
      <c r="D406" s="70"/>
      <c r="E406" s="72"/>
      <c r="F406" s="71"/>
      <c r="G406" s="71"/>
      <c r="H406" s="60"/>
      <c r="I406" s="60"/>
      <c r="J406" s="69"/>
      <c r="K406" s="69"/>
      <c r="L406" s="70"/>
      <c r="M406" s="72"/>
      <c r="N406" s="71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</row>
    <row r="407" spans="1:27" ht="18" customHeight="1">
      <c r="A407" s="61"/>
      <c r="B407" s="60"/>
      <c r="C407" s="69"/>
      <c r="D407" s="70"/>
      <c r="E407" s="72"/>
      <c r="F407" s="71"/>
      <c r="G407" s="71"/>
      <c r="H407" s="60"/>
      <c r="I407" s="60"/>
      <c r="J407" s="69"/>
      <c r="K407" s="69"/>
      <c r="L407" s="70"/>
      <c r="M407" s="72"/>
      <c r="N407" s="71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</row>
    <row r="408" spans="1:27" ht="18" customHeight="1">
      <c r="A408" s="61"/>
      <c r="B408" s="60"/>
      <c r="C408" s="69"/>
      <c r="D408" s="70"/>
      <c r="E408" s="72"/>
      <c r="F408" s="71"/>
      <c r="G408" s="71"/>
      <c r="H408" s="60"/>
      <c r="I408" s="60"/>
      <c r="J408" s="69"/>
      <c r="K408" s="69"/>
      <c r="L408" s="70"/>
      <c r="M408" s="72"/>
      <c r="N408" s="71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</row>
    <row r="409" spans="1:27" ht="18" customHeight="1">
      <c r="A409" s="61"/>
      <c r="B409" s="60"/>
      <c r="C409" s="69"/>
      <c r="D409" s="70"/>
      <c r="E409" s="72"/>
      <c r="F409" s="71"/>
      <c r="G409" s="71"/>
      <c r="H409" s="60"/>
      <c r="I409" s="60"/>
      <c r="J409" s="69"/>
      <c r="K409" s="69"/>
      <c r="L409" s="70"/>
      <c r="M409" s="72"/>
      <c r="N409" s="71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</row>
    <row r="410" spans="1:27" ht="18" customHeight="1">
      <c r="A410" s="61"/>
      <c r="B410" s="60"/>
      <c r="C410" s="69"/>
      <c r="D410" s="70"/>
      <c r="E410" s="72"/>
      <c r="F410" s="71"/>
      <c r="G410" s="71"/>
      <c r="H410" s="60"/>
      <c r="I410" s="60"/>
      <c r="J410" s="69"/>
      <c r="K410" s="69"/>
      <c r="L410" s="70"/>
      <c r="M410" s="72"/>
      <c r="N410" s="71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</row>
    <row r="411" spans="1:27" ht="18" customHeight="1">
      <c r="A411" s="61"/>
      <c r="B411" s="60"/>
      <c r="C411" s="69"/>
      <c r="D411" s="70"/>
      <c r="E411" s="72"/>
      <c r="F411" s="71"/>
      <c r="G411" s="71"/>
      <c r="H411" s="60"/>
      <c r="I411" s="60"/>
      <c r="J411" s="69"/>
      <c r="K411" s="69"/>
      <c r="L411" s="70"/>
      <c r="M411" s="72"/>
      <c r="N411" s="71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</row>
    <row r="412" spans="1:27" ht="18" customHeight="1">
      <c r="A412" s="61"/>
      <c r="B412" s="60"/>
      <c r="C412" s="69"/>
      <c r="D412" s="70"/>
      <c r="E412" s="72"/>
      <c r="F412" s="71"/>
      <c r="G412" s="71"/>
      <c r="H412" s="60"/>
      <c r="I412" s="60"/>
      <c r="J412" s="69"/>
      <c r="K412" s="69"/>
      <c r="L412" s="70"/>
      <c r="M412" s="72"/>
      <c r="N412" s="71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</row>
    <row r="413" spans="1:27" ht="18" customHeight="1">
      <c r="A413" s="61"/>
      <c r="B413" s="60"/>
      <c r="C413" s="69"/>
      <c r="D413" s="70"/>
      <c r="E413" s="72"/>
      <c r="F413" s="71"/>
      <c r="G413" s="71"/>
      <c r="H413" s="60"/>
      <c r="I413" s="60"/>
      <c r="J413" s="69"/>
      <c r="K413" s="69"/>
      <c r="L413" s="70"/>
      <c r="M413" s="72"/>
      <c r="N413" s="71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</row>
    <row r="414" spans="1:27" ht="18" customHeight="1">
      <c r="A414" s="61"/>
      <c r="B414" s="60"/>
      <c r="C414" s="69"/>
      <c r="D414" s="70"/>
      <c r="E414" s="72"/>
      <c r="F414" s="71"/>
      <c r="G414" s="71"/>
      <c r="H414" s="60"/>
      <c r="I414" s="60"/>
      <c r="J414" s="69"/>
      <c r="K414" s="69"/>
      <c r="L414" s="70"/>
      <c r="M414" s="72"/>
      <c r="N414" s="71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</row>
    <row r="415" spans="1:27" ht="18" customHeight="1">
      <c r="A415" s="61"/>
      <c r="B415" s="60"/>
      <c r="C415" s="69"/>
      <c r="D415" s="70"/>
      <c r="E415" s="72"/>
      <c r="F415" s="71"/>
      <c r="G415" s="71"/>
      <c r="H415" s="60"/>
      <c r="I415" s="60"/>
      <c r="J415" s="69"/>
      <c r="K415" s="69"/>
      <c r="L415" s="70"/>
      <c r="M415" s="72"/>
      <c r="N415" s="71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</row>
    <row r="416" spans="1:27" ht="18" customHeight="1">
      <c r="A416" s="61"/>
      <c r="B416" s="60"/>
      <c r="C416" s="69"/>
      <c r="D416" s="70"/>
      <c r="E416" s="72"/>
      <c r="F416" s="71"/>
      <c r="G416" s="71"/>
      <c r="H416" s="60"/>
      <c r="I416" s="60"/>
      <c r="J416" s="69"/>
      <c r="K416" s="69"/>
      <c r="L416" s="70"/>
      <c r="M416" s="72"/>
      <c r="N416" s="71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</row>
    <row r="417" spans="1:27" ht="18" customHeight="1">
      <c r="A417" s="61"/>
      <c r="B417" s="60"/>
      <c r="C417" s="69"/>
      <c r="D417" s="70"/>
      <c r="E417" s="72"/>
      <c r="F417" s="71"/>
      <c r="G417" s="71"/>
      <c r="H417" s="60"/>
      <c r="I417" s="60"/>
      <c r="J417" s="69"/>
      <c r="K417" s="69"/>
      <c r="L417" s="70"/>
      <c r="M417" s="72"/>
      <c r="N417" s="71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</row>
    <row r="418" spans="1:27" ht="18" customHeight="1">
      <c r="A418" s="61"/>
      <c r="B418" s="60"/>
      <c r="C418" s="69"/>
      <c r="D418" s="70"/>
      <c r="E418" s="72"/>
      <c r="F418" s="71"/>
      <c r="G418" s="71"/>
      <c r="H418" s="60"/>
      <c r="I418" s="60"/>
      <c r="J418" s="69"/>
      <c r="K418" s="69"/>
      <c r="L418" s="70"/>
      <c r="M418" s="72"/>
      <c r="N418" s="71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</row>
    <row r="419" spans="1:27" ht="18" customHeight="1">
      <c r="A419" s="61"/>
      <c r="B419" s="60"/>
      <c r="C419" s="69"/>
      <c r="D419" s="70"/>
      <c r="E419" s="72"/>
      <c r="F419" s="71"/>
      <c r="G419" s="71"/>
      <c r="H419" s="60"/>
      <c r="I419" s="60"/>
      <c r="J419" s="69"/>
      <c r="K419" s="69"/>
      <c r="L419" s="70"/>
      <c r="M419" s="72"/>
      <c r="N419" s="71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</row>
    <row r="420" spans="1:27" ht="18" customHeight="1">
      <c r="A420" s="61"/>
      <c r="B420" s="60"/>
      <c r="C420" s="69"/>
      <c r="D420" s="70"/>
      <c r="E420" s="72"/>
      <c r="F420" s="71"/>
      <c r="G420" s="71"/>
      <c r="H420" s="60"/>
      <c r="I420" s="60"/>
      <c r="J420" s="69"/>
      <c r="K420" s="69"/>
      <c r="L420" s="70"/>
      <c r="M420" s="72"/>
      <c r="N420" s="71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</row>
    <row r="421" spans="1:27" ht="18" customHeight="1">
      <c r="A421" s="61"/>
      <c r="B421" s="60"/>
      <c r="C421" s="69"/>
      <c r="D421" s="70"/>
      <c r="E421" s="72"/>
      <c r="F421" s="71"/>
      <c r="G421" s="71"/>
      <c r="H421" s="60"/>
      <c r="I421" s="60"/>
      <c r="J421" s="69"/>
      <c r="K421" s="69"/>
      <c r="L421" s="70"/>
      <c r="M421" s="72"/>
      <c r="N421" s="71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</row>
    <row r="422" spans="1:27" ht="18" customHeight="1">
      <c r="A422" s="61"/>
      <c r="B422" s="60"/>
      <c r="C422" s="69"/>
      <c r="D422" s="70"/>
      <c r="E422" s="72"/>
      <c r="F422" s="71"/>
      <c r="G422" s="71"/>
      <c r="H422" s="60"/>
      <c r="I422" s="60"/>
      <c r="J422" s="69"/>
      <c r="K422" s="69"/>
      <c r="L422" s="70"/>
      <c r="M422" s="72"/>
      <c r="N422" s="71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</row>
    <row r="423" spans="1:27" ht="18" customHeight="1">
      <c r="A423" s="61"/>
      <c r="B423" s="60"/>
      <c r="C423" s="69"/>
      <c r="D423" s="70"/>
      <c r="E423" s="72"/>
      <c r="F423" s="71"/>
      <c r="G423" s="71"/>
      <c r="H423" s="60"/>
      <c r="I423" s="60"/>
      <c r="J423" s="69"/>
      <c r="K423" s="69"/>
      <c r="L423" s="70"/>
      <c r="M423" s="72"/>
      <c r="N423" s="71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</row>
    <row r="424" spans="1:27" ht="18" customHeight="1">
      <c r="A424" s="61"/>
      <c r="B424" s="60"/>
      <c r="C424" s="69"/>
      <c r="D424" s="70"/>
      <c r="E424" s="72"/>
      <c r="F424" s="71"/>
      <c r="G424" s="71"/>
      <c r="H424" s="60"/>
      <c r="I424" s="60"/>
      <c r="J424" s="69"/>
      <c r="K424" s="69"/>
      <c r="L424" s="70"/>
      <c r="M424" s="72"/>
      <c r="N424" s="71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</row>
    <row r="425" spans="1:27" ht="18" customHeight="1">
      <c r="A425" s="61"/>
      <c r="B425" s="60"/>
      <c r="C425" s="69"/>
      <c r="D425" s="70"/>
      <c r="E425" s="72"/>
      <c r="F425" s="71"/>
      <c r="G425" s="71"/>
      <c r="H425" s="60"/>
      <c r="I425" s="60"/>
      <c r="J425" s="69"/>
      <c r="K425" s="69"/>
      <c r="L425" s="70"/>
      <c r="M425" s="72"/>
      <c r="N425" s="71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</row>
    <row r="426" spans="1:27" ht="18" customHeight="1">
      <c r="A426" s="61"/>
      <c r="B426" s="60"/>
      <c r="C426" s="69"/>
      <c r="D426" s="70"/>
      <c r="E426" s="72"/>
      <c r="F426" s="71"/>
      <c r="G426" s="71"/>
      <c r="H426" s="60"/>
      <c r="I426" s="60"/>
      <c r="J426" s="69"/>
      <c r="K426" s="69"/>
      <c r="L426" s="70"/>
      <c r="M426" s="72"/>
      <c r="N426" s="71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</row>
    <row r="427" spans="1:27" ht="18" customHeight="1">
      <c r="A427" s="61"/>
      <c r="B427" s="60"/>
      <c r="C427" s="69"/>
      <c r="D427" s="70"/>
      <c r="E427" s="72"/>
      <c r="F427" s="71"/>
      <c r="G427" s="71"/>
      <c r="H427" s="60"/>
      <c r="I427" s="60"/>
      <c r="J427" s="69"/>
      <c r="K427" s="69"/>
      <c r="L427" s="70"/>
      <c r="M427" s="72"/>
      <c r="N427" s="71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</row>
    <row r="428" spans="1:27" ht="18" customHeight="1">
      <c r="A428" s="61"/>
      <c r="B428" s="60"/>
      <c r="C428" s="69"/>
      <c r="D428" s="70"/>
      <c r="E428" s="72"/>
      <c r="F428" s="71"/>
      <c r="G428" s="71"/>
      <c r="H428" s="60"/>
      <c r="I428" s="60"/>
      <c r="J428" s="69"/>
      <c r="K428" s="69"/>
      <c r="L428" s="70"/>
      <c r="M428" s="72"/>
      <c r="N428" s="71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</row>
    <row r="429" spans="1:27" ht="18" customHeight="1">
      <c r="A429" s="61"/>
      <c r="B429" s="60"/>
      <c r="C429" s="69"/>
      <c r="D429" s="70"/>
      <c r="E429" s="72"/>
      <c r="F429" s="71"/>
      <c r="G429" s="71"/>
      <c r="H429" s="60"/>
      <c r="I429" s="60"/>
      <c r="J429" s="69"/>
      <c r="K429" s="69"/>
      <c r="L429" s="70"/>
      <c r="M429" s="72"/>
      <c r="N429" s="71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</row>
    <row r="430" spans="1:27" ht="18" customHeight="1">
      <c r="A430" s="61"/>
      <c r="B430" s="60"/>
      <c r="C430" s="69"/>
      <c r="D430" s="70"/>
      <c r="E430" s="72"/>
      <c r="F430" s="71"/>
      <c r="G430" s="71"/>
      <c r="H430" s="60"/>
      <c r="I430" s="60"/>
      <c r="J430" s="69"/>
      <c r="K430" s="69"/>
      <c r="L430" s="70"/>
      <c r="M430" s="72"/>
      <c r="N430" s="71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</row>
    <row r="431" spans="1:27" ht="18" customHeight="1">
      <c r="A431" s="61"/>
      <c r="B431" s="60"/>
      <c r="C431" s="69"/>
      <c r="D431" s="70"/>
      <c r="E431" s="72"/>
      <c r="F431" s="71"/>
      <c r="G431" s="71"/>
      <c r="H431" s="60"/>
      <c r="I431" s="60"/>
      <c r="J431" s="69"/>
      <c r="K431" s="69"/>
      <c r="L431" s="70"/>
      <c r="M431" s="72"/>
      <c r="N431" s="71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</row>
    <row r="432" spans="1:27" ht="18" customHeight="1">
      <c r="A432" s="61"/>
      <c r="B432" s="60"/>
      <c r="C432" s="69"/>
      <c r="D432" s="70"/>
      <c r="E432" s="72"/>
      <c r="F432" s="71"/>
      <c r="G432" s="71"/>
      <c r="H432" s="60"/>
      <c r="I432" s="60"/>
      <c r="J432" s="69"/>
      <c r="K432" s="69"/>
      <c r="L432" s="70"/>
      <c r="M432" s="72"/>
      <c r="N432" s="71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</row>
    <row r="433" spans="1:27" ht="18" customHeight="1">
      <c r="A433" s="61"/>
      <c r="B433" s="60"/>
      <c r="C433" s="69"/>
      <c r="D433" s="70"/>
      <c r="E433" s="72"/>
      <c r="F433" s="71"/>
      <c r="G433" s="71"/>
      <c r="H433" s="60"/>
      <c r="I433" s="60"/>
      <c r="J433" s="69"/>
      <c r="K433" s="69"/>
      <c r="L433" s="70"/>
      <c r="M433" s="72"/>
      <c r="N433" s="71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</row>
    <row r="434" spans="1:27" ht="18" customHeight="1">
      <c r="A434" s="61"/>
      <c r="B434" s="60"/>
      <c r="C434" s="69"/>
      <c r="D434" s="70"/>
      <c r="E434" s="72"/>
      <c r="F434" s="71"/>
      <c r="G434" s="71"/>
      <c r="H434" s="60"/>
      <c r="I434" s="60"/>
      <c r="J434" s="69"/>
      <c r="K434" s="69"/>
      <c r="L434" s="70"/>
      <c r="M434" s="72"/>
      <c r="N434" s="71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</row>
    <row r="435" spans="1:27" ht="18" customHeight="1">
      <c r="A435" s="61"/>
      <c r="B435" s="60"/>
      <c r="C435" s="69"/>
      <c r="D435" s="70"/>
      <c r="E435" s="72"/>
      <c r="F435" s="71"/>
      <c r="G435" s="71"/>
      <c r="H435" s="60"/>
      <c r="I435" s="60"/>
      <c r="J435" s="69"/>
      <c r="K435" s="69"/>
      <c r="L435" s="70"/>
      <c r="M435" s="72"/>
      <c r="N435" s="71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</row>
    <row r="436" spans="1:27" ht="18" customHeight="1">
      <c r="A436" s="61"/>
      <c r="B436" s="60"/>
      <c r="C436" s="69"/>
      <c r="D436" s="70"/>
      <c r="E436" s="72"/>
      <c r="F436" s="71"/>
      <c r="G436" s="71"/>
      <c r="H436" s="60"/>
      <c r="I436" s="60"/>
      <c r="J436" s="69"/>
      <c r="K436" s="69"/>
      <c r="L436" s="70"/>
      <c r="M436" s="72"/>
      <c r="N436" s="71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</row>
    <row r="437" spans="1:27" ht="18" customHeight="1">
      <c r="A437" s="61"/>
      <c r="B437" s="60"/>
      <c r="C437" s="69"/>
      <c r="D437" s="70"/>
      <c r="E437" s="72"/>
      <c r="F437" s="71"/>
      <c r="G437" s="71"/>
      <c r="H437" s="60"/>
      <c r="I437" s="60"/>
      <c r="J437" s="69"/>
      <c r="K437" s="69"/>
      <c r="L437" s="70"/>
      <c r="M437" s="72"/>
      <c r="N437" s="71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</row>
    <row r="438" spans="1:27" ht="18" customHeight="1">
      <c r="A438" s="61"/>
      <c r="B438" s="60"/>
      <c r="C438" s="69"/>
      <c r="D438" s="70"/>
      <c r="E438" s="72"/>
      <c r="F438" s="71"/>
      <c r="G438" s="71"/>
      <c r="H438" s="60"/>
      <c r="I438" s="60"/>
      <c r="J438" s="69"/>
      <c r="K438" s="69"/>
      <c r="L438" s="70"/>
      <c r="M438" s="72"/>
      <c r="N438" s="71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</row>
    <row r="439" spans="1:27" ht="18" customHeight="1">
      <c r="A439" s="61"/>
      <c r="B439" s="60"/>
      <c r="C439" s="69"/>
      <c r="D439" s="70"/>
      <c r="E439" s="72"/>
      <c r="F439" s="71"/>
      <c r="G439" s="71"/>
      <c r="H439" s="60"/>
      <c r="I439" s="60"/>
      <c r="J439" s="69"/>
      <c r="K439" s="69"/>
      <c r="L439" s="70"/>
      <c r="M439" s="72"/>
      <c r="N439" s="71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</row>
    <row r="440" spans="1:27" ht="18" customHeight="1">
      <c r="A440" s="61"/>
      <c r="B440" s="60"/>
      <c r="C440" s="69"/>
      <c r="D440" s="70"/>
      <c r="E440" s="72"/>
      <c r="F440" s="71"/>
      <c r="G440" s="71"/>
      <c r="H440" s="60"/>
      <c r="I440" s="60"/>
      <c r="J440" s="69"/>
      <c r="K440" s="69"/>
      <c r="L440" s="70"/>
      <c r="M440" s="72"/>
      <c r="N440" s="71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</row>
    <row r="441" spans="1:27" ht="18" customHeight="1">
      <c r="A441" s="61"/>
      <c r="B441" s="60"/>
      <c r="C441" s="69"/>
      <c r="D441" s="70"/>
      <c r="E441" s="72"/>
      <c r="F441" s="71"/>
      <c r="G441" s="71"/>
      <c r="H441" s="60"/>
      <c r="I441" s="60"/>
      <c r="J441" s="69"/>
      <c r="K441" s="69"/>
      <c r="L441" s="70"/>
      <c r="M441" s="72"/>
      <c r="N441" s="71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</row>
    <row r="442" spans="1:27" ht="18" customHeight="1">
      <c r="A442" s="61"/>
      <c r="B442" s="60"/>
      <c r="C442" s="69"/>
      <c r="D442" s="70"/>
      <c r="E442" s="72"/>
      <c r="F442" s="71"/>
      <c r="G442" s="71"/>
      <c r="H442" s="60"/>
      <c r="I442" s="60"/>
      <c r="J442" s="69"/>
      <c r="K442" s="69"/>
      <c r="L442" s="70"/>
      <c r="M442" s="72"/>
      <c r="N442" s="71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</row>
    <row r="443" spans="1:27" ht="18" customHeight="1">
      <c r="A443" s="61"/>
      <c r="B443" s="60"/>
      <c r="C443" s="69"/>
      <c r="D443" s="70"/>
      <c r="E443" s="72"/>
      <c r="F443" s="71"/>
      <c r="G443" s="71"/>
      <c r="H443" s="60"/>
      <c r="I443" s="60"/>
      <c r="J443" s="69"/>
      <c r="K443" s="69"/>
      <c r="L443" s="70"/>
      <c r="M443" s="72"/>
      <c r="N443" s="71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</row>
    <row r="444" spans="1:27" ht="18" customHeight="1">
      <c r="A444" s="61"/>
      <c r="B444" s="60"/>
      <c r="C444" s="69"/>
      <c r="D444" s="70"/>
      <c r="E444" s="72"/>
      <c r="F444" s="71"/>
      <c r="G444" s="71"/>
      <c r="H444" s="60"/>
      <c r="I444" s="60"/>
      <c r="J444" s="69"/>
      <c r="K444" s="69"/>
      <c r="L444" s="70"/>
      <c r="M444" s="72"/>
      <c r="N444" s="71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</row>
    <row r="445" spans="1:27" ht="18" customHeight="1">
      <c r="A445" s="61"/>
      <c r="B445" s="60"/>
      <c r="C445" s="69"/>
      <c r="D445" s="70"/>
      <c r="E445" s="72"/>
      <c r="F445" s="71"/>
      <c r="G445" s="71"/>
      <c r="H445" s="60"/>
      <c r="I445" s="60"/>
      <c r="J445" s="69"/>
      <c r="K445" s="69"/>
      <c r="L445" s="70"/>
      <c r="M445" s="72"/>
      <c r="N445" s="71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</row>
    <row r="446" spans="1:27" ht="18" customHeight="1">
      <c r="A446" s="61"/>
      <c r="B446" s="60"/>
      <c r="C446" s="69"/>
      <c r="D446" s="70"/>
      <c r="E446" s="72"/>
      <c r="F446" s="71"/>
      <c r="G446" s="71"/>
      <c r="H446" s="60"/>
      <c r="I446" s="60"/>
      <c r="J446" s="69"/>
      <c r="K446" s="69"/>
      <c r="L446" s="70"/>
      <c r="M446" s="72"/>
      <c r="N446" s="71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</row>
    <row r="447" spans="1:27" ht="18" customHeight="1">
      <c r="A447" s="61"/>
      <c r="B447" s="60"/>
      <c r="C447" s="69"/>
      <c r="D447" s="70"/>
      <c r="E447" s="72"/>
      <c r="F447" s="71"/>
      <c r="G447" s="71"/>
      <c r="H447" s="60"/>
      <c r="I447" s="60"/>
      <c r="J447" s="69"/>
      <c r="K447" s="69"/>
      <c r="L447" s="70"/>
      <c r="M447" s="72"/>
      <c r="N447" s="71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</row>
    <row r="448" spans="1:27" ht="18" customHeight="1">
      <c r="A448" s="61"/>
      <c r="B448" s="60"/>
      <c r="C448" s="69"/>
      <c r="D448" s="70"/>
      <c r="E448" s="72"/>
      <c r="F448" s="71"/>
      <c r="G448" s="71"/>
      <c r="H448" s="60"/>
      <c r="I448" s="60"/>
      <c r="J448" s="69"/>
      <c r="K448" s="69"/>
      <c r="L448" s="70"/>
      <c r="M448" s="72"/>
      <c r="N448" s="71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</row>
    <row r="449" spans="1:27" ht="18" customHeight="1">
      <c r="A449" s="61"/>
      <c r="B449" s="60"/>
      <c r="C449" s="69"/>
      <c r="D449" s="70"/>
      <c r="E449" s="72"/>
      <c r="F449" s="71"/>
      <c r="G449" s="71"/>
      <c r="H449" s="60"/>
      <c r="I449" s="60"/>
      <c r="J449" s="69"/>
      <c r="K449" s="69"/>
      <c r="L449" s="70"/>
      <c r="M449" s="72"/>
      <c r="N449" s="71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</row>
    <row r="450" spans="1:27" ht="18" customHeight="1">
      <c r="A450" s="61"/>
      <c r="B450" s="60"/>
      <c r="C450" s="69"/>
      <c r="D450" s="70"/>
      <c r="E450" s="72"/>
      <c r="F450" s="71"/>
      <c r="G450" s="71"/>
      <c r="H450" s="60"/>
      <c r="I450" s="60"/>
      <c r="J450" s="69"/>
      <c r="K450" s="69"/>
      <c r="L450" s="70"/>
      <c r="M450" s="72"/>
      <c r="N450" s="71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</row>
    <row r="451" spans="1:27" ht="18" customHeight="1">
      <c r="A451" s="61"/>
      <c r="B451" s="60"/>
      <c r="C451" s="69"/>
      <c r="D451" s="70"/>
      <c r="E451" s="72"/>
      <c r="F451" s="71"/>
      <c r="G451" s="71"/>
      <c r="H451" s="60"/>
      <c r="I451" s="60"/>
      <c r="J451" s="69"/>
      <c r="K451" s="69"/>
      <c r="L451" s="70"/>
      <c r="M451" s="72"/>
      <c r="N451" s="71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</row>
    <row r="452" spans="1:27" ht="18" customHeight="1">
      <c r="A452" s="61"/>
      <c r="B452" s="60"/>
      <c r="C452" s="69"/>
      <c r="D452" s="70"/>
      <c r="E452" s="72"/>
      <c r="F452" s="71"/>
      <c r="G452" s="71"/>
      <c r="H452" s="60"/>
      <c r="I452" s="60"/>
      <c r="J452" s="69"/>
      <c r="K452" s="69"/>
      <c r="L452" s="70"/>
      <c r="M452" s="72"/>
      <c r="N452" s="71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</row>
    <row r="453" spans="1:27" ht="18" customHeight="1">
      <c r="A453" s="61"/>
      <c r="B453" s="60"/>
      <c r="C453" s="69"/>
      <c r="D453" s="70"/>
      <c r="E453" s="72"/>
      <c r="F453" s="71"/>
      <c r="G453" s="71"/>
      <c r="H453" s="60"/>
      <c r="I453" s="60"/>
      <c r="J453" s="69"/>
      <c r="K453" s="69"/>
      <c r="L453" s="70"/>
      <c r="M453" s="72"/>
      <c r="N453" s="71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</row>
    <row r="454" spans="1:27" ht="18" customHeight="1">
      <c r="A454" s="61"/>
      <c r="B454" s="60"/>
      <c r="C454" s="69"/>
      <c r="D454" s="70"/>
      <c r="E454" s="72"/>
      <c r="F454" s="71"/>
      <c r="G454" s="71"/>
      <c r="H454" s="60"/>
      <c r="I454" s="60"/>
      <c r="J454" s="69"/>
      <c r="K454" s="69"/>
      <c r="L454" s="70"/>
      <c r="M454" s="72"/>
      <c r="N454" s="71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</row>
    <row r="455" spans="1:27" ht="18" customHeight="1">
      <c r="A455" s="61"/>
      <c r="B455" s="60"/>
      <c r="C455" s="69"/>
      <c r="D455" s="70"/>
      <c r="E455" s="72"/>
      <c r="F455" s="71"/>
      <c r="G455" s="71"/>
      <c r="H455" s="60"/>
      <c r="I455" s="60"/>
      <c r="J455" s="69"/>
      <c r="K455" s="69"/>
      <c r="L455" s="70"/>
      <c r="M455" s="72"/>
      <c r="N455" s="71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</row>
    <row r="456" spans="1:27" ht="18" customHeight="1">
      <c r="A456" s="61"/>
      <c r="B456" s="60"/>
      <c r="C456" s="69"/>
      <c r="D456" s="70"/>
      <c r="E456" s="72"/>
      <c r="F456" s="71"/>
      <c r="G456" s="71"/>
      <c r="H456" s="60"/>
      <c r="I456" s="60"/>
      <c r="J456" s="69"/>
      <c r="K456" s="69"/>
      <c r="L456" s="70"/>
      <c r="M456" s="72"/>
      <c r="N456" s="71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</row>
    <row r="457" spans="1:27" ht="18" customHeight="1">
      <c r="A457" s="61"/>
      <c r="B457" s="60"/>
      <c r="C457" s="69"/>
      <c r="D457" s="70"/>
      <c r="E457" s="72"/>
      <c r="F457" s="71"/>
      <c r="G457" s="71"/>
      <c r="H457" s="60"/>
      <c r="I457" s="60"/>
      <c r="J457" s="69"/>
      <c r="K457" s="69"/>
      <c r="L457" s="70"/>
      <c r="M457" s="72"/>
      <c r="N457" s="71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</row>
    <row r="458" spans="1:27" ht="18" customHeight="1">
      <c r="A458" s="61"/>
      <c r="B458" s="60"/>
      <c r="C458" s="69"/>
      <c r="D458" s="70"/>
      <c r="E458" s="72"/>
      <c r="F458" s="71"/>
      <c r="G458" s="71"/>
      <c r="H458" s="60"/>
      <c r="I458" s="60"/>
      <c r="J458" s="69"/>
      <c r="K458" s="69"/>
      <c r="L458" s="70"/>
      <c r="M458" s="72"/>
      <c r="N458" s="71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</row>
    <row r="459" spans="1:27" ht="18" customHeight="1">
      <c r="A459" s="61"/>
      <c r="B459" s="60"/>
      <c r="C459" s="69"/>
      <c r="D459" s="70"/>
      <c r="E459" s="72"/>
      <c r="F459" s="71"/>
      <c r="G459" s="71"/>
      <c r="H459" s="60"/>
      <c r="I459" s="60"/>
      <c r="J459" s="69"/>
      <c r="K459" s="69"/>
      <c r="L459" s="70"/>
      <c r="M459" s="72"/>
      <c r="N459" s="71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</row>
    <row r="460" spans="1:27" ht="18" customHeight="1">
      <c r="A460" s="61"/>
      <c r="B460" s="60"/>
      <c r="C460" s="69"/>
      <c r="D460" s="70"/>
      <c r="E460" s="72"/>
      <c r="F460" s="71"/>
      <c r="G460" s="71"/>
      <c r="H460" s="60"/>
      <c r="I460" s="60"/>
      <c r="J460" s="69"/>
      <c r="K460" s="69"/>
      <c r="L460" s="70"/>
      <c r="M460" s="72"/>
      <c r="N460" s="71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</row>
    <row r="461" spans="1:27" ht="18" customHeight="1">
      <c r="A461" s="61"/>
      <c r="B461" s="60"/>
      <c r="C461" s="69"/>
      <c r="D461" s="70"/>
      <c r="E461" s="72"/>
      <c r="F461" s="71"/>
      <c r="G461" s="71"/>
      <c r="H461" s="60"/>
      <c r="I461" s="60"/>
      <c r="J461" s="69"/>
      <c r="K461" s="69"/>
      <c r="L461" s="70"/>
      <c r="M461" s="72"/>
      <c r="N461" s="71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</row>
    <row r="462" spans="1:27" ht="18" customHeight="1">
      <c r="A462" s="61"/>
      <c r="B462" s="60"/>
      <c r="C462" s="69"/>
      <c r="D462" s="70"/>
      <c r="E462" s="72"/>
      <c r="F462" s="71"/>
      <c r="G462" s="71"/>
      <c r="H462" s="60"/>
      <c r="I462" s="60"/>
      <c r="J462" s="69"/>
      <c r="K462" s="69"/>
      <c r="L462" s="70"/>
      <c r="M462" s="72"/>
      <c r="N462" s="71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</row>
    <row r="463" spans="1:27" ht="18" customHeight="1">
      <c r="A463" s="61"/>
      <c r="B463" s="60"/>
      <c r="C463" s="69"/>
      <c r="D463" s="70"/>
      <c r="E463" s="72"/>
      <c r="F463" s="71"/>
      <c r="G463" s="71"/>
      <c r="H463" s="60"/>
      <c r="I463" s="60"/>
      <c r="J463" s="69"/>
      <c r="K463" s="69"/>
      <c r="L463" s="70"/>
      <c r="M463" s="72"/>
      <c r="N463" s="71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</row>
    <row r="464" spans="1:27" ht="18" customHeight="1">
      <c r="A464" s="61"/>
      <c r="B464" s="60"/>
      <c r="C464" s="69"/>
      <c r="D464" s="70"/>
      <c r="E464" s="72"/>
      <c r="F464" s="71"/>
      <c r="G464" s="71"/>
      <c r="H464" s="60"/>
      <c r="I464" s="60"/>
      <c r="J464" s="69"/>
      <c r="K464" s="69"/>
      <c r="L464" s="70"/>
      <c r="M464" s="72"/>
      <c r="N464" s="71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</row>
    <row r="465" spans="1:27" ht="18" customHeight="1">
      <c r="A465" s="61"/>
      <c r="B465" s="60"/>
      <c r="C465" s="69"/>
      <c r="D465" s="70"/>
      <c r="E465" s="72"/>
      <c r="F465" s="71"/>
      <c r="G465" s="71"/>
      <c r="H465" s="60"/>
      <c r="I465" s="60"/>
      <c r="J465" s="69"/>
      <c r="K465" s="69"/>
      <c r="L465" s="70"/>
      <c r="M465" s="72"/>
      <c r="N465" s="71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</row>
    <row r="466" spans="1:27" ht="18" customHeight="1">
      <c r="A466" s="61"/>
      <c r="B466" s="60"/>
      <c r="C466" s="69"/>
      <c r="D466" s="70"/>
      <c r="E466" s="72"/>
      <c r="F466" s="71"/>
      <c r="G466" s="71"/>
      <c r="H466" s="60"/>
      <c r="I466" s="60"/>
      <c r="J466" s="69"/>
      <c r="K466" s="69"/>
      <c r="L466" s="70"/>
      <c r="M466" s="72"/>
      <c r="N466" s="71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</row>
    <row r="467" spans="1:27" ht="18" customHeight="1">
      <c r="A467" s="61"/>
      <c r="B467" s="60"/>
      <c r="C467" s="69"/>
      <c r="D467" s="70"/>
      <c r="E467" s="72"/>
      <c r="F467" s="71"/>
      <c r="G467" s="71"/>
      <c r="H467" s="60"/>
      <c r="I467" s="60"/>
      <c r="J467" s="69"/>
      <c r="K467" s="69"/>
      <c r="L467" s="70"/>
      <c r="M467" s="72"/>
      <c r="N467" s="71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</row>
    <row r="468" spans="1:27" ht="18" customHeight="1">
      <c r="A468" s="61"/>
      <c r="B468" s="60"/>
      <c r="C468" s="69"/>
      <c r="D468" s="70"/>
      <c r="E468" s="72"/>
      <c r="F468" s="71"/>
      <c r="G468" s="71"/>
      <c r="H468" s="60"/>
      <c r="I468" s="60"/>
      <c r="J468" s="69"/>
      <c r="K468" s="69"/>
      <c r="L468" s="70"/>
      <c r="M468" s="72"/>
      <c r="N468" s="71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</row>
    <row r="469" spans="1:27" ht="18" customHeight="1">
      <c r="A469" s="61"/>
      <c r="B469" s="60"/>
      <c r="C469" s="69"/>
      <c r="D469" s="70"/>
      <c r="E469" s="72"/>
      <c r="F469" s="71"/>
      <c r="G469" s="71"/>
      <c r="H469" s="60"/>
      <c r="I469" s="60"/>
      <c r="J469" s="69"/>
      <c r="K469" s="69"/>
      <c r="L469" s="70"/>
      <c r="M469" s="72"/>
      <c r="N469" s="71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</row>
    <row r="470" spans="1:27" ht="18" customHeight="1">
      <c r="A470" s="61"/>
      <c r="B470" s="60"/>
      <c r="C470" s="69"/>
      <c r="D470" s="70"/>
      <c r="E470" s="72"/>
      <c r="F470" s="71"/>
      <c r="G470" s="71"/>
      <c r="H470" s="60"/>
      <c r="I470" s="60"/>
      <c r="J470" s="69"/>
      <c r="K470" s="69"/>
      <c r="L470" s="70"/>
      <c r="M470" s="72"/>
      <c r="N470" s="71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</row>
    <row r="471" spans="1:27" ht="18" customHeight="1">
      <c r="A471" s="61"/>
      <c r="B471" s="60"/>
      <c r="C471" s="69"/>
      <c r="D471" s="70"/>
      <c r="E471" s="72"/>
      <c r="F471" s="71"/>
      <c r="G471" s="71"/>
      <c r="H471" s="60"/>
      <c r="I471" s="60"/>
      <c r="J471" s="69"/>
      <c r="K471" s="69"/>
      <c r="L471" s="70"/>
      <c r="M471" s="72"/>
      <c r="N471" s="71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</row>
    <row r="472" spans="1:27" ht="18" customHeight="1">
      <c r="A472" s="61"/>
      <c r="B472" s="60"/>
      <c r="C472" s="69"/>
      <c r="D472" s="70"/>
      <c r="E472" s="72"/>
      <c r="F472" s="71"/>
      <c r="G472" s="71"/>
      <c r="H472" s="60"/>
      <c r="I472" s="60"/>
      <c r="J472" s="69"/>
      <c r="K472" s="69"/>
      <c r="L472" s="70"/>
      <c r="M472" s="72"/>
      <c r="N472" s="71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</row>
    <row r="473" spans="1:27" ht="18" customHeight="1">
      <c r="A473" s="61"/>
      <c r="B473" s="60"/>
      <c r="C473" s="69"/>
      <c r="D473" s="70"/>
      <c r="E473" s="72"/>
      <c r="F473" s="71"/>
      <c r="G473" s="71"/>
      <c r="H473" s="60"/>
      <c r="I473" s="60"/>
      <c r="J473" s="69"/>
      <c r="K473" s="69"/>
      <c r="L473" s="70"/>
      <c r="M473" s="72"/>
      <c r="N473" s="71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</row>
    <row r="474" spans="1:27" ht="18" customHeight="1">
      <c r="A474" s="61"/>
      <c r="B474" s="60"/>
      <c r="C474" s="69"/>
      <c r="D474" s="70"/>
      <c r="E474" s="72"/>
      <c r="F474" s="71"/>
      <c r="G474" s="71"/>
      <c r="H474" s="60"/>
      <c r="I474" s="60"/>
      <c r="J474" s="69"/>
      <c r="K474" s="69"/>
      <c r="L474" s="70"/>
      <c r="M474" s="72"/>
      <c r="N474" s="71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</row>
    <row r="475" spans="1:27" ht="18" customHeight="1">
      <c r="A475" s="61"/>
      <c r="B475" s="60"/>
      <c r="C475" s="69"/>
      <c r="D475" s="70"/>
      <c r="E475" s="72"/>
      <c r="F475" s="71"/>
      <c r="G475" s="71"/>
      <c r="H475" s="60"/>
      <c r="I475" s="60"/>
      <c r="J475" s="69"/>
      <c r="K475" s="69"/>
      <c r="L475" s="70"/>
      <c r="M475" s="72"/>
      <c r="N475" s="71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</row>
    <row r="476" spans="1:27" ht="18" customHeight="1">
      <c r="A476" s="61"/>
      <c r="B476" s="60"/>
      <c r="C476" s="69"/>
      <c r="D476" s="70"/>
      <c r="E476" s="72"/>
      <c r="F476" s="71"/>
      <c r="G476" s="71"/>
      <c r="H476" s="60"/>
      <c r="I476" s="60"/>
      <c r="J476" s="69"/>
      <c r="K476" s="69"/>
      <c r="L476" s="70"/>
      <c r="M476" s="72"/>
      <c r="N476" s="71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</row>
    <row r="477" spans="1:27" ht="18" customHeight="1">
      <c r="A477" s="61"/>
      <c r="B477" s="60"/>
      <c r="C477" s="69"/>
      <c r="D477" s="70"/>
      <c r="E477" s="72"/>
      <c r="F477" s="71"/>
      <c r="G477" s="71"/>
      <c r="H477" s="60"/>
      <c r="I477" s="60"/>
      <c r="J477" s="69"/>
      <c r="K477" s="69"/>
      <c r="L477" s="70"/>
      <c r="M477" s="72"/>
      <c r="N477" s="71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</row>
    <row r="478" spans="1:27" ht="18" customHeight="1">
      <c r="A478" s="61"/>
      <c r="B478" s="60"/>
      <c r="C478" s="69"/>
      <c r="D478" s="70"/>
      <c r="E478" s="72"/>
      <c r="F478" s="71"/>
      <c r="G478" s="71"/>
      <c r="H478" s="60"/>
      <c r="I478" s="60"/>
      <c r="J478" s="69"/>
      <c r="K478" s="69"/>
      <c r="L478" s="70"/>
      <c r="M478" s="72"/>
      <c r="N478" s="71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</row>
    <row r="479" spans="1:27" ht="18" customHeight="1">
      <c r="A479" s="61"/>
      <c r="B479" s="60"/>
      <c r="C479" s="69"/>
      <c r="D479" s="70"/>
      <c r="E479" s="72"/>
      <c r="F479" s="71"/>
      <c r="G479" s="71"/>
      <c r="H479" s="60"/>
      <c r="I479" s="60"/>
      <c r="J479" s="69"/>
      <c r="K479" s="69"/>
      <c r="L479" s="70"/>
      <c r="M479" s="72"/>
      <c r="N479" s="71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</row>
    <row r="480" spans="1:27" ht="18" customHeight="1">
      <c r="A480" s="61"/>
      <c r="B480" s="60"/>
      <c r="C480" s="69"/>
      <c r="D480" s="70"/>
      <c r="E480" s="72"/>
      <c r="F480" s="71"/>
      <c r="G480" s="71"/>
      <c r="H480" s="60"/>
      <c r="I480" s="60"/>
      <c r="J480" s="69"/>
      <c r="K480" s="69"/>
      <c r="L480" s="70"/>
      <c r="M480" s="72"/>
      <c r="N480" s="71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</row>
    <row r="481" spans="1:27" ht="18" customHeight="1">
      <c r="A481" s="61"/>
      <c r="B481" s="60"/>
      <c r="C481" s="69"/>
      <c r="D481" s="70"/>
      <c r="E481" s="72"/>
      <c r="F481" s="71"/>
      <c r="G481" s="71"/>
      <c r="H481" s="60"/>
      <c r="I481" s="60"/>
      <c r="J481" s="69"/>
      <c r="K481" s="69"/>
      <c r="L481" s="70"/>
      <c r="M481" s="72"/>
      <c r="N481" s="71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</row>
    <row r="482" spans="1:27" ht="18" customHeight="1">
      <c r="A482" s="61"/>
      <c r="B482" s="60"/>
      <c r="C482" s="69"/>
      <c r="D482" s="70"/>
      <c r="E482" s="72"/>
      <c r="F482" s="71"/>
      <c r="G482" s="71"/>
      <c r="H482" s="60"/>
      <c r="I482" s="60"/>
      <c r="J482" s="69"/>
      <c r="K482" s="69"/>
      <c r="L482" s="70"/>
      <c r="M482" s="72"/>
      <c r="N482" s="71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</row>
    <row r="483" spans="1:27" ht="18" customHeight="1">
      <c r="A483" s="61"/>
      <c r="B483" s="60"/>
      <c r="C483" s="69"/>
      <c r="D483" s="70"/>
      <c r="E483" s="72"/>
      <c r="F483" s="71"/>
      <c r="G483" s="71"/>
      <c r="H483" s="60"/>
      <c r="I483" s="60"/>
      <c r="J483" s="69"/>
      <c r="K483" s="69"/>
      <c r="L483" s="70"/>
      <c r="M483" s="72"/>
      <c r="N483" s="71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</row>
    <row r="484" spans="1:27" ht="18" customHeight="1">
      <c r="A484" s="61"/>
      <c r="B484" s="60"/>
      <c r="C484" s="69"/>
      <c r="D484" s="70"/>
      <c r="E484" s="72"/>
      <c r="F484" s="71"/>
      <c r="G484" s="71"/>
      <c r="H484" s="60"/>
      <c r="I484" s="60"/>
      <c r="J484" s="69"/>
      <c r="K484" s="69"/>
      <c r="L484" s="70"/>
      <c r="M484" s="72"/>
      <c r="N484" s="71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</row>
    <row r="485" spans="1:27" ht="18" customHeight="1">
      <c r="A485" s="61"/>
      <c r="B485" s="60"/>
      <c r="C485" s="69"/>
      <c r="D485" s="70"/>
      <c r="E485" s="72"/>
      <c r="F485" s="71"/>
      <c r="G485" s="71"/>
      <c r="H485" s="60"/>
      <c r="I485" s="60"/>
      <c r="J485" s="69"/>
      <c r="K485" s="69"/>
      <c r="L485" s="70"/>
      <c r="M485" s="72"/>
      <c r="N485" s="71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</row>
    <row r="486" spans="1:27" ht="18" customHeight="1">
      <c r="A486" s="61"/>
      <c r="B486" s="60"/>
      <c r="C486" s="69"/>
      <c r="D486" s="70"/>
      <c r="E486" s="72"/>
      <c r="F486" s="71"/>
      <c r="G486" s="71"/>
      <c r="H486" s="60"/>
      <c r="I486" s="60"/>
      <c r="J486" s="69"/>
      <c r="K486" s="69"/>
      <c r="L486" s="70"/>
      <c r="M486" s="72"/>
      <c r="N486" s="71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</row>
    <row r="487" spans="1:27" ht="18" customHeight="1">
      <c r="A487" s="61"/>
      <c r="B487" s="60"/>
      <c r="C487" s="69"/>
      <c r="D487" s="70"/>
      <c r="E487" s="72"/>
      <c r="F487" s="71"/>
      <c r="G487" s="71"/>
      <c r="H487" s="60"/>
      <c r="I487" s="60"/>
      <c r="J487" s="69"/>
      <c r="K487" s="69"/>
      <c r="L487" s="70"/>
      <c r="M487" s="72"/>
      <c r="N487" s="71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</row>
    <row r="488" spans="1:27" ht="18" customHeight="1">
      <c r="A488" s="61"/>
      <c r="B488" s="60"/>
      <c r="C488" s="69"/>
      <c r="D488" s="70"/>
      <c r="E488" s="72"/>
      <c r="F488" s="71"/>
      <c r="G488" s="71"/>
      <c r="H488" s="60"/>
      <c r="I488" s="60"/>
      <c r="J488" s="69"/>
      <c r="K488" s="69"/>
      <c r="L488" s="70"/>
      <c r="M488" s="72"/>
      <c r="N488" s="71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</row>
    <row r="489" spans="1:27" ht="18" customHeight="1">
      <c r="A489" s="61"/>
      <c r="B489" s="60"/>
      <c r="C489" s="69"/>
      <c r="D489" s="70"/>
      <c r="E489" s="72"/>
      <c r="F489" s="71"/>
      <c r="G489" s="71"/>
      <c r="H489" s="60"/>
      <c r="I489" s="60"/>
      <c r="J489" s="69"/>
      <c r="K489" s="69"/>
      <c r="L489" s="70"/>
      <c r="M489" s="72"/>
      <c r="N489" s="71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</row>
    <row r="490" spans="1:27" ht="18" customHeight="1">
      <c r="A490" s="61"/>
      <c r="B490" s="60"/>
      <c r="C490" s="69"/>
      <c r="D490" s="70"/>
      <c r="E490" s="72"/>
      <c r="F490" s="71"/>
      <c r="G490" s="71"/>
      <c r="H490" s="60"/>
      <c r="I490" s="60"/>
      <c r="J490" s="69"/>
      <c r="K490" s="69"/>
      <c r="L490" s="70"/>
      <c r="M490" s="72"/>
      <c r="N490" s="71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</row>
    <row r="491" spans="1:27" ht="18" customHeight="1">
      <c r="A491" s="61"/>
      <c r="B491" s="60"/>
      <c r="C491" s="69"/>
      <c r="D491" s="70"/>
      <c r="E491" s="72"/>
      <c r="F491" s="71"/>
      <c r="G491" s="71"/>
      <c r="H491" s="60"/>
      <c r="I491" s="60"/>
      <c r="J491" s="69"/>
      <c r="K491" s="69"/>
      <c r="L491" s="70"/>
      <c r="M491" s="72"/>
      <c r="N491" s="71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</row>
    <row r="492" spans="1:27" ht="18" customHeight="1">
      <c r="A492" s="61"/>
      <c r="B492" s="60"/>
      <c r="C492" s="69"/>
      <c r="D492" s="70"/>
      <c r="E492" s="72"/>
      <c r="F492" s="71"/>
      <c r="G492" s="71"/>
      <c r="H492" s="60"/>
      <c r="I492" s="60"/>
      <c r="J492" s="69"/>
      <c r="K492" s="69"/>
      <c r="L492" s="70"/>
      <c r="M492" s="72"/>
      <c r="N492" s="71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</row>
    <row r="493" spans="1:27" ht="18" customHeight="1">
      <c r="A493" s="61"/>
      <c r="B493" s="60"/>
      <c r="C493" s="69"/>
      <c r="D493" s="70"/>
      <c r="E493" s="72"/>
      <c r="F493" s="71"/>
      <c r="G493" s="71"/>
      <c r="H493" s="60"/>
      <c r="I493" s="60"/>
      <c r="J493" s="69"/>
      <c r="K493" s="69"/>
      <c r="L493" s="70"/>
      <c r="M493" s="72"/>
      <c r="N493" s="71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</row>
    <row r="494" spans="1:27" ht="18" customHeight="1">
      <c r="A494" s="61"/>
      <c r="B494" s="60"/>
      <c r="C494" s="69"/>
      <c r="D494" s="70"/>
      <c r="E494" s="72"/>
      <c r="F494" s="71"/>
      <c r="G494" s="71"/>
      <c r="H494" s="60"/>
      <c r="I494" s="60"/>
      <c r="J494" s="69"/>
      <c r="K494" s="69"/>
      <c r="L494" s="70"/>
      <c r="M494" s="72"/>
      <c r="N494" s="71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</row>
    <row r="495" spans="1:27" ht="18" customHeight="1">
      <c r="A495" s="61"/>
      <c r="B495" s="60"/>
      <c r="C495" s="69"/>
      <c r="D495" s="70"/>
      <c r="E495" s="72"/>
      <c r="F495" s="71"/>
      <c r="G495" s="71"/>
      <c r="H495" s="60"/>
      <c r="I495" s="60"/>
      <c r="J495" s="69"/>
      <c r="K495" s="69"/>
      <c r="L495" s="70"/>
      <c r="M495" s="72"/>
      <c r="N495" s="71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</row>
    <row r="496" spans="1:27" ht="18" customHeight="1">
      <c r="A496" s="61"/>
      <c r="B496" s="60"/>
      <c r="C496" s="69"/>
      <c r="D496" s="70"/>
      <c r="E496" s="72"/>
      <c r="F496" s="71"/>
      <c r="G496" s="71"/>
      <c r="H496" s="60"/>
      <c r="I496" s="60"/>
      <c r="J496" s="69"/>
      <c r="K496" s="69"/>
      <c r="L496" s="70"/>
      <c r="M496" s="72"/>
      <c r="N496" s="71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</row>
    <row r="497" spans="1:27" ht="18" customHeight="1">
      <c r="A497" s="61"/>
      <c r="B497" s="60"/>
      <c r="C497" s="69"/>
      <c r="D497" s="70"/>
      <c r="E497" s="72"/>
      <c r="F497" s="71"/>
      <c r="G497" s="71"/>
      <c r="H497" s="60"/>
      <c r="I497" s="60"/>
      <c r="J497" s="69"/>
      <c r="K497" s="69"/>
      <c r="L497" s="70"/>
      <c r="M497" s="72"/>
      <c r="N497" s="71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</row>
    <row r="498" spans="1:27" ht="18" customHeight="1">
      <c r="A498" s="61"/>
      <c r="B498" s="60"/>
      <c r="C498" s="69"/>
      <c r="D498" s="70"/>
      <c r="E498" s="72"/>
      <c r="F498" s="71"/>
      <c r="G498" s="71"/>
      <c r="H498" s="60"/>
      <c r="I498" s="60"/>
      <c r="J498" s="69"/>
      <c r="K498" s="69"/>
      <c r="L498" s="70"/>
      <c r="M498" s="72"/>
      <c r="N498" s="71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</row>
    <row r="499" spans="1:27" ht="18" customHeight="1">
      <c r="A499" s="61"/>
      <c r="B499" s="60"/>
      <c r="C499" s="69"/>
      <c r="D499" s="70"/>
      <c r="E499" s="72"/>
      <c r="F499" s="71"/>
      <c r="G499" s="71"/>
      <c r="H499" s="60"/>
      <c r="I499" s="60"/>
      <c r="J499" s="69"/>
      <c r="K499" s="69"/>
      <c r="L499" s="70"/>
      <c r="M499" s="72"/>
      <c r="N499" s="71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</row>
    <row r="500" spans="1:27" ht="18" customHeight="1">
      <c r="A500" s="61"/>
      <c r="B500" s="60"/>
      <c r="C500" s="69"/>
      <c r="D500" s="70"/>
      <c r="E500" s="72"/>
      <c r="F500" s="71"/>
      <c r="G500" s="71"/>
      <c r="H500" s="60"/>
      <c r="I500" s="60"/>
      <c r="J500" s="69"/>
      <c r="K500" s="69"/>
      <c r="L500" s="70"/>
      <c r="M500" s="72"/>
      <c r="N500" s="71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</row>
    <row r="501" spans="1:27" ht="18" customHeight="1">
      <c r="A501" s="61"/>
      <c r="B501" s="60"/>
      <c r="C501" s="69"/>
      <c r="D501" s="70"/>
      <c r="E501" s="72"/>
      <c r="F501" s="71"/>
      <c r="G501" s="71"/>
      <c r="H501" s="60"/>
      <c r="I501" s="60"/>
      <c r="J501" s="69"/>
      <c r="K501" s="69"/>
      <c r="L501" s="70"/>
      <c r="M501" s="72"/>
      <c r="N501" s="71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</row>
    <row r="502" spans="1:27" ht="18" customHeight="1">
      <c r="A502" s="61"/>
      <c r="B502" s="60"/>
      <c r="C502" s="69"/>
      <c r="D502" s="70"/>
      <c r="E502" s="72"/>
      <c r="F502" s="71"/>
      <c r="G502" s="71"/>
      <c r="H502" s="60"/>
      <c r="I502" s="60"/>
      <c r="J502" s="69"/>
      <c r="K502" s="69"/>
      <c r="L502" s="70"/>
      <c r="M502" s="72"/>
      <c r="N502" s="71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</row>
    <row r="503" spans="1:27" ht="18" customHeight="1">
      <c r="A503" s="61"/>
      <c r="B503" s="60"/>
      <c r="C503" s="69"/>
      <c r="D503" s="70"/>
      <c r="E503" s="72"/>
      <c r="F503" s="71"/>
      <c r="G503" s="71"/>
      <c r="H503" s="60"/>
      <c r="I503" s="60"/>
      <c r="J503" s="69"/>
      <c r="K503" s="69"/>
      <c r="L503" s="70"/>
      <c r="M503" s="72"/>
      <c r="N503" s="71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</row>
    <row r="504" spans="1:27" ht="18" customHeight="1">
      <c r="A504" s="61"/>
      <c r="B504" s="60"/>
      <c r="C504" s="69"/>
      <c r="D504" s="70"/>
      <c r="E504" s="72"/>
      <c r="F504" s="71"/>
      <c r="G504" s="71"/>
      <c r="H504" s="60"/>
      <c r="I504" s="60"/>
      <c r="J504" s="69"/>
      <c r="K504" s="69"/>
      <c r="L504" s="70"/>
      <c r="M504" s="72"/>
      <c r="N504" s="71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</row>
    <row r="505" spans="1:27" ht="18" customHeight="1">
      <c r="A505" s="61"/>
      <c r="B505" s="60"/>
      <c r="C505" s="69"/>
      <c r="D505" s="70"/>
      <c r="E505" s="72"/>
      <c r="F505" s="71"/>
      <c r="G505" s="71"/>
      <c r="H505" s="60"/>
      <c r="I505" s="60"/>
      <c r="J505" s="69"/>
      <c r="K505" s="69"/>
      <c r="L505" s="70"/>
      <c r="M505" s="72"/>
      <c r="N505" s="71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</row>
    <row r="506" spans="1:27" ht="18" customHeight="1">
      <c r="A506" s="61"/>
      <c r="B506" s="60"/>
      <c r="C506" s="69"/>
      <c r="D506" s="70"/>
      <c r="E506" s="72"/>
      <c r="F506" s="71"/>
      <c r="G506" s="71"/>
      <c r="H506" s="60"/>
      <c r="I506" s="60"/>
      <c r="J506" s="69"/>
      <c r="K506" s="69"/>
      <c r="L506" s="70"/>
      <c r="M506" s="72"/>
      <c r="N506" s="71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</row>
    <row r="507" spans="1:27" ht="18" customHeight="1">
      <c r="A507" s="61"/>
      <c r="B507" s="60"/>
      <c r="C507" s="69"/>
      <c r="D507" s="70"/>
      <c r="E507" s="72"/>
      <c r="F507" s="71"/>
      <c r="G507" s="71"/>
      <c r="H507" s="60"/>
      <c r="I507" s="60"/>
      <c r="J507" s="69"/>
      <c r="K507" s="69"/>
      <c r="L507" s="70"/>
      <c r="M507" s="72"/>
      <c r="N507" s="71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</row>
    <row r="508" spans="1:27" ht="18" customHeight="1">
      <c r="A508" s="61"/>
      <c r="B508" s="60"/>
      <c r="C508" s="69"/>
      <c r="D508" s="70"/>
      <c r="E508" s="72"/>
      <c r="F508" s="71"/>
      <c r="G508" s="71"/>
      <c r="H508" s="60"/>
      <c r="I508" s="60"/>
      <c r="J508" s="69"/>
      <c r="K508" s="69"/>
      <c r="L508" s="70"/>
      <c r="M508" s="72"/>
      <c r="N508" s="71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</row>
    <row r="509" spans="1:27" ht="18" customHeight="1">
      <c r="A509" s="61"/>
      <c r="B509" s="60"/>
      <c r="C509" s="69"/>
      <c r="D509" s="70"/>
      <c r="E509" s="72"/>
      <c r="F509" s="71"/>
      <c r="G509" s="71"/>
      <c r="H509" s="60"/>
      <c r="I509" s="60"/>
      <c r="J509" s="69"/>
      <c r="K509" s="69"/>
      <c r="L509" s="70"/>
      <c r="M509" s="72"/>
      <c r="N509" s="71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</row>
    <row r="510" spans="1:27" ht="18" customHeight="1">
      <c r="A510" s="61"/>
      <c r="B510" s="60"/>
      <c r="C510" s="69"/>
      <c r="D510" s="70"/>
      <c r="E510" s="72"/>
      <c r="F510" s="71"/>
      <c r="G510" s="71"/>
      <c r="H510" s="60"/>
      <c r="I510" s="60"/>
      <c r="J510" s="69"/>
      <c r="K510" s="69"/>
      <c r="L510" s="70"/>
      <c r="M510" s="72"/>
      <c r="N510" s="71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</row>
    <row r="511" spans="1:27" ht="18" customHeight="1">
      <c r="A511" s="61"/>
      <c r="B511" s="60"/>
      <c r="C511" s="69"/>
      <c r="D511" s="70"/>
      <c r="E511" s="72"/>
      <c r="F511" s="71"/>
      <c r="G511" s="71"/>
      <c r="H511" s="60"/>
      <c r="I511" s="60"/>
      <c r="J511" s="69"/>
      <c r="K511" s="69"/>
      <c r="L511" s="70"/>
      <c r="M511" s="72"/>
      <c r="N511" s="71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</row>
    <row r="512" spans="1:27" ht="18" customHeight="1">
      <c r="A512" s="61"/>
      <c r="B512" s="60"/>
      <c r="C512" s="69"/>
      <c r="D512" s="70"/>
      <c r="E512" s="72"/>
      <c r="F512" s="71"/>
      <c r="G512" s="71"/>
      <c r="H512" s="60"/>
      <c r="I512" s="60"/>
      <c r="J512" s="69"/>
      <c r="K512" s="69"/>
      <c r="L512" s="70"/>
      <c r="M512" s="72"/>
      <c r="N512" s="71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</row>
    <row r="513" spans="1:27" ht="18" customHeight="1">
      <c r="A513" s="61"/>
      <c r="B513" s="60"/>
      <c r="C513" s="69"/>
      <c r="D513" s="70"/>
      <c r="E513" s="72"/>
      <c r="F513" s="71"/>
      <c r="G513" s="71"/>
      <c r="H513" s="60"/>
      <c r="I513" s="60"/>
      <c r="J513" s="69"/>
      <c r="K513" s="69"/>
      <c r="L513" s="70"/>
      <c r="M513" s="72"/>
      <c r="N513" s="71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</row>
    <row r="514" spans="1:27" ht="18" customHeight="1">
      <c r="A514" s="61"/>
      <c r="B514" s="60"/>
      <c r="C514" s="69"/>
      <c r="D514" s="70"/>
      <c r="E514" s="72"/>
      <c r="F514" s="71"/>
      <c r="G514" s="71"/>
      <c r="H514" s="60"/>
      <c r="I514" s="60"/>
      <c r="J514" s="69"/>
      <c r="K514" s="69"/>
      <c r="L514" s="70"/>
      <c r="M514" s="72"/>
      <c r="N514" s="71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</row>
    <row r="515" spans="1:27" ht="18" customHeight="1">
      <c r="A515" s="61"/>
      <c r="B515" s="60"/>
      <c r="C515" s="69"/>
      <c r="D515" s="70"/>
      <c r="E515" s="72"/>
      <c r="F515" s="71"/>
      <c r="G515" s="71"/>
      <c r="H515" s="60"/>
      <c r="I515" s="60"/>
      <c r="J515" s="69"/>
      <c r="K515" s="69"/>
      <c r="L515" s="70"/>
      <c r="M515" s="72"/>
      <c r="N515" s="71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</row>
    <row r="516" spans="1:27" ht="18" customHeight="1">
      <c r="A516" s="61"/>
      <c r="B516" s="60"/>
      <c r="C516" s="69"/>
      <c r="D516" s="70"/>
      <c r="E516" s="72"/>
      <c r="F516" s="71"/>
      <c r="G516" s="71"/>
      <c r="H516" s="60"/>
      <c r="I516" s="60"/>
      <c r="J516" s="69"/>
      <c r="K516" s="69"/>
      <c r="L516" s="70"/>
      <c r="M516" s="72"/>
      <c r="N516" s="71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</row>
    <row r="517" spans="1:27" ht="18" customHeight="1">
      <c r="A517" s="61"/>
      <c r="B517" s="60"/>
      <c r="C517" s="69"/>
      <c r="D517" s="70"/>
      <c r="E517" s="72"/>
      <c r="F517" s="71"/>
      <c r="G517" s="71"/>
      <c r="H517" s="60"/>
      <c r="I517" s="60"/>
      <c r="J517" s="69"/>
      <c r="K517" s="69"/>
      <c r="L517" s="70"/>
      <c r="M517" s="72"/>
      <c r="N517" s="71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</row>
    <row r="518" spans="1:27" ht="18" customHeight="1">
      <c r="A518" s="61"/>
      <c r="B518" s="60"/>
      <c r="C518" s="69"/>
      <c r="D518" s="70"/>
      <c r="E518" s="72"/>
      <c r="F518" s="71"/>
      <c r="G518" s="71"/>
      <c r="H518" s="60"/>
      <c r="I518" s="60"/>
      <c r="J518" s="69"/>
      <c r="K518" s="69"/>
      <c r="L518" s="70"/>
      <c r="M518" s="72"/>
      <c r="N518" s="71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</row>
    <row r="519" spans="1:27" ht="18" customHeight="1">
      <c r="A519" s="61"/>
      <c r="B519" s="60"/>
      <c r="C519" s="69"/>
      <c r="D519" s="70"/>
      <c r="E519" s="72"/>
      <c r="F519" s="71"/>
      <c r="G519" s="71"/>
      <c r="H519" s="60"/>
      <c r="I519" s="60"/>
      <c r="J519" s="69"/>
      <c r="K519" s="69"/>
      <c r="L519" s="70"/>
      <c r="M519" s="72"/>
      <c r="N519" s="71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</row>
    <row r="520" spans="1:27" ht="18" customHeight="1">
      <c r="A520" s="61"/>
      <c r="B520" s="60"/>
      <c r="C520" s="69"/>
      <c r="D520" s="70"/>
      <c r="E520" s="72"/>
      <c r="F520" s="71"/>
      <c r="G520" s="71"/>
      <c r="H520" s="60"/>
      <c r="I520" s="60"/>
      <c r="J520" s="69"/>
      <c r="K520" s="69"/>
      <c r="L520" s="70"/>
      <c r="M520" s="72"/>
      <c r="N520" s="71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</row>
    <row r="521" spans="1:27" ht="18" customHeight="1">
      <c r="A521" s="61"/>
      <c r="B521" s="60"/>
      <c r="C521" s="69"/>
      <c r="D521" s="70"/>
      <c r="E521" s="72"/>
      <c r="F521" s="71"/>
      <c r="G521" s="71"/>
      <c r="H521" s="60"/>
      <c r="I521" s="60"/>
      <c r="J521" s="69"/>
      <c r="K521" s="69"/>
      <c r="L521" s="70"/>
      <c r="M521" s="72"/>
      <c r="N521" s="71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</row>
    <row r="522" spans="1:27" ht="18" customHeight="1">
      <c r="A522" s="61"/>
      <c r="B522" s="60"/>
      <c r="C522" s="69"/>
      <c r="D522" s="70"/>
      <c r="E522" s="72"/>
      <c r="F522" s="71"/>
      <c r="G522" s="71"/>
      <c r="H522" s="60"/>
      <c r="I522" s="60"/>
      <c r="J522" s="69"/>
      <c r="K522" s="69"/>
      <c r="L522" s="70"/>
      <c r="M522" s="72"/>
      <c r="N522" s="71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</row>
    <row r="523" spans="1:27" ht="18" customHeight="1">
      <c r="A523" s="61"/>
      <c r="B523" s="60"/>
      <c r="C523" s="69"/>
      <c r="D523" s="70"/>
      <c r="E523" s="72"/>
      <c r="F523" s="71"/>
      <c r="G523" s="71"/>
      <c r="H523" s="60"/>
      <c r="I523" s="60"/>
      <c r="J523" s="69"/>
      <c r="K523" s="69"/>
      <c r="L523" s="70"/>
      <c r="M523" s="72"/>
      <c r="N523" s="71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</row>
    <row r="524" spans="1:27" ht="18" customHeight="1">
      <c r="A524" s="61"/>
      <c r="B524" s="60"/>
      <c r="C524" s="69"/>
      <c r="D524" s="70"/>
      <c r="E524" s="72"/>
      <c r="F524" s="71"/>
      <c r="G524" s="71"/>
      <c r="H524" s="60"/>
      <c r="I524" s="60"/>
      <c r="J524" s="69"/>
      <c r="K524" s="69"/>
      <c r="L524" s="70"/>
      <c r="M524" s="72"/>
      <c r="N524" s="71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</row>
    <row r="525" spans="1:27" ht="18" customHeight="1">
      <c r="A525" s="61"/>
      <c r="B525" s="60"/>
      <c r="C525" s="69"/>
      <c r="D525" s="70"/>
      <c r="E525" s="72"/>
      <c r="F525" s="71"/>
      <c r="G525" s="71"/>
      <c r="H525" s="60"/>
      <c r="I525" s="60"/>
      <c r="J525" s="69"/>
      <c r="K525" s="69"/>
      <c r="L525" s="70"/>
      <c r="M525" s="72"/>
      <c r="N525" s="71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</row>
    <row r="526" spans="1:27" ht="18" customHeight="1">
      <c r="A526" s="61"/>
      <c r="B526" s="60"/>
      <c r="C526" s="69"/>
      <c r="D526" s="70"/>
      <c r="E526" s="72"/>
      <c r="F526" s="71"/>
      <c r="G526" s="71"/>
      <c r="H526" s="60"/>
      <c r="I526" s="60"/>
      <c r="J526" s="69"/>
      <c r="K526" s="69"/>
      <c r="L526" s="70"/>
      <c r="M526" s="72"/>
      <c r="N526" s="71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</row>
    <row r="527" spans="1:27" ht="18" customHeight="1">
      <c r="A527" s="61"/>
      <c r="B527" s="60"/>
      <c r="C527" s="69"/>
      <c r="D527" s="70"/>
      <c r="E527" s="72"/>
      <c r="F527" s="71"/>
      <c r="G527" s="71"/>
      <c r="H527" s="60"/>
      <c r="I527" s="60"/>
      <c r="J527" s="69"/>
      <c r="K527" s="69"/>
      <c r="L527" s="70"/>
      <c r="M527" s="72"/>
      <c r="N527" s="71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</row>
    <row r="528" spans="1:27" ht="18" customHeight="1">
      <c r="A528" s="61"/>
      <c r="B528" s="60"/>
      <c r="C528" s="69"/>
      <c r="D528" s="70"/>
      <c r="E528" s="72"/>
      <c r="F528" s="71"/>
      <c r="G528" s="71"/>
      <c r="H528" s="60"/>
      <c r="I528" s="60"/>
      <c r="J528" s="69"/>
      <c r="K528" s="69"/>
      <c r="L528" s="70"/>
      <c r="M528" s="72"/>
      <c r="N528" s="71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</row>
    <row r="529" spans="1:27" ht="18" customHeight="1">
      <c r="A529" s="61"/>
      <c r="B529" s="60"/>
      <c r="C529" s="69"/>
      <c r="D529" s="70"/>
      <c r="E529" s="72"/>
      <c r="F529" s="71"/>
      <c r="G529" s="71"/>
      <c r="H529" s="60"/>
      <c r="I529" s="60"/>
      <c r="J529" s="69"/>
      <c r="K529" s="69"/>
      <c r="L529" s="70"/>
      <c r="M529" s="72"/>
      <c r="N529" s="71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</row>
    <row r="530" spans="1:27" ht="18" customHeight="1">
      <c r="A530" s="61"/>
      <c r="B530" s="60"/>
      <c r="C530" s="69"/>
      <c r="D530" s="70"/>
      <c r="E530" s="72"/>
      <c r="F530" s="71"/>
      <c r="G530" s="71"/>
      <c r="H530" s="60"/>
      <c r="I530" s="60"/>
      <c r="J530" s="69"/>
      <c r="K530" s="69"/>
      <c r="L530" s="70"/>
      <c r="M530" s="72"/>
      <c r="N530" s="71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</row>
    <row r="531" spans="1:27" ht="18" customHeight="1">
      <c r="A531" s="61"/>
      <c r="B531" s="60"/>
      <c r="C531" s="69"/>
      <c r="D531" s="70"/>
      <c r="E531" s="72"/>
      <c r="F531" s="71"/>
      <c r="G531" s="71"/>
      <c r="H531" s="60"/>
      <c r="I531" s="60"/>
      <c r="J531" s="69"/>
      <c r="K531" s="69"/>
      <c r="L531" s="70"/>
      <c r="M531" s="72"/>
      <c r="N531" s="71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</row>
    <row r="532" spans="1:27" ht="18" customHeight="1">
      <c r="A532" s="61"/>
      <c r="B532" s="60"/>
      <c r="C532" s="69"/>
      <c r="D532" s="70"/>
      <c r="E532" s="72"/>
      <c r="F532" s="71"/>
      <c r="G532" s="71"/>
      <c r="H532" s="60"/>
      <c r="I532" s="60"/>
      <c r="J532" s="69"/>
      <c r="K532" s="69"/>
      <c r="L532" s="70"/>
      <c r="M532" s="72"/>
      <c r="N532" s="71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</row>
    <row r="533" spans="1:27" ht="18" customHeight="1">
      <c r="A533" s="61"/>
      <c r="B533" s="60"/>
      <c r="C533" s="69"/>
      <c r="D533" s="70"/>
      <c r="E533" s="72"/>
      <c r="F533" s="71"/>
      <c r="G533" s="71"/>
      <c r="H533" s="60"/>
      <c r="I533" s="60"/>
      <c r="J533" s="69"/>
      <c r="K533" s="69"/>
      <c r="L533" s="70"/>
      <c r="M533" s="72"/>
      <c r="N533" s="71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</row>
    <row r="534" spans="1:27" ht="18" customHeight="1">
      <c r="A534" s="61"/>
      <c r="B534" s="60"/>
      <c r="C534" s="69"/>
      <c r="D534" s="70"/>
      <c r="E534" s="72"/>
      <c r="F534" s="71"/>
      <c r="G534" s="71"/>
      <c r="H534" s="60"/>
      <c r="I534" s="60"/>
      <c r="J534" s="69"/>
      <c r="K534" s="69"/>
      <c r="L534" s="70"/>
      <c r="M534" s="72"/>
      <c r="N534" s="71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</row>
    <row r="535" spans="1:27" ht="18" customHeight="1">
      <c r="A535" s="61"/>
      <c r="B535" s="60"/>
      <c r="C535" s="69"/>
      <c r="D535" s="70"/>
      <c r="E535" s="72"/>
      <c r="F535" s="71"/>
      <c r="G535" s="71"/>
      <c r="H535" s="60"/>
      <c r="I535" s="60"/>
      <c r="J535" s="69"/>
      <c r="K535" s="69"/>
      <c r="L535" s="70"/>
      <c r="M535" s="72"/>
      <c r="N535" s="71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</row>
    <row r="536" spans="1:27" ht="18" customHeight="1">
      <c r="A536" s="61"/>
      <c r="B536" s="60"/>
      <c r="C536" s="69"/>
      <c r="D536" s="70"/>
      <c r="E536" s="72"/>
      <c r="F536" s="71"/>
      <c r="G536" s="71"/>
      <c r="H536" s="60"/>
      <c r="I536" s="60"/>
      <c r="J536" s="69"/>
      <c r="K536" s="69"/>
      <c r="L536" s="70"/>
      <c r="M536" s="72"/>
      <c r="N536" s="71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</row>
    <row r="537" spans="1:27" ht="18" customHeight="1">
      <c r="A537" s="61"/>
      <c r="B537" s="60"/>
      <c r="C537" s="69"/>
      <c r="D537" s="70"/>
      <c r="E537" s="72"/>
      <c r="F537" s="71"/>
      <c r="G537" s="71"/>
      <c r="H537" s="60"/>
      <c r="I537" s="60"/>
      <c r="J537" s="69"/>
      <c r="K537" s="69"/>
      <c r="L537" s="70"/>
      <c r="M537" s="72"/>
      <c r="N537" s="71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</row>
    <row r="538" spans="1:27" ht="18" customHeight="1">
      <c r="A538" s="61"/>
      <c r="B538" s="60"/>
      <c r="C538" s="69"/>
      <c r="D538" s="70"/>
      <c r="E538" s="72"/>
      <c r="F538" s="71"/>
      <c r="G538" s="71"/>
      <c r="H538" s="60"/>
      <c r="I538" s="60"/>
      <c r="J538" s="69"/>
      <c r="K538" s="69"/>
      <c r="L538" s="70"/>
      <c r="M538" s="72"/>
      <c r="N538" s="71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</row>
    <row r="539" spans="1:27" ht="18" customHeight="1">
      <c r="A539" s="61"/>
      <c r="B539" s="60"/>
      <c r="C539" s="69"/>
      <c r="D539" s="70"/>
      <c r="E539" s="72"/>
      <c r="F539" s="71"/>
      <c r="G539" s="71"/>
      <c r="H539" s="60"/>
      <c r="I539" s="60"/>
      <c r="J539" s="69"/>
      <c r="K539" s="69"/>
      <c r="L539" s="70"/>
      <c r="M539" s="72"/>
      <c r="N539" s="71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</row>
    <row r="540" spans="1:27" ht="18" customHeight="1">
      <c r="A540" s="61"/>
      <c r="B540" s="60"/>
      <c r="C540" s="69"/>
      <c r="D540" s="70"/>
      <c r="E540" s="72"/>
      <c r="F540" s="71"/>
      <c r="G540" s="71"/>
      <c r="H540" s="60"/>
      <c r="I540" s="60"/>
      <c r="J540" s="69"/>
      <c r="K540" s="69"/>
      <c r="L540" s="70"/>
      <c r="M540" s="72"/>
      <c r="N540" s="71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</row>
    <row r="541" spans="1:27" ht="18" customHeight="1">
      <c r="A541" s="61"/>
      <c r="B541" s="60"/>
      <c r="C541" s="69"/>
      <c r="D541" s="70"/>
      <c r="E541" s="72"/>
      <c r="F541" s="71"/>
      <c r="G541" s="71"/>
      <c r="H541" s="60"/>
      <c r="I541" s="60"/>
      <c r="J541" s="69"/>
      <c r="K541" s="69"/>
      <c r="L541" s="70"/>
      <c r="M541" s="72"/>
      <c r="N541" s="71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</row>
    <row r="542" spans="1:27" ht="18" customHeight="1">
      <c r="A542" s="61"/>
      <c r="B542" s="60"/>
      <c r="C542" s="69"/>
      <c r="D542" s="70"/>
      <c r="E542" s="72"/>
      <c r="F542" s="71"/>
      <c r="G542" s="71"/>
      <c r="H542" s="60"/>
      <c r="I542" s="60"/>
      <c r="J542" s="69"/>
      <c r="K542" s="69"/>
      <c r="L542" s="70"/>
      <c r="M542" s="72"/>
      <c r="N542" s="71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</row>
    <row r="543" spans="1:27" ht="18" customHeight="1">
      <c r="A543" s="61"/>
      <c r="B543" s="60"/>
      <c r="C543" s="69"/>
      <c r="D543" s="70"/>
      <c r="E543" s="72"/>
      <c r="F543" s="71"/>
      <c r="G543" s="71"/>
      <c r="H543" s="60"/>
      <c r="I543" s="60"/>
      <c r="J543" s="69"/>
      <c r="K543" s="69"/>
      <c r="L543" s="70"/>
      <c r="M543" s="72"/>
      <c r="N543" s="71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</row>
    <row r="544" spans="1:27" ht="18" customHeight="1">
      <c r="A544" s="61"/>
      <c r="B544" s="60"/>
      <c r="C544" s="69"/>
      <c r="D544" s="70"/>
      <c r="E544" s="72"/>
      <c r="F544" s="71"/>
      <c r="G544" s="71"/>
      <c r="H544" s="60"/>
      <c r="I544" s="60"/>
      <c r="J544" s="69"/>
      <c r="K544" s="69"/>
      <c r="L544" s="70"/>
      <c r="M544" s="72"/>
      <c r="N544" s="71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</row>
    <row r="545" spans="1:27" ht="18" customHeight="1">
      <c r="A545" s="61"/>
      <c r="B545" s="60"/>
      <c r="C545" s="69"/>
      <c r="D545" s="70"/>
      <c r="E545" s="72"/>
      <c r="F545" s="71"/>
      <c r="G545" s="71"/>
      <c r="H545" s="60"/>
      <c r="I545" s="60"/>
      <c r="J545" s="69"/>
      <c r="K545" s="69"/>
      <c r="L545" s="70"/>
      <c r="M545" s="72"/>
      <c r="N545" s="71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</row>
    <row r="546" spans="1:27" ht="18" customHeight="1">
      <c r="A546" s="61"/>
      <c r="B546" s="60"/>
      <c r="C546" s="69"/>
      <c r="D546" s="70"/>
      <c r="E546" s="72"/>
      <c r="F546" s="71"/>
      <c r="G546" s="71"/>
      <c r="H546" s="60"/>
      <c r="I546" s="60"/>
      <c r="J546" s="69"/>
      <c r="K546" s="69"/>
      <c r="L546" s="70"/>
      <c r="M546" s="72"/>
      <c r="N546" s="71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</row>
    <row r="547" spans="1:27" ht="18" customHeight="1">
      <c r="A547" s="61"/>
      <c r="B547" s="60"/>
      <c r="C547" s="69"/>
      <c r="D547" s="70"/>
      <c r="E547" s="72"/>
      <c r="F547" s="71"/>
      <c r="G547" s="71"/>
      <c r="H547" s="60"/>
      <c r="I547" s="60"/>
      <c r="J547" s="69"/>
      <c r="K547" s="69"/>
      <c r="L547" s="70"/>
      <c r="M547" s="72"/>
      <c r="N547" s="71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</row>
    <row r="548" spans="1:27" ht="18" customHeight="1">
      <c r="A548" s="61"/>
      <c r="B548" s="60"/>
      <c r="C548" s="69"/>
      <c r="D548" s="70"/>
      <c r="E548" s="72"/>
      <c r="F548" s="71"/>
      <c r="G548" s="71"/>
      <c r="H548" s="60"/>
      <c r="I548" s="60"/>
      <c r="J548" s="69"/>
      <c r="K548" s="69"/>
      <c r="L548" s="70"/>
      <c r="M548" s="72"/>
      <c r="N548" s="71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</row>
    <row r="549" spans="1:27" ht="18" customHeight="1">
      <c r="A549" s="61"/>
      <c r="B549" s="60"/>
      <c r="C549" s="69"/>
      <c r="D549" s="70"/>
      <c r="E549" s="72"/>
      <c r="F549" s="71"/>
      <c r="G549" s="71"/>
      <c r="H549" s="60"/>
      <c r="I549" s="60"/>
      <c r="J549" s="69"/>
      <c r="K549" s="69"/>
      <c r="L549" s="70"/>
      <c r="M549" s="72"/>
      <c r="N549" s="71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</row>
    <row r="550" spans="1:27" ht="18" customHeight="1">
      <c r="A550" s="61"/>
      <c r="B550" s="60"/>
      <c r="C550" s="69"/>
      <c r="D550" s="70"/>
      <c r="E550" s="72"/>
      <c r="F550" s="71"/>
      <c r="G550" s="71"/>
      <c r="H550" s="60"/>
      <c r="I550" s="60"/>
      <c r="J550" s="69"/>
      <c r="K550" s="69"/>
      <c r="L550" s="70"/>
      <c r="M550" s="72"/>
      <c r="N550" s="71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</row>
    <row r="551" spans="1:27" ht="18" customHeight="1">
      <c r="A551" s="61"/>
      <c r="B551" s="60"/>
      <c r="C551" s="69"/>
      <c r="D551" s="70"/>
      <c r="E551" s="72"/>
      <c r="F551" s="71"/>
      <c r="G551" s="71"/>
      <c r="H551" s="60"/>
      <c r="I551" s="60"/>
      <c r="J551" s="69"/>
      <c r="K551" s="69"/>
      <c r="L551" s="70"/>
      <c r="M551" s="72"/>
      <c r="N551" s="71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</row>
    <row r="552" spans="1:27" ht="18" customHeight="1">
      <c r="A552" s="61"/>
      <c r="B552" s="60"/>
      <c r="C552" s="69"/>
      <c r="D552" s="70"/>
      <c r="E552" s="72"/>
      <c r="F552" s="71"/>
      <c r="G552" s="71"/>
      <c r="H552" s="60"/>
      <c r="I552" s="60"/>
      <c r="J552" s="69"/>
      <c r="K552" s="69"/>
      <c r="L552" s="70"/>
      <c r="M552" s="72"/>
      <c r="N552" s="71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</row>
    <row r="553" spans="1:27" ht="18" customHeight="1">
      <c r="A553" s="61"/>
      <c r="B553" s="60"/>
      <c r="C553" s="69"/>
      <c r="D553" s="70"/>
      <c r="E553" s="72"/>
      <c r="F553" s="71"/>
      <c r="G553" s="71"/>
      <c r="H553" s="60"/>
      <c r="I553" s="60"/>
      <c r="J553" s="69"/>
      <c r="K553" s="69"/>
      <c r="L553" s="70"/>
      <c r="M553" s="72"/>
      <c r="N553" s="71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</row>
    <row r="554" spans="1:27" ht="18" customHeight="1">
      <c r="A554" s="61"/>
      <c r="B554" s="60"/>
      <c r="C554" s="69"/>
      <c r="D554" s="70"/>
      <c r="E554" s="72"/>
      <c r="F554" s="71"/>
      <c r="G554" s="71"/>
      <c r="H554" s="60"/>
      <c r="I554" s="60"/>
      <c r="J554" s="69"/>
      <c r="K554" s="69"/>
      <c r="L554" s="70"/>
      <c r="M554" s="72"/>
      <c r="N554" s="71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</row>
    <row r="555" spans="1:27" ht="18" customHeight="1">
      <c r="A555" s="61"/>
      <c r="B555" s="60"/>
      <c r="C555" s="69"/>
      <c r="D555" s="70"/>
      <c r="E555" s="72"/>
      <c r="F555" s="71"/>
      <c r="G555" s="71"/>
      <c r="H555" s="60"/>
      <c r="I555" s="60"/>
      <c r="J555" s="69"/>
      <c r="K555" s="69"/>
      <c r="L555" s="70"/>
      <c r="M555" s="72"/>
      <c r="N555" s="71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</row>
    <row r="556" spans="1:27" ht="18" customHeight="1">
      <c r="A556" s="61"/>
      <c r="B556" s="60"/>
      <c r="C556" s="69"/>
      <c r="D556" s="70"/>
      <c r="E556" s="72"/>
      <c r="F556" s="71"/>
      <c r="G556" s="71"/>
      <c r="H556" s="60"/>
      <c r="I556" s="60"/>
      <c r="J556" s="69"/>
      <c r="K556" s="69"/>
      <c r="L556" s="70"/>
      <c r="M556" s="72"/>
      <c r="N556" s="71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</row>
    <row r="557" spans="1:27" ht="18" customHeight="1">
      <c r="A557" s="61"/>
      <c r="B557" s="60"/>
      <c r="C557" s="69"/>
      <c r="D557" s="70"/>
      <c r="E557" s="72"/>
      <c r="F557" s="71"/>
      <c r="G557" s="71"/>
      <c r="H557" s="60"/>
      <c r="I557" s="60"/>
      <c r="J557" s="69"/>
      <c r="K557" s="69"/>
      <c r="L557" s="70"/>
      <c r="M557" s="72"/>
      <c r="N557" s="71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</row>
    <row r="558" spans="1:27" ht="18" customHeight="1">
      <c r="A558" s="61"/>
      <c r="B558" s="60"/>
      <c r="C558" s="69"/>
      <c r="D558" s="70"/>
      <c r="E558" s="72"/>
      <c r="F558" s="71"/>
      <c r="G558" s="71"/>
      <c r="H558" s="60"/>
      <c r="I558" s="60"/>
      <c r="J558" s="69"/>
      <c r="K558" s="69"/>
      <c r="L558" s="70"/>
      <c r="M558" s="72"/>
      <c r="N558" s="71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</row>
    <row r="559" spans="1:27" ht="18" customHeight="1">
      <c r="A559" s="61"/>
      <c r="B559" s="60"/>
      <c r="C559" s="69"/>
      <c r="D559" s="70"/>
      <c r="E559" s="72"/>
      <c r="F559" s="71"/>
      <c r="G559" s="71"/>
      <c r="H559" s="60"/>
      <c r="I559" s="60"/>
      <c r="J559" s="69"/>
      <c r="K559" s="69"/>
      <c r="L559" s="70"/>
      <c r="M559" s="72"/>
      <c r="N559" s="71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</row>
    <row r="560" spans="1:27" ht="18" customHeight="1">
      <c r="A560" s="61"/>
      <c r="B560" s="60"/>
      <c r="C560" s="69"/>
      <c r="D560" s="70"/>
      <c r="E560" s="72"/>
      <c r="F560" s="71"/>
      <c r="G560" s="71"/>
      <c r="H560" s="60"/>
      <c r="I560" s="60"/>
      <c r="J560" s="69"/>
      <c r="K560" s="69"/>
      <c r="L560" s="70"/>
      <c r="M560" s="72"/>
      <c r="N560" s="71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</row>
    <row r="561" spans="1:27" ht="18" customHeight="1">
      <c r="A561" s="61"/>
      <c r="B561" s="60"/>
      <c r="C561" s="69"/>
      <c r="D561" s="70"/>
      <c r="E561" s="72"/>
      <c r="F561" s="71"/>
      <c r="G561" s="71"/>
      <c r="H561" s="60"/>
      <c r="I561" s="60"/>
      <c r="J561" s="69"/>
      <c r="K561" s="69"/>
      <c r="L561" s="70"/>
      <c r="M561" s="72"/>
      <c r="N561" s="71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</row>
    <row r="562" spans="1:27" ht="18" customHeight="1">
      <c r="A562" s="61"/>
      <c r="B562" s="60"/>
      <c r="C562" s="69"/>
      <c r="D562" s="70"/>
      <c r="E562" s="72"/>
      <c r="F562" s="71"/>
      <c r="G562" s="71"/>
      <c r="H562" s="60"/>
      <c r="I562" s="60"/>
      <c r="J562" s="69"/>
      <c r="K562" s="69"/>
      <c r="L562" s="70"/>
      <c r="M562" s="72"/>
      <c r="N562" s="71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</row>
    <row r="563" spans="1:27" ht="18" customHeight="1">
      <c r="A563" s="61"/>
      <c r="B563" s="60"/>
      <c r="C563" s="69"/>
      <c r="D563" s="70"/>
      <c r="E563" s="72"/>
      <c r="F563" s="71"/>
      <c r="G563" s="71"/>
      <c r="H563" s="60"/>
      <c r="I563" s="60"/>
      <c r="J563" s="69"/>
      <c r="K563" s="69"/>
      <c r="L563" s="70"/>
      <c r="M563" s="72"/>
      <c r="N563" s="71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</row>
    <row r="564" spans="1:27" ht="18" customHeight="1">
      <c r="A564" s="61"/>
      <c r="B564" s="60"/>
      <c r="C564" s="69"/>
      <c r="D564" s="70"/>
      <c r="E564" s="72"/>
      <c r="F564" s="71"/>
      <c r="G564" s="71"/>
      <c r="H564" s="60"/>
      <c r="I564" s="60"/>
      <c r="J564" s="69"/>
      <c r="K564" s="69"/>
      <c r="L564" s="70"/>
      <c r="M564" s="72"/>
      <c r="N564" s="71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</row>
    <row r="565" spans="1:27" ht="18" customHeight="1">
      <c r="A565" s="61"/>
      <c r="B565" s="60"/>
      <c r="C565" s="69"/>
      <c r="D565" s="70"/>
      <c r="E565" s="72"/>
      <c r="F565" s="71"/>
      <c r="G565" s="71"/>
      <c r="H565" s="60"/>
      <c r="I565" s="60"/>
      <c r="J565" s="69"/>
      <c r="K565" s="69"/>
      <c r="L565" s="70"/>
      <c r="M565" s="72"/>
      <c r="N565" s="71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</row>
    <row r="566" spans="1:27" ht="18" customHeight="1">
      <c r="A566" s="61"/>
      <c r="B566" s="60"/>
      <c r="C566" s="69"/>
      <c r="D566" s="70"/>
      <c r="E566" s="72"/>
      <c r="F566" s="71"/>
      <c r="G566" s="71"/>
      <c r="H566" s="60"/>
      <c r="I566" s="60"/>
      <c r="J566" s="69"/>
      <c r="K566" s="69"/>
      <c r="L566" s="70"/>
      <c r="M566" s="72"/>
      <c r="N566" s="71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</row>
    <row r="567" spans="1:27" ht="18" customHeight="1">
      <c r="A567" s="61"/>
      <c r="B567" s="60"/>
      <c r="C567" s="69"/>
      <c r="D567" s="70"/>
      <c r="E567" s="72"/>
      <c r="F567" s="71"/>
      <c r="G567" s="71"/>
      <c r="H567" s="60"/>
      <c r="I567" s="60"/>
      <c r="J567" s="69"/>
      <c r="K567" s="69"/>
      <c r="L567" s="70"/>
      <c r="M567" s="72"/>
      <c r="N567" s="71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</row>
    <row r="568" spans="1:27" ht="18" customHeight="1">
      <c r="A568" s="61"/>
      <c r="B568" s="60"/>
      <c r="C568" s="69"/>
      <c r="D568" s="70"/>
      <c r="E568" s="72"/>
      <c r="F568" s="71"/>
      <c r="G568" s="71"/>
      <c r="H568" s="60"/>
      <c r="I568" s="60"/>
      <c r="J568" s="69"/>
      <c r="K568" s="69"/>
      <c r="L568" s="70"/>
      <c r="M568" s="72"/>
      <c r="N568" s="71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</row>
    <row r="569" spans="1:27" ht="18" customHeight="1">
      <c r="A569" s="61"/>
      <c r="B569" s="60"/>
      <c r="C569" s="69"/>
      <c r="D569" s="70"/>
      <c r="E569" s="72"/>
      <c r="F569" s="71"/>
      <c r="G569" s="71"/>
      <c r="H569" s="60"/>
      <c r="I569" s="60"/>
      <c r="J569" s="69"/>
      <c r="K569" s="69"/>
      <c r="L569" s="70"/>
      <c r="M569" s="72"/>
      <c r="N569" s="71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</row>
    <row r="570" spans="1:27" ht="18" customHeight="1">
      <c r="A570" s="61"/>
      <c r="B570" s="60"/>
      <c r="C570" s="69"/>
      <c r="D570" s="70"/>
      <c r="E570" s="72"/>
      <c r="F570" s="71"/>
      <c r="G570" s="71"/>
      <c r="H570" s="60"/>
      <c r="I570" s="60"/>
      <c r="J570" s="69"/>
      <c r="K570" s="69"/>
      <c r="L570" s="70"/>
      <c r="M570" s="72"/>
      <c r="N570" s="71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</row>
    <row r="571" spans="1:27" ht="18" customHeight="1">
      <c r="A571" s="61"/>
      <c r="B571" s="60"/>
      <c r="C571" s="69"/>
      <c r="D571" s="70"/>
      <c r="E571" s="72"/>
      <c r="F571" s="71"/>
      <c r="G571" s="71"/>
      <c r="H571" s="60"/>
      <c r="I571" s="60"/>
      <c r="J571" s="69"/>
      <c r="K571" s="69"/>
      <c r="L571" s="70"/>
      <c r="M571" s="72"/>
      <c r="N571" s="71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</row>
    <row r="572" spans="1:27" ht="18" customHeight="1">
      <c r="A572" s="61"/>
      <c r="B572" s="60"/>
      <c r="C572" s="69"/>
      <c r="D572" s="70"/>
      <c r="E572" s="72"/>
      <c r="F572" s="71"/>
      <c r="G572" s="71"/>
      <c r="H572" s="60"/>
      <c r="I572" s="60"/>
      <c r="J572" s="69"/>
      <c r="K572" s="69"/>
      <c r="L572" s="70"/>
      <c r="M572" s="72"/>
      <c r="N572" s="71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</row>
    <row r="573" spans="1:27" ht="18" customHeight="1">
      <c r="A573" s="61"/>
      <c r="B573" s="60"/>
      <c r="C573" s="69"/>
      <c r="D573" s="70"/>
      <c r="E573" s="72"/>
      <c r="F573" s="71"/>
      <c r="G573" s="71"/>
      <c r="H573" s="60"/>
      <c r="I573" s="60"/>
      <c r="J573" s="69"/>
      <c r="K573" s="69"/>
      <c r="L573" s="70"/>
      <c r="M573" s="72"/>
      <c r="N573" s="71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</row>
    <row r="574" spans="1:27" ht="18" customHeight="1">
      <c r="A574" s="61"/>
      <c r="B574" s="60"/>
      <c r="C574" s="69"/>
      <c r="D574" s="70"/>
      <c r="E574" s="72"/>
      <c r="F574" s="71"/>
      <c r="G574" s="71"/>
      <c r="H574" s="60"/>
      <c r="I574" s="60"/>
      <c r="J574" s="69"/>
      <c r="K574" s="69"/>
      <c r="L574" s="70"/>
      <c r="M574" s="72"/>
      <c r="N574" s="71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</row>
    <row r="575" spans="1:27" ht="18" customHeight="1">
      <c r="A575" s="61"/>
      <c r="B575" s="60"/>
      <c r="C575" s="69"/>
      <c r="D575" s="70"/>
      <c r="E575" s="72"/>
      <c r="F575" s="71"/>
      <c r="G575" s="71"/>
      <c r="H575" s="60"/>
      <c r="I575" s="60"/>
      <c r="J575" s="69"/>
      <c r="K575" s="69"/>
      <c r="L575" s="70"/>
      <c r="M575" s="72"/>
      <c r="N575" s="71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</row>
    <row r="576" spans="1:27" ht="18" customHeight="1">
      <c r="A576" s="61"/>
      <c r="B576" s="60"/>
      <c r="C576" s="69"/>
      <c r="D576" s="70"/>
      <c r="E576" s="72"/>
      <c r="F576" s="71"/>
      <c r="G576" s="71"/>
      <c r="H576" s="60"/>
      <c r="I576" s="60"/>
      <c r="J576" s="69"/>
      <c r="K576" s="69"/>
      <c r="L576" s="70"/>
      <c r="M576" s="72"/>
      <c r="N576" s="71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</row>
    <row r="577" spans="1:27" ht="18" customHeight="1">
      <c r="A577" s="61"/>
      <c r="B577" s="60"/>
      <c r="C577" s="69"/>
      <c r="D577" s="70"/>
      <c r="E577" s="72"/>
      <c r="F577" s="71"/>
      <c r="G577" s="71"/>
      <c r="H577" s="60"/>
      <c r="I577" s="60"/>
      <c r="J577" s="69"/>
      <c r="K577" s="69"/>
      <c r="L577" s="70"/>
      <c r="M577" s="72"/>
      <c r="N577" s="71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</row>
    <row r="578" spans="1:27" ht="18" customHeight="1">
      <c r="A578" s="61"/>
      <c r="B578" s="60"/>
      <c r="C578" s="69"/>
      <c r="D578" s="70"/>
      <c r="E578" s="72"/>
      <c r="F578" s="71"/>
      <c r="G578" s="71"/>
      <c r="H578" s="60"/>
      <c r="I578" s="60"/>
      <c r="J578" s="69"/>
      <c r="K578" s="69"/>
      <c r="L578" s="70"/>
      <c r="M578" s="72"/>
      <c r="N578" s="71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</row>
    <row r="579" spans="1:27" ht="18" customHeight="1">
      <c r="A579" s="61"/>
      <c r="B579" s="60"/>
      <c r="C579" s="69"/>
      <c r="D579" s="70"/>
      <c r="E579" s="72"/>
      <c r="F579" s="71"/>
      <c r="G579" s="71"/>
      <c r="H579" s="60"/>
      <c r="I579" s="60"/>
      <c r="J579" s="69"/>
      <c r="K579" s="69"/>
      <c r="L579" s="70"/>
      <c r="M579" s="72"/>
      <c r="N579" s="71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</row>
    <row r="580" spans="1:27" ht="18" customHeight="1">
      <c r="A580" s="61"/>
      <c r="B580" s="60"/>
      <c r="C580" s="69"/>
      <c r="D580" s="70"/>
      <c r="E580" s="72"/>
      <c r="F580" s="71"/>
      <c r="G580" s="71"/>
      <c r="H580" s="60"/>
      <c r="I580" s="60"/>
      <c r="J580" s="69"/>
      <c r="K580" s="69"/>
      <c r="L580" s="70"/>
      <c r="M580" s="72"/>
      <c r="N580" s="71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</row>
    <row r="581" spans="1:27" ht="18" customHeight="1">
      <c r="A581" s="61"/>
      <c r="B581" s="60"/>
      <c r="C581" s="69"/>
      <c r="D581" s="70"/>
      <c r="E581" s="72"/>
      <c r="F581" s="71"/>
      <c r="G581" s="71"/>
      <c r="H581" s="60"/>
      <c r="I581" s="60"/>
      <c r="J581" s="69"/>
      <c r="K581" s="69"/>
      <c r="L581" s="70"/>
      <c r="M581" s="72"/>
      <c r="N581" s="71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</row>
    <row r="582" spans="1:27" ht="18" customHeight="1">
      <c r="A582" s="61"/>
      <c r="B582" s="60"/>
      <c r="C582" s="69"/>
      <c r="D582" s="70"/>
      <c r="E582" s="72"/>
      <c r="F582" s="71"/>
      <c r="G582" s="71"/>
      <c r="H582" s="60"/>
      <c r="I582" s="60"/>
      <c r="J582" s="69"/>
      <c r="K582" s="69"/>
      <c r="L582" s="70"/>
      <c r="M582" s="72"/>
      <c r="N582" s="71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</row>
    <row r="583" spans="1:27" ht="18" customHeight="1">
      <c r="A583" s="61"/>
      <c r="B583" s="60"/>
      <c r="C583" s="69"/>
      <c r="D583" s="70"/>
      <c r="E583" s="72"/>
      <c r="F583" s="71"/>
      <c r="G583" s="71"/>
      <c r="H583" s="60"/>
      <c r="I583" s="60"/>
      <c r="J583" s="69"/>
      <c r="K583" s="69"/>
      <c r="L583" s="70"/>
      <c r="M583" s="72"/>
      <c r="N583" s="71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</row>
    <row r="584" spans="1:27" ht="18" customHeight="1">
      <c r="A584" s="61"/>
      <c r="B584" s="60"/>
      <c r="C584" s="69"/>
      <c r="D584" s="70"/>
      <c r="E584" s="72"/>
      <c r="F584" s="71"/>
      <c r="G584" s="71"/>
      <c r="H584" s="60"/>
      <c r="I584" s="60"/>
      <c r="J584" s="69"/>
      <c r="K584" s="69"/>
      <c r="L584" s="70"/>
      <c r="M584" s="72"/>
      <c r="N584" s="71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</row>
    <row r="585" spans="1:27" ht="18" customHeight="1">
      <c r="A585" s="61"/>
      <c r="B585" s="60"/>
      <c r="C585" s="69"/>
      <c r="D585" s="70"/>
      <c r="E585" s="72"/>
      <c r="F585" s="71"/>
      <c r="G585" s="71"/>
      <c r="H585" s="60"/>
      <c r="I585" s="60"/>
      <c r="J585" s="69"/>
      <c r="K585" s="69"/>
      <c r="L585" s="70"/>
      <c r="M585" s="72"/>
      <c r="N585" s="71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</row>
    <row r="586" spans="1:27" ht="18" customHeight="1">
      <c r="A586" s="61"/>
      <c r="B586" s="60"/>
      <c r="C586" s="69"/>
      <c r="D586" s="70"/>
      <c r="E586" s="72"/>
      <c r="F586" s="71"/>
      <c r="G586" s="71"/>
      <c r="H586" s="60"/>
      <c r="I586" s="60"/>
      <c r="J586" s="69"/>
      <c r="K586" s="69"/>
      <c r="L586" s="70"/>
      <c r="M586" s="72"/>
      <c r="N586" s="71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</row>
    <row r="587" spans="1:27" ht="18" customHeight="1">
      <c r="A587" s="61"/>
      <c r="B587" s="60"/>
      <c r="C587" s="69"/>
      <c r="D587" s="70"/>
      <c r="E587" s="72"/>
      <c r="F587" s="71"/>
      <c r="G587" s="71"/>
      <c r="H587" s="60"/>
      <c r="I587" s="60"/>
      <c r="J587" s="69"/>
      <c r="K587" s="69"/>
      <c r="L587" s="70"/>
      <c r="M587" s="72"/>
      <c r="N587" s="71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</row>
    <row r="588" spans="1:27" ht="18" customHeight="1">
      <c r="A588" s="61"/>
      <c r="B588" s="60"/>
      <c r="C588" s="69"/>
      <c r="D588" s="70"/>
      <c r="E588" s="72"/>
      <c r="F588" s="71"/>
      <c r="G588" s="71"/>
      <c r="H588" s="60"/>
      <c r="I588" s="60"/>
      <c r="J588" s="69"/>
      <c r="K588" s="69"/>
      <c r="L588" s="70"/>
      <c r="M588" s="72"/>
      <c r="N588" s="71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</row>
    <row r="589" spans="1:27" ht="18" customHeight="1">
      <c r="A589" s="61"/>
      <c r="B589" s="60"/>
      <c r="C589" s="69"/>
      <c r="D589" s="70"/>
      <c r="E589" s="72"/>
      <c r="F589" s="71"/>
      <c r="G589" s="71"/>
      <c r="H589" s="60"/>
      <c r="I589" s="60"/>
      <c r="J589" s="69"/>
      <c r="K589" s="69"/>
      <c r="L589" s="70"/>
      <c r="M589" s="72"/>
      <c r="N589" s="71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</row>
    <row r="590" spans="1:27" ht="18" customHeight="1">
      <c r="A590" s="61"/>
      <c r="B590" s="60"/>
      <c r="C590" s="69"/>
      <c r="D590" s="70"/>
      <c r="E590" s="72"/>
      <c r="F590" s="71"/>
      <c r="G590" s="71"/>
      <c r="H590" s="60"/>
      <c r="I590" s="60"/>
      <c r="J590" s="69"/>
      <c r="K590" s="69"/>
      <c r="L590" s="70"/>
      <c r="M590" s="72"/>
      <c r="N590" s="71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</row>
    <row r="591" spans="1:27" ht="18" customHeight="1">
      <c r="A591" s="61"/>
      <c r="B591" s="60"/>
      <c r="C591" s="69"/>
      <c r="D591" s="70"/>
      <c r="E591" s="72"/>
      <c r="F591" s="71"/>
      <c r="G591" s="71"/>
      <c r="H591" s="60"/>
      <c r="I591" s="60"/>
      <c r="J591" s="69"/>
      <c r="K591" s="69"/>
      <c r="L591" s="70"/>
      <c r="M591" s="72"/>
      <c r="N591" s="71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</row>
    <row r="592" spans="1:27" ht="18" customHeight="1">
      <c r="A592" s="61"/>
      <c r="B592" s="60"/>
      <c r="C592" s="69"/>
      <c r="D592" s="70"/>
      <c r="E592" s="72"/>
      <c r="F592" s="71"/>
      <c r="G592" s="71"/>
      <c r="H592" s="60"/>
      <c r="I592" s="60"/>
      <c r="J592" s="69"/>
      <c r="K592" s="69"/>
      <c r="L592" s="70"/>
      <c r="M592" s="72"/>
      <c r="N592" s="71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</row>
    <row r="593" spans="1:27" ht="18" customHeight="1">
      <c r="A593" s="61"/>
      <c r="B593" s="60"/>
      <c r="C593" s="69"/>
      <c r="D593" s="70"/>
      <c r="E593" s="72"/>
      <c r="F593" s="71"/>
      <c r="G593" s="71"/>
      <c r="H593" s="60"/>
      <c r="I593" s="60"/>
      <c r="J593" s="69"/>
      <c r="K593" s="69"/>
      <c r="L593" s="70"/>
      <c r="M593" s="72"/>
      <c r="N593" s="71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</row>
    <row r="594" spans="1:27" ht="18" customHeight="1">
      <c r="A594" s="61"/>
      <c r="B594" s="60"/>
      <c r="C594" s="69"/>
      <c r="D594" s="70"/>
      <c r="E594" s="72"/>
      <c r="F594" s="71"/>
      <c r="G594" s="71"/>
      <c r="H594" s="60"/>
      <c r="I594" s="60"/>
      <c r="J594" s="69"/>
      <c r="K594" s="69"/>
      <c r="L594" s="70"/>
      <c r="M594" s="72"/>
      <c r="N594" s="71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</row>
    <row r="595" spans="1:27" ht="18" customHeight="1">
      <c r="A595" s="61"/>
      <c r="B595" s="60"/>
      <c r="C595" s="69"/>
      <c r="D595" s="70"/>
      <c r="E595" s="72"/>
      <c r="F595" s="71"/>
      <c r="G595" s="71"/>
      <c r="H595" s="60"/>
      <c r="I595" s="60"/>
      <c r="J595" s="69"/>
      <c r="K595" s="69"/>
      <c r="L595" s="70"/>
      <c r="M595" s="72"/>
      <c r="N595" s="71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</row>
    <row r="596" spans="1:27" ht="18" customHeight="1">
      <c r="A596" s="61"/>
      <c r="B596" s="60"/>
      <c r="C596" s="69"/>
      <c r="D596" s="70"/>
      <c r="E596" s="72"/>
      <c r="F596" s="71"/>
      <c r="G596" s="71"/>
      <c r="H596" s="60"/>
      <c r="I596" s="60"/>
      <c r="J596" s="69"/>
      <c r="K596" s="69"/>
      <c r="L596" s="70"/>
      <c r="M596" s="72"/>
      <c r="N596" s="71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</row>
    <row r="597" spans="1:27" ht="18" customHeight="1">
      <c r="A597" s="61"/>
      <c r="B597" s="60"/>
      <c r="C597" s="69"/>
      <c r="D597" s="70"/>
      <c r="E597" s="72"/>
      <c r="F597" s="71"/>
      <c r="G597" s="71"/>
      <c r="H597" s="60"/>
      <c r="I597" s="60"/>
      <c r="J597" s="69"/>
      <c r="K597" s="69"/>
      <c r="L597" s="70"/>
      <c r="M597" s="72"/>
      <c r="N597" s="71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</row>
    <row r="598" spans="1:27" ht="18" customHeight="1">
      <c r="A598" s="61"/>
      <c r="B598" s="60"/>
      <c r="C598" s="69"/>
      <c r="D598" s="70"/>
      <c r="E598" s="72"/>
      <c r="F598" s="71"/>
      <c r="G598" s="71"/>
      <c r="H598" s="60"/>
      <c r="I598" s="60"/>
      <c r="J598" s="69"/>
      <c r="K598" s="69"/>
      <c r="L598" s="70"/>
      <c r="M598" s="72"/>
      <c r="N598" s="71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</row>
    <row r="599" spans="1:27" ht="18" customHeight="1">
      <c r="A599" s="61"/>
      <c r="B599" s="60"/>
      <c r="C599" s="69"/>
      <c r="D599" s="70"/>
      <c r="E599" s="72"/>
      <c r="F599" s="71"/>
      <c r="G599" s="71"/>
      <c r="H599" s="60"/>
      <c r="I599" s="60"/>
      <c r="J599" s="69"/>
      <c r="K599" s="69"/>
      <c r="L599" s="70"/>
      <c r="M599" s="72"/>
      <c r="N599" s="71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</row>
    <row r="600" spans="1:27" ht="18" customHeight="1">
      <c r="A600" s="61"/>
      <c r="B600" s="60"/>
      <c r="C600" s="69"/>
      <c r="D600" s="70"/>
      <c r="E600" s="72"/>
      <c r="F600" s="71"/>
      <c r="G600" s="71"/>
      <c r="H600" s="60"/>
      <c r="I600" s="60"/>
      <c r="J600" s="69"/>
      <c r="K600" s="69"/>
      <c r="L600" s="70"/>
      <c r="M600" s="72"/>
      <c r="N600" s="71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</row>
    <row r="601" spans="1:27" ht="18" customHeight="1">
      <c r="A601" s="61"/>
      <c r="B601" s="60"/>
      <c r="C601" s="69"/>
      <c r="D601" s="70"/>
      <c r="E601" s="72"/>
      <c r="F601" s="71"/>
      <c r="G601" s="71"/>
      <c r="H601" s="60"/>
      <c r="I601" s="60"/>
      <c r="J601" s="69"/>
      <c r="K601" s="69"/>
      <c r="L601" s="70"/>
      <c r="M601" s="72"/>
      <c r="N601" s="71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</row>
    <row r="602" spans="1:27" ht="18" customHeight="1">
      <c r="A602" s="61"/>
      <c r="B602" s="60"/>
      <c r="C602" s="69"/>
      <c r="D602" s="70"/>
      <c r="E602" s="72"/>
      <c r="F602" s="71"/>
      <c r="G602" s="71"/>
      <c r="H602" s="60"/>
      <c r="I602" s="60"/>
      <c r="J602" s="69"/>
      <c r="K602" s="69"/>
      <c r="L602" s="70"/>
      <c r="M602" s="72"/>
      <c r="N602" s="71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</row>
    <row r="603" spans="1:27" ht="18" customHeight="1">
      <c r="A603" s="61"/>
      <c r="B603" s="60"/>
      <c r="C603" s="69"/>
      <c r="D603" s="70"/>
      <c r="E603" s="72"/>
      <c r="F603" s="71"/>
      <c r="G603" s="71"/>
      <c r="H603" s="60"/>
      <c r="I603" s="60"/>
      <c r="J603" s="69"/>
      <c r="K603" s="69"/>
      <c r="L603" s="70"/>
      <c r="M603" s="72"/>
      <c r="N603" s="71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</row>
    <row r="604" spans="1:27" ht="18" customHeight="1">
      <c r="A604" s="61"/>
      <c r="B604" s="60"/>
      <c r="C604" s="69"/>
      <c r="D604" s="70"/>
      <c r="E604" s="72"/>
      <c r="F604" s="71"/>
      <c r="G604" s="71"/>
      <c r="H604" s="60"/>
      <c r="I604" s="60"/>
      <c r="J604" s="69"/>
      <c r="K604" s="69"/>
      <c r="L604" s="70"/>
      <c r="M604" s="72"/>
      <c r="N604" s="71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</row>
    <row r="605" spans="1:27" ht="18" customHeight="1">
      <c r="A605" s="61"/>
      <c r="B605" s="60"/>
      <c r="C605" s="69"/>
      <c r="D605" s="70"/>
      <c r="E605" s="72"/>
      <c r="F605" s="71"/>
      <c r="G605" s="71"/>
      <c r="H605" s="60"/>
      <c r="I605" s="60"/>
      <c r="J605" s="69"/>
      <c r="K605" s="69"/>
      <c r="L605" s="70"/>
      <c r="M605" s="72"/>
      <c r="N605" s="71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</row>
    <row r="606" spans="1:27" ht="18" customHeight="1">
      <c r="A606" s="61"/>
      <c r="B606" s="60"/>
      <c r="C606" s="69"/>
      <c r="D606" s="70"/>
      <c r="E606" s="72"/>
      <c r="F606" s="71"/>
      <c r="G606" s="71"/>
      <c r="H606" s="60"/>
      <c r="I606" s="60"/>
      <c r="J606" s="69"/>
      <c r="K606" s="69"/>
      <c r="L606" s="70"/>
      <c r="M606" s="72"/>
      <c r="N606" s="71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</row>
    <row r="607" spans="1:27" ht="18" customHeight="1">
      <c r="A607" s="61"/>
      <c r="B607" s="60"/>
      <c r="C607" s="69"/>
      <c r="D607" s="70"/>
      <c r="E607" s="72"/>
      <c r="F607" s="71"/>
      <c r="G607" s="71"/>
      <c r="H607" s="60"/>
      <c r="I607" s="60"/>
      <c r="J607" s="69"/>
      <c r="K607" s="69"/>
      <c r="L607" s="70"/>
      <c r="M607" s="72"/>
      <c r="N607" s="71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</row>
    <row r="608" spans="1:27" ht="18" customHeight="1">
      <c r="A608" s="61"/>
      <c r="B608" s="60"/>
      <c r="C608" s="69"/>
      <c r="D608" s="70"/>
      <c r="E608" s="72"/>
      <c r="F608" s="71"/>
      <c r="G608" s="71"/>
      <c r="H608" s="60"/>
      <c r="I608" s="60"/>
      <c r="J608" s="69"/>
      <c r="K608" s="69"/>
      <c r="L608" s="70"/>
      <c r="M608" s="72"/>
      <c r="N608" s="71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</row>
    <row r="609" spans="1:27" ht="18" customHeight="1">
      <c r="A609" s="61"/>
      <c r="B609" s="60"/>
      <c r="C609" s="69"/>
      <c r="D609" s="70"/>
      <c r="E609" s="72"/>
      <c r="F609" s="71"/>
      <c r="G609" s="71"/>
      <c r="H609" s="60"/>
      <c r="I609" s="60"/>
      <c r="J609" s="69"/>
      <c r="K609" s="69"/>
      <c r="L609" s="70"/>
      <c r="M609" s="72"/>
      <c r="N609" s="71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</row>
    <row r="610" spans="1:27" ht="18" customHeight="1">
      <c r="A610" s="61"/>
      <c r="B610" s="60"/>
      <c r="C610" s="69"/>
      <c r="D610" s="70"/>
      <c r="E610" s="72"/>
      <c r="F610" s="71"/>
      <c r="G610" s="71"/>
      <c r="H610" s="60"/>
      <c r="I610" s="60"/>
      <c r="J610" s="69"/>
      <c r="K610" s="69"/>
      <c r="L610" s="70"/>
      <c r="M610" s="72"/>
      <c r="N610" s="71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</row>
    <row r="611" spans="1:27" ht="18" customHeight="1">
      <c r="A611" s="61"/>
      <c r="B611" s="60"/>
      <c r="C611" s="69"/>
      <c r="D611" s="70"/>
      <c r="E611" s="72"/>
      <c r="F611" s="71"/>
      <c r="G611" s="71"/>
      <c r="H611" s="60"/>
      <c r="I611" s="60"/>
      <c r="J611" s="69"/>
      <c r="K611" s="69"/>
      <c r="L611" s="70"/>
      <c r="M611" s="72"/>
      <c r="N611" s="71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</row>
    <row r="612" spans="1:27" ht="18" customHeight="1">
      <c r="A612" s="61"/>
      <c r="B612" s="60"/>
      <c r="C612" s="69"/>
      <c r="D612" s="70"/>
      <c r="E612" s="72"/>
      <c r="F612" s="71"/>
      <c r="G612" s="71"/>
      <c r="H612" s="60"/>
      <c r="I612" s="60"/>
      <c r="J612" s="69"/>
      <c r="K612" s="69"/>
      <c r="L612" s="70"/>
      <c r="M612" s="72"/>
      <c r="N612" s="71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</row>
    <row r="613" spans="1:27" ht="18" customHeight="1">
      <c r="A613" s="61"/>
      <c r="B613" s="60"/>
      <c r="C613" s="69"/>
      <c r="D613" s="70"/>
      <c r="E613" s="72"/>
      <c r="F613" s="71"/>
      <c r="G613" s="71"/>
      <c r="H613" s="60"/>
      <c r="I613" s="60"/>
      <c r="J613" s="69"/>
      <c r="K613" s="69"/>
      <c r="L613" s="70"/>
      <c r="M613" s="72"/>
      <c r="N613" s="71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</row>
    <row r="614" spans="1:27" ht="18" customHeight="1">
      <c r="A614" s="61"/>
      <c r="B614" s="60"/>
      <c r="C614" s="69"/>
      <c r="D614" s="70"/>
      <c r="E614" s="72"/>
      <c r="F614" s="71"/>
      <c r="G614" s="71"/>
      <c r="H614" s="60"/>
      <c r="I614" s="60"/>
      <c r="J614" s="69"/>
      <c r="K614" s="69"/>
      <c r="L614" s="70"/>
      <c r="M614" s="72"/>
      <c r="N614" s="71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</row>
    <row r="615" spans="1:27" ht="18" customHeight="1">
      <c r="A615" s="61"/>
      <c r="B615" s="60"/>
      <c r="C615" s="69"/>
      <c r="D615" s="70"/>
      <c r="E615" s="72"/>
      <c r="F615" s="71"/>
      <c r="G615" s="71"/>
      <c r="H615" s="60"/>
      <c r="I615" s="60"/>
      <c r="J615" s="69"/>
      <c r="K615" s="69"/>
      <c r="L615" s="70"/>
      <c r="M615" s="72"/>
      <c r="N615" s="71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</row>
    <row r="616" spans="1:27" ht="18" customHeight="1">
      <c r="A616" s="61"/>
      <c r="B616" s="60"/>
      <c r="C616" s="69"/>
      <c r="D616" s="70"/>
      <c r="E616" s="72"/>
      <c r="F616" s="71"/>
      <c r="G616" s="71"/>
      <c r="H616" s="60"/>
      <c r="I616" s="60"/>
      <c r="J616" s="69"/>
      <c r="K616" s="69"/>
      <c r="L616" s="70"/>
      <c r="M616" s="72"/>
      <c r="N616" s="71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</row>
    <row r="617" spans="1:27" ht="18" customHeight="1">
      <c r="A617" s="61"/>
      <c r="B617" s="60"/>
      <c r="C617" s="69"/>
      <c r="D617" s="70"/>
      <c r="E617" s="72"/>
      <c r="F617" s="71"/>
      <c r="G617" s="71"/>
      <c r="H617" s="60"/>
      <c r="I617" s="60"/>
      <c r="J617" s="69"/>
      <c r="K617" s="69"/>
      <c r="L617" s="70"/>
      <c r="M617" s="72"/>
      <c r="N617" s="71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</row>
    <row r="618" spans="1:27" ht="18" customHeight="1">
      <c r="A618" s="61"/>
      <c r="B618" s="60"/>
      <c r="C618" s="69"/>
      <c r="D618" s="70"/>
      <c r="E618" s="72"/>
      <c r="F618" s="71"/>
      <c r="G618" s="71"/>
      <c r="H618" s="60"/>
      <c r="I618" s="60"/>
      <c r="J618" s="69"/>
      <c r="K618" s="69"/>
      <c r="L618" s="70"/>
      <c r="M618" s="72"/>
      <c r="N618" s="71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</row>
    <row r="619" spans="1:27" ht="18" customHeight="1">
      <c r="A619" s="61"/>
      <c r="B619" s="60"/>
      <c r="C619" s="69"/>
      <c r="D619" s="70"/>
      <c r="E619" s="72"/>
      <c r="F619" s="71"/>
      <c r="G619" s="71"/>
      <c r="H619" s="60"/>
      <c r="I619" s="60"/>
      <c r="J619" s="69"/>
      <c r="K619" s="69"/>
      <c r="L619" s="70"/>
      <c r="M619" s="72"/>
      <c r="N619" s="71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</row>
    <row r="620" spans="1:27" ht="18" customHeight="1">
      <c r="A620" s="61"/>
      <c r="B620" s="60"/>
      <c r="C620" s="69"/>
      <c r="D620" s="70"/>
      <c r="E620" s="72"/>
      <c r="F620" s="71"/>
      <c r="G620" s="71"/>
      <c r="H620" s="60"/>
      <c r="I620" s="60"/>
      <c r="J620" s="69"/>
      <c r="K620" s="69"/>
      <c r="L620" s="70"/>
      <c r="M620" s="72"/>
      <c r="N620" s="71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</row>
    <row r="621" spans="1:27" ht="18" customHeight="1">
      <c r="A621" s="61"/>
      <c r="B621" s="60"/>
      <c r="C621" s="69"/>
      <c r="D621" s="70"/>
      <c r="E621" s="72"/>
      <c r="F621" s="71"/>
      <c r="G621" s="71"/>
      <c r="H621" s="60"/>
      <c r="I621" s="60"/>
      <c r="J621" s="69"/>
      <c r="K621" s="69"/>
      <c r="L621" s="70"/>
      <c r="M621" s="72"/>
      <c r="N621" s="71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</row>
    <row r="622" spans="1:27" ht="18" customHeight="1">
      <c r="A622" s="61"/>
      <c r="B622" s="60"/>
      <c r="C622" s="69"/>
      <c r="D622" s="70"/>
      <c r="E622" s="72"/>
      <c r="F622" s="71"/>
      <c r="G622" s="71"/>
      <c r="H622" s="60"/>
      <c r="I622" s="60"/>
      <c r="J622" s="69"/>
      <c r="K622" s="69"/>
      <c r="L622" s="70"/>
      <c r="M622" s="72"/>
      <c r="N622" s="71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</row>
    <row r="623" spans="1:27" ht="18" customHeight="1">
      <c r="A623" s="61"/>
      <c r="B623" s="60"/>
      <c r="C623" s="69"/>
      <c r="D623" s="70"/>
      <c r="E623" s="72"/>
      <c r="F623" s="71"/>
      <c r="G623" s="71"/>
      <c r="H623" s="60"/>
      <c r="I623" s="60"/>
      <c r="J623" s="69"/>
      <c r="K623" s="69"/>
      <c r="L623" s="70"/>
      <c r="M623" s="72"/>
      <c r="N623" s="71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</row>
    <row r="624" spans="1:27" ht="18" customHeight="1">
      <c r="A624" s="61"/>
      <c r="B624" s="60"/>
      <c r="C624" s="69"/>
      <c r="D624" s="70"/>
      <c r="E624" s="72"/>
      <c r="F624" s="71"/>
      <c r="G624" s="71"/>
      <c r="H624" s="60"/>
      <c r="I624" s="60"/>
      <c r="J624" s="69"/>
      <c r="K624" s="69"/>
      <c r="L624" s="70"/>
      <c r="M624" s="72"/>
      <c r="N624" s="71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</row>
    <row r="625" spans="1:27" ht="18" customHeight="1">
      <c r="A625" s="61"/>
      <c r="B625" s="60"/>
      <c r="C625" s="69"/>
      <c r="D625" s="70"/>
      <c r="E625" s="72"/>
      <c r="F625" s="71"/>
      <c r="G625" s="71"/>
      <c r="H625" s="60"/>
      <c r="I625" s="60"/>
      <c r="J625" s="69"/>
      <c r="K625" s="69"/>
      <c r="L625" s="70"/>
      <c r="M625" s="72"/>
      <c r="N625" s="71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</row>
    <row r="626" spans="1:27" ht="18" customHeight="1">
      <c r="A626" s="61"/>
      <c r="B626" s="60"/>
      <c r="C626" s="69"/>
      <c r="D626" s="70"/>
      <c r="E626" s="72"/>
      <c r="F626" s="71"/>
      <c r="G626" s="71"/>
      <c r="H626" s="60"/>
      <c r="I626" s="60"/>
      <c r="J626" s="69"/>
      <c r="K626" s="69"/>
      <c r="L626" s="70"/>
      <c r="M626" s="72"/>
      <c r="N626" s="71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</row>
    <row r="627" spans="1:27" ht="18" customHeight="1">
      <c r="A627" s="61"/>
      <c r="B627" s="60"/>
      <c r="C627" s="69"/>
      <c r="D627" s="70"/>
      <c r="E627" s="72"/>
      <c r="F627" s="71"/>
      <c r="G627" s="71"/>
      <c r="H627" s="60"/>
      <c r="I627" s="60"/>
      <c r="J627" s="69"/>
      <c r="K627" s="69"/>
      <c r="L627" s="70"/>
      <c r="M627" s="72"/>
      <c r="N627" s="71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</row>
    <row r="628" spans="1:27" ht="18" customHeight="1">
      <c r="A628" s="61"/>
      <c r="B628" s="60"/>
      <c r="C628" s="69"/>
      <c r="D628" s="70"/>
      <c r="E628" s="72"/>
      <c r="F628" s="71"/>
      <c r="G628" s="71"/>
      <c r="H628" s="60"/>
      <c r="I628" s="60"/>
      <c r="J628" s="69"/>
      <c r="K628" s="69"/>
      <c r="L628" s="70"/>
      <c r="M628" s="72"/>
      <c r="N628" s="71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</row>
    <row r="629" spans="1:27" ht="18" customHeight="1">
      <c r="A629" s="61"/>
      <c r="B629" s="60"/>
      <c r="C629" s="69"/>
      <c r="D629" s="70"/>
      <c r="E629" s="72"/>
      <c r="F629" s="71"/>
      <c r="G629" s="71"/>
      <c r="H629" s="60"/>
      <c r="I629" s="60"/>
      <c r="J629" s="69"/>
      <c r="K629" s="69"/>
      <c r="L629" s="70"/>
      <c r="M629" s="72"/>
      <c r="N629" s="71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</row>
    <row r="630" spans="1:27" ht="18" customHeight="1">
      <c r="A630" s="61"/>
      <c r="B630" s="60"/>
      <c r="C630" s="69"/>
      <c r="D630" s="70"/>
      <c r="E630" s="72"/>
      <c r="F630" s="71"/>
      <c r="G630" s="71"/>
      <c r="H630" s="60"/>
      <c r="I630" s="60"/>
      <c r="J630" s="69"/>
      <c r="K630" s="69"/>
      <c r="L630" s="70"/>
      <c r="M630" s="72"/>
      <c r="N630" s="71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</row>
    <row r="631" spans="1:27" ht="18" customHeight="1">
      <c r="A631" s="61"/>
      <c r="B631" s="60"/>
      <c r="C631" s="69"/>
      <c r="D631" s="70"/>
      <c r="E631" s="72"/>
      <c r="F631" s="71"/>
      <c r="G631" s="71"/>
      <c r="H631" s="60"/>
      <c r="I631" s="60"/>
      <c r="J631" s="69"/>
      <c r="K631" s="69"/>
      <c r="L631" s="70"/>
      <c r="M631" s="72"/>
      <c r="N631" s="71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</row>
    <row r="632" spans="1:27" ht="18" customHeight="1">
      <c r="A632" s="61"/>
      <c r="B632" s="60"/>
      <c r="C632" s="69"/>
      <c r="D632" s="70"/>
      <c r="E632" s="72"/>
      <c r="F632" s="71"/>
      <c r="G632" s="71"/>
      <c r="H632" s="60"/>
      <c r="I632" s="60"/>
      <c r="J632" s="69"/>
      <c r="K632" s="69"/>
      <c r="L632" s="70"/>
      <c r="M632" s="72"/>
      <c r="N632" s="71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</row>
    <row r="633" spans="1:27" ht="18" customHeight="1">
      <c r="A633" s="61"/>
      <c r="B633" s="60"/>
      <c r="C633" s="69"/>
      <c r="D633" s="70"/>
      <c r="E633" s="72"/>
      <c r="F633" s="71"/>
      <c r="G633" s="71"/>
      <c r="H633" s="60"/>
      <c r="I633" s="60"/>
      <c r="J633" s="69"/>
      <c r="K633" s="69"/>
      <c r="L633" s="70"/>
      <c r="M633" s="72"/>
      <c r="N633" s="71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</row>
    <row r="634" spans="1:27" ht="18" customHeight="1">
      <c r="A634" s="61"/>
      <c r="B634" s="60"/>
      <c r="C634" s="69"/>
      <c r="D634" s="70"/>
      <c r="E634" s="72"/>
      <c r="F634" s="71"/>
      <c r="G634" s="71"/>
      <c r="H634" s="60"/>
      <c r="I634" s="60"/>
      <c r="J634" s="69"/>
      <c r="K634" s="69"/>
      <c r="L634" s="70"/>
      <c r="M634" s="72"/>
      <c r="N634" s="71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</row>
    <row r="635" spans="1:27" ht="18" customHeight="1">
      <c r="A635" s="61"/>
      <c r="B635" s="60"/>
      <c r="C635" s="69"/>
      <c r="D635" s="70"/>
      <c r="E635" s="72"/>
      <c r="F635" s="71"/>
      <c r="G635" s="71"/>
      <c r="H635" s="60"/>
      <c r="I635" s="60"/>
      <c r="J635" s="69"/>
      <c r="K635" s="69"/>
      <c r="L635" s="70"/>
      <c r="M635" s="72"/>
      <c r="N635" s="71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</row>
    <row r="636" spans="1:27" ht="18" customHeight="1">
      <c r="A636" s="61"/>
      <c r="B636" s="60"/>
      <c r="C636" s="69"/>
      <c r="D636" s="70"/>
      <c r="E636" s="72"/>
      <c r="F636" s="71"/>
      <c r="G636" s="71"/>
      <c r="H636" s="60"/>
      <c r="I636" s="60"/>
      <c r="J636" s="69"/>
      <c r="K636" s="69"/>
      <c r="L636" s="70"/>
      <c r="M636" s="72"/>
      <c r="N636" s="71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</row>
    <row r="637" spans="1:27" ht="18" customHeight="1">
      <c r="A637" s="61"/>
      <c r="B637" s="60"/>
      <c r="C637" s="69"/>
      <c r="D637" s="70"/>
      <c r="E637" s="72"/>
      <c r="F637" s="71"/>
      <c r="G637" s="71"/>
      <c r="H637" s="60"/>
      <c r="I637" s="60"/>
      <c r="J637" s="69"/>
      <c r="K637" s="69"/>
      <c r="L637" s="70"/>
      <c r="M637" s="72"/>
      <c r="N637" s="71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</row>
    <row r="638" spans="1:27" ht="18" customHeight="1">
      <c r="A638" s="61"/>
      <c r="B638" s="60"/>
      <c r="C638" s="69"/>
      <c r="D638" s="70"/>
      <c r="E638" s="72"/>
      <c r="F638" s="71"/>
      <c r="G638" s="71"/>
      <c r="H638" s="60"/>
      <c r="I638" s="60"/>
      <c r="J638" s="69"/>
      <c r="K638" s="69"/>
      <c r="L638" s="70"/>
      <c r="M638" s="72"/>
      <c r="N638" s="71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</row>
    <row r="639" spans="1:27" ht="18" customHeight="1">
      <c r="A639" s="61"/>
      <c r="B639" s="60"/>
      <c r="C639" s="69"/>
      <c r="D639" s="70"/>
      <c r="E639" s="72"/>
      <c r="F639" s="71"/>
      <c r="G639" s="71"/>
      <c r="H639" s="60"/>
      <c r="I639" s="60"/>
      <c r="J639" s="69"/>
      <c r="K639" s="69"/>
      <c r="L639" s="70"/>
      <c r="M639" s="72"/>
      <c r="N639" s="71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</row>
    <row r="640" spans="1:27" ht="18" customHeight="1">
      <c r="A640" s="61"/>
      <c r="B640" s="60"/>
      <c r="C640" s="69"/>
      <c r="D640" s="70"/>
      <c r="E640" s="72"/>
      <c r="F640" s="71"/>
      <c r="G640" s="71"/>
      <c r="H640" s="60"/>
      <c r="I640" s="60"/>
      <c r="J640" s="69"/>
      <c r="K640" s="69"/>
      <c r="L640" s="70"/>
      <c r="M640" s="72"/>
      <c r="N640" s="71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</row>
    <row r="641" spans="1:27" ht="18" customHeight="1">
      <c r="A641" s="61"/>
      <c r="B641" s="60"/>
      <c r="C641" s="69"/>
      <c r="D641" s="70"/>
      <c r="E641" s="72"/>
      <c r="F641" s="71"/>
      <c r="G641" s="71"/>
      <c r="H641" s="60"/>
      <c r="I641" s="60"/>
      <c r="J641" s="69"/>
      <c r="K641" s="69"/>
      <c r="L641" s="70"/>
      <c r="M641" s="72"/>
      <c r="N641" s="71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</row>
    <row r="642" spans="1:27" ht="18" customHeight="1">
      <c r="A642" s="61"/>
      <c r="B642" s="60"/>
      <c r="C642" s="69"/>
      <c r="D642" s="70"/>
      <c r="E642" s="72"/>
      <c r="F642" s="71"/>
      <c r="G642" s="71"/>
      <c r="H642" s="60"/>
      <c r="I642" s="60"/>
      <c r="J642" s="69"/>
      <c r="K642" s="69"/>
      <c r="L642" s="70"/>
      <c r="M642" s="72"/>
      <c r="N642" s="71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</row>
    <row r="643" spans="1:27" ht="18" customHeight="1">
      <c r="A643" s="61"/>
      <c r="B643" s="60"/>
      <c r="C643" s="69"/>
      <c r="D643" s="70"/>
      <c r="E643" s="72"/>
      <c r="F643" s="71"/>
      <c r="G643" s="71"/>
      <c r="H643" s="60"/>
      <c r="I643" s="60"/>
      <c r="J643" s="69"/>
      <c r="K643" s="69"/>
      <c r="L643" s="70"/>
      <c r="M643" s="72"/>
      <c r="N643" s="71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</row>
    <row r="644" spans="1:27" ht="18" customHeight="1">
      <c r="A644" s="61"/>
      <c r="B644" s="60"/>
      <c r="C644" s="69"/>
      <c r="D644" s="70"/>
      <c r="E644" s="72"/>
      <c r="F644" s="71"/>
      <c r="G644" s="71"/>
      <c r="H644" s="60"/>
      <c r="I644" s="60"/>
      <c r="J644" s="69"/>
      <c r="K644" s="69"/>
      <c r="L644" s="70"/>
      <c r="M644" s="72"/>
      <c r="N644" s="71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</row>
    <row r="645" spans="1:27" ht="18" customHeight="1">
      <c r="A645" s="61"/>
      <c r="B645" s="60"/>
      <c r="C645" s="69"/>
      <c r="D645" s="70"/>
      <c r="E645" s="72"/>
      <c r="F645" s="71"/>
      <c r="G645" s="71"/>
      <c r="H645" s="60"/>
      <c r="I645" s="60"/>
      <c r="J645" s="69"/>
      <c r="K645" s="69"/>
      <c r="L645" s="70"/>
      <c r="M645" s="72"/>
      <c r="N645" s="71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</row>
    <row r="646" spans="1:27" ht="18" customHeight="1">
      <c r="A646" s="61"/>
      <c r="B646" s="60"/>
      <c r="C646" s="69"/>
      <c r="D646" s="70"/>
      <c r="E646" s="72"/>
      <c r="F646" s="71"/>
      <c r="G646" s="71"/>
      <c r="H646" s="60"/>
      <c r="I646" s="60"/>
      <c r="J646" s="69"/>
      <c r="K646" s="69"/>
      <c r="L646" s="70"/>
      <c r="M646" s="72"/>
      <c r="N646" s="71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</row>
    <row r="647" spans="1:27" ht="18" customHeight="1">
      <c r="A647" s="61"/>
      <c r="B647" s="60"/>
      <c r="C647" s="69"/>
      <c r="D647" s="70"/>
      <c r="E647" s="72"/>
      <c r="F647" s="71"/>
      <c r="G647" s="71"/>
      <c r="H647" s="60"/>
      <c r="I647" s="60"/>
      <c r="J647" s="69"/>
      <c r="K647" s="69"/>
      <c r="L647" s="70"/>
      <c r="M647" s="72"/>
      <c r="N647" s="71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</row>
    <row r="648" spans="1:27" ht="18" customHeight="1">
      <c r="A648" s="61"/>
      <c r="B648" s="60"/>
      <c r="C648" s="69"/>
      <c r="D648" s="70"/>
      <c r="E648" s="72"/>
      <c r="F648" s="71"/>
      <c r="G648" s="71"/>
      <c r="H648" s="60"/>
      <c r="I648" s="60"/>
      <c r="J648" s="69"/>
      <c r="K648" s="69"/>
      <c r="L648" s="70"/>
      <c r="M648" s="72"/>
      <c r="N648" s="71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</row>
    <row r="649" spans="1:27" ht="18" customHeight="1">
      <c r="A649" s="61"/>
      <c r="B649" s="60"/>
      <c r="C649" s="69"/>
      <c r="D649" s="70"/>
      <c r="E649" s="72"/>
      <c r="F649" s="71"/>
      <c r="G649" s="71"/>
      <c r="H649" s="60"/>
      <c r="I649" s="60"/>
      <c r="J649" s="69"/>
      <c r="K649" s="69"/>
      <c r="L649" s="70"/>
      <c r="M649" s="72"/>
      <c r="N649" s="71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</row>
    <row r="650" spans="1:27" ht="18" customHeight="1">
      <c r="A650" s="61"/>
      <c r="B650" s="60"/>
      <c r="C650" s="69"/>
      <c r="D650" s="70"/>
      <c r="E650" s="72"/>
      <c r="F650" s="71"/>
      <c r="G650" s="71"/>
      <c r="H650" s="60"/>
      <c r="I650" s="60"/>
      <c r="J650" s="69"/>
      <c r="K650" s="69"/>
      <c r="L650" s="70"/>
      <c r="M650" s="72"/>
      <c r="N650" s="71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</row>
    <row r="651" spans="1:27" ht="18" customHeight="1">
      <c r="A651" s="61"/>
      <c r="B651" s="60"/>
      <c r="C651" s="69"/>
      <c r="D651" s="70"/>
      <c r="E651" s="72"/>
      <c r="F651" s="71"/>
      <c r="G651" s="71"/>
      <c r="H651" s="60"/>
      <c r="I651" s="60"/>
      <c r="J651" s="69"/>
      <c r="K651" s="69"/>
      <c r="L651" s="70"/>
      <c r="M651" s="72"/>
      <c r="N651" s="71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</row>
    <row r="652" spans="1:27" ht="18" customHeight="1">
      <c r="A652" s="61"/>
      <c r="B652" s="60"/>
      <c r="C652" s="69"/>
      <c r="D652" s="70"/>
      <c r="E652" s="72"/>
      <c r="F652" s="71"/>
      <c r="G652" s="71"/>
      <c r="H652" s="60"/>
      <c r="I652" s="60"/>
      <c r="J652" s="69"/>
      <c r="K652" s="69"/>
      <c r="L652" s="70"/>
      <c r="M652" s="72"/>
      <c r="N652" s="71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</row>
    <row r="653" spans="1:27" ht="18" customHeight="1">
      <c r="A653" s="61"/>
      <c r="B653" s="60"/>
      <c r="C653" s="69"/>
      <c r="D653" s="70"/>
      <c r="E653" s="72"/>
      <c r="F653" s="71"/>
      <c r="G653" s="71"/>
      <c r="H653" s="60"/>
      <c r="I653" s="60"/>
      <c r="J653" s="69"/>
      <c r="K653" s="69"/>
      <c r="L653" s="70"/>
      <c r="M653" s="72"/>
      <c r="N653" s="71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</row>
    <row r="654" spans="1:27" ht="18" customHeight="1">
      <c r="A654" s="61"/>
      <c r="B654" s="60"/>
      <c r="C654" s="69"/>
      <c r="D654" s="70"/>
      <c r="E654" s="72"/>
      <c r="F654" s="71"/>
      <c r="G654" s="71"/>
      <c r="H654" s="60"/>
      <c r="I654" s="60"/>
      <c r="J654" s="69"/>
      <c r="K654" s="69"/>
      <c r="L654" s="70"/>
      <c r="M654" s="72"/>
      <c r="N654" s="71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</row>
    <row r="655" spans="1:27" ht="18" customHeight="1">
      <c r="A655" s="61"/>
      <c r="B655" s="60"/>
      <c r="C655" s="69"/>
      <c r="D655" s="70"/>
      <c r="E655" s="72"/>
      <c r="F655" s="71"/>
      <c r="G655" s="71"/>
      <c r="H655" s="60"/>
      <c r="I655" s="60"/>
      <c r="J655" s="69"/>
      <c r="K655" s="69"/>
      <c r="L655" s="70"/>
      <c r="M655" s="72"/>
      <c r="N655" s="71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</row>
    <row r="656" spans="1:27" ht="18" customHeight="1">
      <c r="A656" s="61"/>
      <c r="B656" s="60"/>
      <c r="C656" s="69"/>
      <c r="D656" s="70"/>
      <c r="E656" s="72"/>
      <c r="F656" s="71"/>
      <c r="G656" s="71"/>
      <c r="H656" s="60"/>
      <c r="I656" s="60"/>
      <c r="J656" s="69"/>
      <c r="K656" s="69"/>
      <c r="L656" s="70"/>
      <c r="M656" s="72"/>
      <c r="N656" s="71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</row>
    <row r="657" spans="1:27" ht="18" customHeight="1">
      <c r="A657" s="61"/>
      <c r="B657" s="60"/>
      <c r="C657" s="69"/>
      <c r="D657" s="70"/>
      <c r="E657" s="72"/>
      <c r="F657" s="71"/>
      <c r="G657" s="71"/>
      <c r="H657" s="60"/>
      <c r="I657" s="60"/>
      <c r="J657" s="69"/>
      <c r="K657" s="69"/>
      <c r="L657" s="70"/>
      <c r="M657" s="72"/>
      <c r="N657" s="71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</row>
    <row r="658" spans="1:27" ht="18" customHeight="1">
      <c r="A658" s="61"/>
      <c r="B658" s="60"/>
      <c r="C658" s="69"/>
      <c r="D658" s="70"/>
      <c r="E658" s="72"/>
      <c r="F658" s="71"/>
      <c r="G658" s="71"/>
      <c r="H658" s="60"/>
      <c r="I658" s="60"/>
      <c r="J658" s="69"/>
      <c r="K658" s="69"/>
      <c r="L658" s="70"/>
      <c r="M658" s="72"/>
      <c r="N658" s="71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</row>
    <row r="659" spans="1:27" ht="18" customHeight="1">
      <c r="A659" s="61"/>
      <c r="B659" s="60"/>
      <c r="C659" s="69"/>
      <c r="D659" s="70"/>
      <c r="E659" s="72"/>
      <c r="F659" s="71"/>
      <c r="G659" s="71"/>
      <c r="H659" s="60"/>
      <c r="I659" s="60"/>
      <c r="J659" s="69"/>
      <c r="K659" s="69"/>
      <c r="L659" s="70"/>
      <c r="M659" s="72"/>
      <c r="N659" s="71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</row>
    <row r="660" spans="1:27" ht="18" customHeight="1">
      <c r="A660" s="61"/>
      <c r="B660" s="60"/>
      <c r="C660" s="69"/>
      <c r="D660" s="70"/>
      <c r="E660" s="72"/>
      <c r="F660" s="71"/>
      <c r="G660" s="71"/>
      <c r="H660" s="60"/>
      <c r="I660" s="60"/>
      <c r="J660" s="69"/>
      <c r="K660" s="69"/>
      <c r="L660" s="70"/>
      <c r="M660" s="72"/>
      <c r="N660" s="71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</row>
    <row r="661" spans="1:27" ht="18" customHeight="1">
      <c r="A661" s="61"/>
      <c r="B661" s="60"/>
      <c r="C661" s="69"/>
      <c r="D661" s="70"/>
      <c r="E661" s="72"/>
      <c r="F661" s="71"/>
      <c r="G661" s="71"/>
      <c r="H661" s="60"/>
      <c r="I661" s="60"/>
      <c r="J661" s="69"/>
      <c r="K661" s="69"/>
      <c r="L661" s="70"/>
      <c r="M661" s="72"/>
      <c r="N661" s="71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</row>
    <row r="662" spans="1:27" ht="18" customHeight="1">
      <c r="A662" s="61"/>
      <c r="B662" s="60"/>
      <c r="C662" s="69"/>
      <c r="D662" s="70"/>
      <c r="E662" s="72"/>
      <c r="F662" s="71"/>
      <c r="G662" s="71"/>
      <c r="H662" s="60"/>
      <c r="I662" s="60"/>
      <c r="J662" s="69"/>
      <c r="K662" s="69"/>
      <c r="L662" s="70"/>
      <c r="M662" s="72"/>
      <c r="N662" s="71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</row>
    <row r="663" spans="1:27" ht="18" customHeight="1">
      <c r="A663" s="61"/>
      <c r="B663" s="60"/>
      <c r="C663" s="69"/>
      <c r="D663" s="70"/>
      <c r="E663" s="72"/>
      <c r="F663" s="71"/>
      <c r="G663" s="71"/>
      <c r="H663" s="60"/>
      <c r="I663" s="60"/>
      <c r="J663" s="69"/>
      <c r="K663" s="69"/>
      <c r="L663" s="70"/>
      <c r="M663" s="72"/>
      <c r="N663" s="71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</row>
    <row r="664" spans="1:27" ht="18" customHeight="1">
      <c r="A664" s="61"/>
      <c r="B664" s="60"/>
      <c r="C664" s="69"/>
      <c r="D664" s="70"/>
      <c r="E664" s="72"/>
      <c r="F664" s="71"/>
      <c r="G664" s="71"/>
      <c r="H664" s="60"/>
      <c r="I664" s="60"/>
      <c r="J664" s="69"/>
      <c r="K664" s="69"/>
      <c r="L664" s="70"/>
      <c r="M664" s="72"/>
      <c r="N664" s="71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</row>
    <row r="665" spans="1:27" ht="18" customHeight="1">
      <c r="A665" s="61"/>
      <c r="B665" s="60"/>
      <c r="C665" s="69"/>
      <c r="D665" s="70"/>
      <c r="E665" s="72"/>
      <c r="F665" s="71"/>
      <c r="G665" s="71"/>
      <c r="H665" s="60"/>
      <c r="I665" s="60"/>
      <c r="J665" s="69"/>
      <c r="K665" s="69"/>
      <c r="L665" s="70"/>
      <c r="M665" s="72"/>
      <c r="N665" s="71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</row>
    <row r="666" spans="1:27" ht="18" customHeight="1">
      <c r="A666" s="61"/>
      <c r="B666" s="60"/>
      <c r="C666" s="69"/>
      <c r="D666" s="70"/>
      <c r="E666" s="72"/>
      <c r="F666" s="71"/>
      <c r="G666" s="71"/>
      <c r="H666" s="60"/>
      <c r="I666" s="60"/>
      <c r="J666" s="69"/>
      <c r="K666" s="69"/>
      <c r="L666" s="70"/>
      <c r="M666" s="72"/>
      <c r="N666" s="71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</row>
    <row r="667" spans="1:27" ht="18" customHeight="1">
      <c r="A667" s="61"/>
      <c r="B667" s="60"/>
      <c r="C667" s="69"/>
      <c r="D667" s="70"/>
      <c r="E667" s="72"/>
      <c r="F667" s="71"/>
      <c r="G667" s="71"/>
      <c r="H667" s="60"/>
      <c r="I667" s="60"/>
      <c r="J667" s="69"/>
      <c r="K667" s="69"/>
      <c r="L667" s="70"/>
      <c r="M667" s="72"/>
      <c r="N667" s="71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</row>
    <row r="668" spans="1:27" ht="18" customHeight="1">
      <c r="A668" s="61"/>
      <c r="B668" s="60"/>
      <c r="C668" s="69"/>
      <c r="D668" s="70"/>
      <c r="E668" s="72"/>
      <c r="F668" s="71"/>
      <c r="G668" s="71"/>
      <c r="H668" s="60"/>
      <c r="I668" s="60"/>
      <c r="J668" s="69"/>
      <c r="K668" s="69"/>
      <c r="L668" s="70"/>
      <c r="M668" s="72"/>
      <c r="N668" s="71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</row>
    <row r="669" spans="1:27" ht="18" customHeight="1">
      <c r="A669" s="61"/>
      <c r="B669" s="60"/>
      <c r="C669" s="69"/>
      <c r="D669" s="70"/>
      <c r="E669" s="72"/>
      <c r="F669" s="71"/>
      <c r="G669" s="71"/>
      <c r="H669" s="60"/>
      <c r="I669" s="60"/>
      <c r="J669" s="69"/>
      <c r="K669" s="69"/>
      <c r="L669" s="70"/>
      <c r="M669" s="72"/>
      <c r="N669" s="71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</row>
    <row r="670" spans="1:27" ht="18" customHeight="1">
      <c r="A670" s="61"/>
      <c r="B670" s="60"/>
      <c r="C670" s="69"/>
      <c r="D670" s="70"/>
      <c r="E670" s="72"/>
      <c r="F670" s="71"/>
      <c r="G670" s="71"/>
      <c r="H670" s="60"/>
      <c r="I670" s="60"/>
      <c r="J670" s="69"/>
      <c r="K670" s="69"/>
      <c r="L670" s="70"/>
      <c r="M670" s="72"/>
      <c r="N670" s="71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</row>
    <row r="671" spans="1:27" ht="18" customHeight="1">
      <c r="A671" s="61"/>
      <c r="B671" s="60"/>
      <c r="C671" s="69"/>
      <c r="D671" s="70"/>
      <c r="E671" s="72"/>
      <c r="F671" s="71"/>
      <c r="G671" s="71"/>
      <c r="H671" s="60"/>
      <c r="I671" s="60"/>
      <c r="J671" s="69"/>
      <c r="K671" s="69"/>
      <c r="L671" s="70"/>
      <c r="M671" s="72"/>
      <c r="N671" s="71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</row>
    <row r="672" spans="1:27" ht="18" customHeight="1">
      <c r="A672" s="61"/>
      <c r="B672" s="60"/>
      <c r="C672" s="69"/>
      <c r="D672" s="70"/>
      <c r="E672" s="72"/>
      <c r="F672" s="71"/>
      <c r="G672" s="71"/>
      <c r="H672" s="60"/>
      <c r="I672" s="60"/>
      <c r="J672" s="69"/>
      <c r="K672" s="69"/>
      <c r="L672" s="70"/>
      <c r="M672" s="72"/>
      <c r="N672" s="71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</row>
    <row r="673" spans="1:27" ht="18" customHeight="1">
      <c r="A673" s="61"/>
      <c r="B673" s="60"/>
      <c r="C673" s="69"/>
      <c r="D673" s="70"/>
      <c r="E673" s="72"/>
      <c r="F673" s="71"/>
      <c r="G673" s="71"/>
      <c r="H673" s="60"/>
      <c r="I673" s="60"/>
      <c r="J673" s="69"/>
      <c r="K673" s="69"/>
      <c r="L673" s="70"/>
      <c r="M673" s="72"/>
      <c r="N673" s="71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</row>
    <row r="674" spans="1:27" ht="18" customHeight="1">
      <c r="A674" s="61"/>
      <c r="B674" s="60"/>
      <c r="C674" s="69"/>
      <c r="D674" s="70"/>
      <c r="E674" s="72"/>
      <c r="F674" s="71"/>
      <c r="G674" s="71"/>
      <c r="H674" s="60"/>
      <c r="I674" s="60"/>
      <c r="J674" s="69"/>
      <c r="K674" s="69"/>
      <c r="L674" s="70"/>
      <c r="M674" s="72"/>
      <c r="N674" s="71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</row>
    <row r="675" spans="1:27" ht="18" customHeight="1">
      <c r="A675" s="61"/>
      <c r="B675" s="60"/>
      <c r="C675" s="69"/>
      <c r="D675" s="70"/>
      <c r="E675" s="72"/>
      <c r="F675" s="71"/>
      <c r="G675" s="71"/>
      <c r="H675" s="60"/>
      <c r="I675" s="60"/>
      <c r="J675" s="69"/>
      <c r="K675" s="69"/>
      <c r="L675" s="70"/>
      <c r="M675" s="72"/>
      <c r="N675" s="71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</row>
    <row r="676" spans="1:27" ht="18" customHeight="1">
      <c r="A676" s="61"/>
      <c r="B676" s="60"/>
      <c r="C676" s="69"/>
      <c r="D676" s="70"/>
      <c r="E676" s="72"/>
      <c r="F676" s="71"/>
      <c r="G676" s="71"/>
      <c r="H676" s="60"/>
      <c r="I676" s="60"/>
      <c r="J676" s="69"/>
      <c r="K676" s="69"/>
      <c r="L676" s="70"/>
      <c r="M676" s="72"/>
      <c r="N676" s="71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</row>
    <row r="677" spans="1:27" ht="18" customHeight="1">
      <c r="A677" s="61"/>
      <c r="B677" s="60"/>
      <c r="C677" s="69"/>
      <c r="D677" s="70"/>
      <c r="E677" s="72"/>
      <c r="F677" s="71"/>
      <c r="G677" s="71"/>
      <c r="H677" s="60"/>
      <c r="I677" s="60"/>
      <c r="J677" s="69"/>
      <c r="K677" s="69"/>
      <c r="L677" s="70"/>
      <c r="M677" s="72"/>
      <c r="N677" s="71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</row>
    <row r="678" spans="1:27" ht="18" customHeight="1">
      <c r="A678" s="61"/>
      <c r="B678" s="60"/>
      <c r="C678" s="69"/>
      <c r="D678" s="70"/>
      <c r="E678" s="72"/>
      <c r="F678" s="71"/>
      <c r="G678" s="71"/>
      <c r="H678" s="60"/>
      <c r="I678" s="60"/>
      <c r="J678" s="69"/>
      <c r="K678" s="69"/>
      <c r="L678" s="70"/>
      <c r="M678" s="72"/>
      <c r="N678" s="71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</row>
    <row r="679" spans="1:27" ht="18" customHeight="1">
      <c r="A679" s="61"/>
      <c r="B679" s="60"/>
      <c r="C679" s="69"/>
      <c r="D679" s="70"/>
      <c r="E679" s="72"/>
      <c r="F679" s="71"/>
      <c r="G679" s="71"/>
      <c r="H679" s="60"/>
      <c r="I679" s="60"/>
      <c r="J679" s="69"/>
      <c r="K679" s="69"/>
      <c r="L679" s="70"/>
      <c r="M679" s="72"/>
      <c r="N679" s="71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</row>
    <row r="680" spans="1:27" ht="18" customHeight="1">
      <c r="A680" s="61"/>
      <c r="B680" s="60"/>
      <c r="C680" s="69"/>
      <c r="D680" s="70"/>
      <c r="E680" s="72"/>
      <c r="F680" s="71"/>
      <c r="G680" s="71"/>
      <c r="H680" s="60"/>
      <c r="I680" s="60"/>
      <c r="J680" s="69"/>
      <c r="K680" s="69"/>
      <c r="L680" s="70"/>
      <c r="M680" s="72"/>
      <c r="N680" s="71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</row>
    <row r="681" spans="1:27" ht="18" customHeight="1">
      <c r="A681" s="61"/>
      <c r="B681" s="60"/>
      <c r="C681" s="69"/>
      <c r="D681" s="70"/>
      <c r="E681" s="72"/>
      <c r="F681" s="71"/>
      <c r="G681" s="71"/>
      <c r="H681" s="60"/>
      <c r="I681" s="60"/>
      <c r="J681" s="69"/>
      <c r="K681" s="69"/>
      <c r="L681" s="70"/>
      <c r="M681" s="72"/>
      <c r="N681" s="71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</row>
    <row r="682" spans="1:27" ht="18" customHeight="1">
      <c r="A682" s="61"/>
      <c r="B682" s="60"/>
      <c r="C682" s="69"/>
      <c r="D682" s="70"/>
      <c r="E682" s="72"/>
      <c r="F682" s="71"/>
      <c r="G682" s="71"/>
      <c r="H682" s="60"/>
      <c r="I682" s="60"/>
      <c r="J682" s="69"/>
      <c r="K682" s="69"/>
      <c r="L682" s="70"/>
      <c r="M682" s="72"/>
      <c r="N682" s="71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</row>
    <row r="683" spans="1:27" ht="18" customHeight="1">
      <c r="A683" s="61"/>
      <c r="B683" s="60"/>
      <c r="C683" s="69"/>
      <c r="D683" s="70"/>
      <c r="E683" s="72"/>
      <c r="F683" s="71"/>
      <c r="G683" s="71"/>
      <c r="H683" s="60"/>
      <c r="I683" s="60"/>
      <c r="J683" s="69"/>
      <c r="K683" s="69"/>
      <c r="L683" s="70"/>
      <c r="M683" s="72"/>
      <c r="N683" s="71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</row>
    <row r="684" spans="1:27" ht="18" customHeight="1">
      <c r="A684" s="61"/>
      <c r="B684" s="60"/>
      <c r="C684" s="69"/>
      <c r="D684" s="70"/>
      <c r="E684" s="72"/>
      <c r="F684" s="71"/>
      <c r="G684" s="71"/>
      <c r="H684" s="60"/>
      <c r="I684" s="60"/>
      <c r="J684" s="69"/>
      <c r="K684" s="69"/>
      <c r="L684" s="70"/>
      <c r="M684" s="72"/>
      <c r="N684" s="71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</row>
    <row r="685" spans="1:27" ht="18" customHeight="1">
      <c r="A685" s="61"/>
      <c r="B685" s="60"/>
      <c r="C685" s="69"/>
      <c r="D685" s="70"/>
      <c r="E685" s="72"/>
      <c r="F685" s="71"/>
      <c r="G685" s="71"/>
      <c r="H685" s="60"/>
      <c r="I685" s="60"/>
      <c r="J685" s="69"/>
      <c r="K685" s="69"/>
      <c r="L685" s="70"/>
      <c r="M685" s="72"/>
      <c r="N685" s="71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</row>
    <row r="686" spans="1:27" ht="18" customHeight="1">
      <c r="A686" s="61"/>
      <c r="B686" s="60"/>
      <c r="C686" s="69"/>
      <c r="D686" s="70"/>
      <c r="E686" s="72"/>
      <c r="F686" s="71"/>
      <c r="G686" s="71"/>
      <c r="H686" s="60"/>
      <c r="I686" s="60"/>
      <c r="J686" s="69"/>
      <c r="K686" s="69"/>
      <c r="L686" s="70"/>
      <c r="M686" s="72"/>
      <c r="N686" s="71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</row>
    <row r="687" spans="1:27" ht="18" customHeight="1">
      <c r="A687" s="61"/>
      <c r="B687" s="60"/>
      <c r="C687" s="69"/>
      <c r="D687" s="70"/>
      <c r="E687" s="72"/>
      <c r="F687" s="71"/>
      <c r="G687" s="71"/>
      <c r="H687" s="60"/>
      <c r="I687" s="60"/>
      <c r="J687" s="69"/>
      <c r="K687" s="69"/>
      <c r="L687" s="70"/>
      <c r="M687" s="72"/>
      <c r="N687" s="71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</row>
    <row r="688" spans="1:27" ht="18" customHeight="1">
      <c r="A688" s="61"/>
      <c r="B688" s="60"/>
      <c r="C688" s="69"/>
      <c r="D688" s="70"/>
      <c r="E688" s="72"/>
      <c r="F688" s="71"/>
      <c r="G688" s="71"/>
      <c r="H688" s="60"/>
      <c r="I688" s="60"/>
      <c r="J688" s="69"/>
      <c r="K688" s="69"/>
      <c r="L688" s="70"/>
      <c r="M688" s="72"/>
      <c r="N688" s="71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</row>
    <row r="689" spans="1:27" ht="18" customHeight="1">
      <c r="A689" s="61"/>
      <c r="B689" s="60"/>
      <c r="C689" s="69"/>
      <c r="D689" s="70"/>
      <c r="E689" s="72"/>
      <c r="F689" s="71"/>
      <c r="G689" s="71"/>
      <c r="H689" s="60"/>
      <c r="I689" s="60"/>
      <c r="J689" s="69"/>
      <c r="K689" s="69"/>
      <c r="L689" s="70"/>
      <c r="M689" s="72"/>
      <c r="N689" s="71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</row>
    <row r="690" spans="1:27" ht="18" customHeight="1">
      <c r="A690" s="61"/>
      <c r="B690" s="60"/>
      <c r="C690" s="69"/>
      <c r="D690" s="70"/>
      <c r="E690" s="72"/>
      <c r="F690" s="71"/>
      <c r="G690" s="71"/>
      <c r="H690" s="60"/>
      <c r="I690" s="60"/>
      <c r="J690" s="69"/>
      <c r="K690" s="69"/>
      <c r="L690" s="70"/>
      <c r="M690" s="72"/>
      <c r="N690" s="71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</row>
    <row r="691" spans="1:27" ht="18" customHeight="1">
      <c r="A691" s="61"/>
      <c r="B691" s="60"/>
      <c r="C691" s="69"/>
      <c r="D691" s="70"/>
      <c r="E691" s="72"/>
      <c r="F691" s="71"/>
      <c r="G691" s="71"/>
      <c r="H691" s="60"/>
      <c r="I691" s="60"/>
      <c r="J691" s="69"/>
      <c r="K691" s="69"/>
      <c r="L691" s="70"/>
      <c r="M691" s="72"/>
      <c r="N691" s="71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</row>
    <row r="692" spans="1:27" ht="18" customHeight="1">
      <c r="A692" s="61"/>
      <c r="B692" s="60"/>
      <c r="C692" s="69"/>
      <c r="D692" s="70"/>
      <c r="E692" s="72"/>
      <c r="F692" s="71"/>
      <c r="G692" s="71"/>
      <c r="H692" s="60"/>
      <c r="I692" s="60"/>
      <c r="J692" s="69"/>
      <c r="K692" s="69"/>
      <c r="L692" s="70"/>
      <c r="M692" s="72"/>
      <c r="N692" s="71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</row>
    <row r="693" spans="1:27" ht="18" customHeight="1">
      <c r="A693" s="61"/>
      <c r="B693" s="60"/>
      <c r="C693" s="69"/>
      <c r="D693" s="70"/>
      <c r="E693" s="72"/>
      <c r="F693" s="71"/>
      <c r="G693" s="71"/>
      <c r="H693" s="60"/>
      <c r="I693" s="60"/>
      <c r="J693" s="69"/>
      <c r="K693" s="69"/>
      <c r="L693" s="70"/>
      <c r="M693" s="72"/>
      <c r="N693" s="71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</row>
    <row r="694" spans="1:27" ht="18" customHeight="1">
      <c r="A694" s="61"/>
      <c r="B694" s="60"/>
      <c r="C694" s="69"/>
      <c r="D694" s="70"/>
      <c r="E694" s="72"/>
      <c r="F694" s="71"/>
      <c r="G694" s="71"/>
      <c r="H694" s="60"/>
      <c r="I694" s="60"/>
      <c r="J694" s="69"/>
      <c r="K694" s="69"/>
      <c r="L694" s="70"/>
      <c r="M694" s="72"/>
      <c r="N694" s="71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</row>
    <row r="695" spans="1:27" ht="18" customHeight="1">
      <c r="A695" s="61"/>
      <c r="B695" s="60"/>
      <c r="C695" s="69"/>
      <c r="D695" s="70"/>
      <c r="E695" s="72"/>
      <c r="F695" s="71"/>
      <c r="G695" s="71"/>
      <c r="H695" s="60"/>
      <c r="I695" s="60"/>
      <c r="J695" s="69"/>
      <c r="K695" s="69"/>
      <c r="L695" s="70"/>
      <c r="M695" s="72"/>
      <c r="N695" s="71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</row>
    <row r="696" spans="1:27" ht="18" customHeight="1">
      <c r="A696" s="61"/>
      <c r="B696" s="60"/>
      <c r="C696" s="69"/>
      <c r="D696" s="70"/>
      <c r="E696" s="72"/>
      <c r="F696" s="71"/>
      <c r="G696" s="71"/>
      <c r="H696" s="60"/>
      <c r="I696" s="60"/>
      <c r="J696" s="69"/>
      <c r="K696" s="69"/>
      <c r="L696" s="70"/>
      <c r="M696" s="72"/>
      <c r="N696" s="71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</row>
    <row r="697" spans="1:27" ht="18" customHeight="1">
      <c r="A697" s="61"/>
      <c r="B697" s="60"/>
      <c r="C697" s="69"/>
      <c r="D697" s="70"/>
      <c r="E697" s="72"/>
      <c r="F697" s="71"/>
      <c r="G697" s="71"/>
      <c r="H697" s="60"/>
      <c r="I697" s="60"/>
      <c r="J697" s="69"/>
      <c r="K697" s="69"/>
      <c r="L697" s="70"/>
      <c r="M697" s="72"/>
      <c r="N697" s="71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</row>
    <row r="698" spans="1:27" ht="18" customHeight="1">
      <c r="A698" s="61"/>
      <c r="B698" s="60"/>
      <c r="C698" s="69"/>
      <c r="D698" s="70"/>
      <c r="E698" s="72"/>
      <c r="F698" s="71"/>
      <c r="G698" s="71"/>
      <c r="H698" s="60"/>
      <c r="I698" s="60"/>
      <c r="J698" s="69"/>
      <c r="K698" s="69"/>
      <c r="L698" s="70"/>
      <c r="M698" s="72"/>
      <c r="N698" s="71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</row>
    <row r="699" spans="1:27" ht="18" customHeight="1">
      <c r="A699" s="61"/>
      <c r="B699" s="60"/>
      <c r="C699" s="69"/>
      <c r="D699" s="70"/>
      <c r="E699" s="72"/>
      <c r="F699" s="71"/>
      <c r="G699" s="71"/>
      <c r="H699" s="60"/>
      <c r="I699" s="60"/>
      <c r="J699" s="69"/>
      <c r="K699" s="69"/>
      <c r="L699" s="70"/>
      <c r="M699" s="72"/>
      <c r="N699" s="71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</row>
    <row r="700" spans="1:27" ht="18" customHeight="1">
      <c r="A700" s="61"/>
      <c r="B700" s="60"/>
      <c r="C700" s="69"/>
      <c r="D700" s="70"/>
      <c r="E700" s="72"/>
      <c r="F700" s="71"/>
      <c r="G700" s="71"/>
      <c r="H700" s="60"/>
      <c r="I700" s="60"/>
      <c r="J700" s="69"/>
      <c r="K700" s="69"/>
      <c r="L700" s="70"/>
      <c r="M700" s="72"/>
      <c r="N700" s="71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</row>
    <row r="701" spans="1:27" ht="18" customHeight="1">
      <c r="A701" s="61"/>
      <c r="B701" s="60"/>
      <c r="C701" s="69"/>
      <c r="D701" s="70"/>
      <c r="E701" s="72"/>
      <c r="F701" s="71"/>
      <c r="G701" s="71"/>
      <c r="H701" s="60"/>
      <c r="I701" s="60"/>
      <c r="J701" s="69"/>
      <c r="K701" s="69"/>
      <c r="L701" s="70"/>
      <c r="M701" s="72"/>
      <c r="N701" s="71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</row>
    <row r="702" spans="1:27" ht="18" customHeight="1">
      <c r="A702" s="61"/>
      <c r="B702" s="60"/>
      <c r="C702" s="69"/>
      <c r="D702" s="70"/>
      <c r="E702" s="72"/>
      <c r="F702" s="71"/>
      <c r="G702" s="71"/>
      <c r="H702" s="60"/>
      <c r="I702" s="60"/>
      <c r="J702" s="69"/>
      <c r="K702" s="69"/>
      <c r="L702" s="70"/>
      <c r="M702" s="72"/>
      <c r="N702" s="71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</row>
    <row r="703" spans="1:27" ht="18" customHeight="1">
      <c r="A703" s="61"/>
      <c r="B703" s="60"/>
      <c r="C703" s="69"/>
      <c r="D703" s="70"/>
      <c r="E703" s="72"/>
      <c r="F703" s="71"/>
      <c r="G703" s="71"/>
      <c r="H703" s="60"/>
      <c r="I703" s="60"/>
      <c r="J703" s="69"/>
      <c r="K703" s="69"/>
      <c r="L703" s="70"/>
      <c r="M703" s="72"/>
      <c r="N703" s="71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</row>
    <row r="704" spans="1:27" ht="18" customHeight="1">
      <c r="A704" s="61"/>
      <c r="B704" s="60"/>
      <c r="C704" s="69"/>
      <c r="D704" s="70"/>
      <c r="E704" s="72"/>
      <c r="F704" s="71"/>
      <c r="G704" s="71"/>
      <c r="H704" s="60"/>
      <c r="I704" s="60"/>
      <c r="J704" s="69"/>
      <c r="K704" s="69"/>
      <c r="L704" s="70"/>
      <c r="M704" s="72"/>
      <c r="N704" s="71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</row>
    <row r="705" spans="1:27" ht="18" customHeight="1">
      <c r="A705" s="61"/>
      <c r="B705" s="60"/>
      <c r="C705" s="69"/>
      <c r="D705" s="70"/>
      <c r="E705" s="72"/>
      <c r="F705" s="71"/>
      <c r="G705" s="71"/>
      <c r="H705" s="60"/>
      <c r="I705" s="60"/>
      <c r="J705" s="69"/>
      <c r="K705" s="69"/>
      <c r="L705" s="70"/>
      <c r="M705" s="72"/>
      <c r="N705" s="71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</row>
    <row r="706" spans="1:27" ht="18" customHeight="1">
      <c r="A706" s="61"/>
      <c r="B706" s="60"/>
      <c r="C706" s="69"/>
      <c r="D706" s="70"/>
      <c r="E706" s="72"/>
      <c r="F706" s="71"/>
      <c r="G706" s="71"/>
      <c r="H706" s="60"/>
      <c r="I706" s="60"/>
      <c r="J706" s="69"/>
      <c r="K706" s="69"/>
      <c r="L706" s="70"/>
      <c r="M706" s="72"/>
      <c r="N706" s="71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</row>
    <row r="707" spans="1:27" ht="18" customHeight="1">
      <c r="A707" s="61"/>
      <c r="B707" s="60"/>
      <c r="C707" s="69"/>
      <c r="D707" s="70"/>
      <c r="E707" s="72"/>
      <c r="F707" s="71"/>
      <c r="G707" s="71"/>
      <c r="H707" s="60"/>
      <c r="I707" s="60"/>
      <c r="J707" s="69"/>
      <c r="K707" s="69"/>
      <c r="L707" s="70"/>
      <c r="M707" s="72"/>
      <c r="N707" s="71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</row>
    <row r="708" spans="1:27" ht="18" customHeight="1">
      <c r="A708" s="61"/>
      <c r="B708" s="60"/>
      <c r="C708" s="69"/>
      <c r="D708" s="70"/>
      <c r="E708" s="72"/>
      <c r="F708" s="71"/>
      <c r="G708" s="71"/>
      <c r="H708" s="60"/>
      <c r="I708" s="60"/>
      <c r="J708" s="69"/>
      <c r="K708" s="69"/>
      <c r="L708" s="70"/>
      <c r="M708" s="72"/>
      <c r="N708" s="71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</row>
    <row r="709" spans="1:27" ht="18" customHeight="1">
      <c r="A709" s="61"/>
      <c r="B709" s="60"/>
      <c r="C709" s="69"/>
      <c r="D709" s="70"/>
      <c r="E709" s="72"/>
      <c r="F709" s="71"/>
      <c r="G709" s="71"/>
      <c r="H709" s="60"/>
      <c r="I709" s="60"/>
      <c r="J709" s="69"/>
      <c r="K709" s="69"/>
      <c r="L709" s="70"/>
      <c r="M709" s="72"/>
      <c r="N709" s="71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</row>
    <row r="710" spans="1:27" ht="18" customHeight="1">
      <c r="A710" s="61"/>
      <c r="B710" s="60"/>
      <c r="C710" s="69"/>
      <c r="D710" s="70"/>
      <c r="E710" s="72"/>
      <c r="F710" s="71"/>
      <c r="G710" s="71"/>
      <c r="H710" s="60"/>
      <c r="I710" s="60"/>
      <c r="J710" s="69"/>
      <c r="K710" s="69"/>
      <c r="L710" s="70"/>
      <c r="M710" s="72"/>
      <c r="N710" s="71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</row>
    <row r="711" spans="1:27" ht="18" customHeight="1">
      <c r="A711" s="61"/>
      <c r="B711" s="60"/>
      <c r="C711" s="69"/>
      <c r="D711" s="70"/>
      <c r="E711" s="72"/>
      <c r="F711" s="71"/>
      <c r="G711" s="71"/>
      <c r="H711" s="60"/>
      <c r="I711" s="60"/>
      <c r="J711" s="69"/>
      <c r="K711" s="69"/>
      <c r="L711" s="70"/>
      <c r="M711" s="72"/>
      <c r="N711" s="71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</row>
    <row r="712" spans="1:27" ht="18" customHeight="1">
      <c r="A712" s="61"/>
      <c r="B712" s="60"/>
      <c r="C712" s="69"/>
      <c r="D712" s="70"/>
      <c r="E712" s="72"/>
      <c r="F712" s="71"/>
      <c r="G712" s="71"/>
      <c r="H712" s="60"/>
      <c r="I712" s="60"/>
      <c r="J712" s="69"/>
      <c r="K712" s="69"/>
      <c r="L712" s="70"/>
      <c r="M712" s="72"/>
      <c r="N712" s="71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</row>
    <row r="713" spans="1:27" ht="18" customHeight="1">
      <c r="A713" s="61"/>
      <c r="B713" s="60"/>
      <c r="C713" s="69"/>
      <c r="D713" s="70"/>
      <c r="E713" s="72"/>
      <c r="F713" s="71"/>
      <c r="G713" s="71"/>
      <c r="H713" s="60"/>
      <c r="I713" s="60"/>
      <c r="J713" s="69"/>
      <c r="K713" s="69"/>
      <c r="L713" s="70"/>
      <c r="M713" s="72"/>
      <c r="N713" s="71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</row>
    <row r="714" spans="1:27" ht="18" customHeight="1">
      <c r="A714" s="61"/>
      <c r="B714" s="60"/>
      <c r="C714" s="69"/>
      <c r="D714" s="70"/>
      <c r="E714" s="72"/>
      <c r="F714" s="71"/>
      <c r="G714" s="71"/>
      <c r="H714" s="60"/>
      <c r="I714" s="60"/>
      <c r="J714" s="69"/>
      <c r="K714" s="69"/>
      <c r="L714" s="70"/>
      <c r="M714" s="72"/>
      <c r="N714" s="71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</row>
    <row r="715" spans="1:27" ht="18" customHeight="1">
      <c r="A715" s="61"/>
      <c r="B715" s="60"/>
      <c r="C715" s="69"/>
      <c r="D715" s="70"/>
      <c r="E715" s="72"/>
      <c r="F715" s="71"/>
      <c r="G715" s="71"/>
      <c r="H715" s="60"/>
      <c r="I715" s="60"/>
      <c r="J715" s="69"/>
      <c r="K715" s="69"/>
      <c r="L715" s="70"/>
      <c r="M715" s="72"/>
      <c r="N715" s="71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</row>
    <row r="716" spans="1:27" ht="18" customHeight="1">
      <c r="A716" s="61"/>
      <c r="B716" s="60"/>
      <c r="C716" s="69"/>
      <c r="D716" s="70"/>
      <c r="E716" s="72"/>
      <c r="F716" s="71"/>
      <c r="G716" s="71"/>
      <c r="H716" s="60"/>
      <c r="I716" s="60"/>
      <c r="J716" s="69"/>
      <c r="K716" s="69"/>
      <c r="L716" s="70"/>
      <c r="M716" s="72"/>
      <c r="N716" s="71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</row>
    <row r="717" spans="1:27" ht="18" customHeight="1">
      <c r="A717" s="61"/>
      <c r="B717" s="60"/>
      <c r="C717" s="69"/>
      <c r="D717" s="70"/>
      <c r="E717" s="72"/>
      <c r="F717" s="71"/>
      <c r="G717" s="71"/>
      <c r="H717" s="60"/>
      <c r="I717" s="60"/>
      <c r="J717" s="69"/>
      <c r="K717" s="69"/>
      <c r="L717" s="70"/>
      <c r="M717" s="72"/>
      <c r="N717" s="71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</row>
    <row r="718" spans="1:27" ht="18" customHeight="1">
      <c r="A718" s="61"/>
      <c r="B718" s="60"/>
      <c r="C718" s="69"/>
      <c r="D718" s="70"/>
      <c r="E718" s="72"/>
      <c r="F718" s="71"/>
      <c r="G718" s="71"/>
      <c r="H718" s="60"/>
      <c r="I718" s="60"/>
      <c r="J718" s="69"/>
      <c r="K718" s="69"/>
      <c r="L718" s="70"/>
      <c r="M718" s="72"/>
      <c r="N718" s="71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</row>
    <row r="719" spans="1:27" ht="18" customHeight="1">
      <c r="A719" s="61"/>
      <c r="B719" s="60"/>
      <c r="C719" s="69"/>
      <c r="D719" s="70"/>
      <c r="E719" s="72"/>
      <c r="F719" s="71"/>
      <c r="G719" s="71"/>
      <c r="H719" s="60"/>
      <c r="I719" s="60"/>
      <c r="J719" s="69"/>
      <c r="K719" s="69"/>
      <c r="L719" s="70"/>
      <c r="M719" s="72"/>
      <c r="N719" s="71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</row>
    <row r="720" spans="1:27" ht="18" customHeight="1">
      <c r="A720" s="61"/>
      <c r="B720" s="60"/>
      <c r="C720" s="69"/>
      <c r="D720" s="70"/>
      <c r="E720" s="72"/>
      <c r="F720" s="71"/>
      <c r="G720" s="71"/>
      <c r="H720" s="60"/>
      <c r="I720" s="60"/>
      <c r="J720" s="69"/>
      <c r="K720" s="69"/>
      <c r="L720" s="70"/>
      <c r="M720" s="72"/>
      <c r="N720" s="71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</row>
    <row r="721" spans="1:27" ht="18" customHeight="1">
      <c r="A721" s="61"/>
      <c r="B721" s="60"/>
      <c r="C721" s="69"/>
      <c r="D721" s="70"/>
      <c r="E721" s="72"/>
      <c r="F721" s="71"/>
      <c r="G721" s="71"/>
      <c r="H721" s="60"/>
      <c r="I721" s="60"/>
      <c r="J721" s="69"/>
      <c r="K721" s="69"/>
      <c r="L721" s="70"/>
      <c r="M721" s="72"/>
      <c r="N721" s="71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</row>
    <row r="722" spans="1:27" ht="18" customHeight="1">
      <c r="A722" s="61"/>
      <c r="B722" s="60"/>
      <c r="C722" s="69"/>
      <c r="D722" s="70"/>
      <c r="E722" s="72"/>
      <c r="F722" s="71"/>
      <c r="G722" s="71"/>
      <c r="H722" s="60"/>
      <c r="I722" s="60"/>
      <c r="J722" s="69"/>
      <c r="K722" s="69"/>
      <c r="L722" s="70"/>
      <c r="M722" s="72"/>
      <c r="N722" s="71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</row>
    <row r="723" spans="1:27" ht="18" customHeight="1">
      <c r="A723" s="61"/>
      <c r="B723" s="60"/>
      <c r="C723" s="69"/>
      <c r="D723" s="70"/>
      <c r="E723" s="72"/>
      <c r="F723" s="71"/>
      <c r="G723" s="71"/>
      <c r="H723" s="60"/>
      <c r="I723" s="60"/>
      <c r="J723" s="69"/>
      <c r="K723" s="69"/>
      <c r="L723" s="70"/>
      <c r="M723" s="72"/>
      <c r="N723" s="71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</row>
    <row r="724" spans="1:27" ht="18" customHeight="1">
      <c r="A724" s="61"/>
      <c r="B724" s="60"/>
      <c r="C724" s="69"/>
      <c r="D724" s="70"/>
      <c r="E724" s="72"/>
      <c r="F724" s="71"/>
      <c r="G724" s="71"/>
      <c r="H724" s="60"/>
      <c r="I724" s="60"/>
      <c r="J724" s="69"/>
      <c r="K724" s="69"/>
      <c r="L724" s="70"/>
      <c r="M724" s="72"/>
      <c r="N724" s="71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</row>
    <row r="725" spans="1:27" ht="18" customHeight="1">
      <c r="A725" s="61"/>
      <c r="B725" s="60"/>
      <c r="C725" s="69"/>
      <c r="D725" s="70"/>
      <c r="E725" s="72"/>
      <c r="F725" s="71"/>
      <c r="G725" s="71"/>
      <c r="H725" s="60"/>
      <c r="I725" s="60"/>
      <c r="J725" s="69"/>
      <c r="K725" s="69"/>
      <c r="L725" s="70"/>
      <c r="M725" s="72"/>
      <c r="N725" s="71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</row>
    <row r="726" spans="1:27" ht="18" customHeight="1">
      <c r="A726" s="61"/>
      <c r="B726" s="60"/>
      <c r="C726" s="69"/>
      <c r="D726" s="70"/>
      <c r="E726" s="72"/>
      <c r="F726" s="71"/>
      <c r="G726" s="71"/>
      <c r="H726" s="60"/>
      <c r="I726" s="60"/>
      <c r="J726" s="69"/>
      <c r="K726" s="69"/>
      <c r="L726" s="70"/>
      <c r="M726" s="72"/>
      <c r="N726" s="71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</row>
    <row r="727" spans="1:27" ht="18" customHeight="1">
      <c r="A727" s="61"/>
      <c r="B727" s="60"/>
      <c r="C727" s="69"/>
      <c r="D727" s="70"/>
      <c r="E727" s="72"/>
      <c r="F727" s="71"/>
      <c r="G727" s="71"/>
      <c r="H727" s="60"/>
      <c r="I727" s="60"/>
      <c r="J727" s="69"/>
      <c r="K727" s="69"/>
      <c r="L727" s="70"/>
      <c r="M727" s="72"/>
      <c r="N727" s="71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</row>
    <row r="728" spans="1:27" ht="18" customHeight="1">
      <c r="A728" s="61"/>
      <c r="B728" s="60"/>
      <c r="C728" s="69"/>
      <c r="D728" s="70"/>
      <c r="E728" s="72"/>
      <c r="F728" s="71"/>
      <c r="G728" s="71"/>
      <c r="H728" s="60"/>
      <c r="I728" s="60"/>
      <c r="J728" s="69"/>
      <c r="K728" s="69"/>
      <c r="L728" s="70"/>
      <c r="M728" s="72"/>
      <c r="N728" s="71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</row>
    <row r="729" spans="1:27" ht="18" customHeight="1">
      <c r="A729" s="61"/>
      <c r="B729" s="60"/>
      <c r="C729" s="69"/>
      <c r="D729" s="70"/>
      <c r="E729" s="72"/>
      <c r="F729" s="71"/>
      <c r="G729" s="71"/>
      <c r="H729" s="60"/>
      <c r="I729" s="60"/>
      <c r="J729" s="69"/>
      <c r="K729" s="69"/>
      <c r="L729" s="70"/>
      <c r="M729" s="72"/>
      <c r="N729" s="71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</row>
    <row r="730" spans="1:27" ht="18" customHeight="1">
      <c r="A730" s="61"/>
      <c r="B730" s="60"/>
      <c r="C730" s="69"/>
      <c r="D730" s="70"/>
      <c r="E730" s="72"/>
      <c r="F730" s="71"/>
      <c r="G730" s="71"/>
      <c r="H730" s="60"/>
      <c r="I730" s="60"/>
      <c r="J730" s="69"/>
      <c r="K730" s="69"/>
      <c r="L730" s="70"/>
      <c r="M730" s="72"/>
      <c r="N730" s="71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</row>
    <row r="731" spans="1:27" ht="18" customHeight="1">
      <c r="A731" s="61"/>
      <c r="B731" s="60"/>
      <c r="C731" s="69"/>
      <c r="D731" s="70"/>
      <c r="E731" s="72"/>
      <c r="F731" s="71"/>
      <c r="G731" s="71"/>
      <c r="H731" s="60"/>
      <c r="I731" s="60"/>
      <c r="J731" s="69"/>
      <c r="K731" s="69"/>
      <c r="L731" s="70"/>
      <c r="M731" s="72"/>
      <c r="N731" s="71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</row>
    <row r="732" spans="1:27" ht="18" customHeight="1">
      <c r="A732" s="61"/>
      <c r="B732" s="60"/>
      <c r="C732" s="69"/>
      <c r="D732" s="70"/>
      <c r="E732" s="72"/>
      <c r="F732" s="71"/>
      <c r="G732" s="71"/>
      <c r="H732" s="60"/>
      <c r="I732" s="60"/>
      <c r="J732" s="69"/>
      <c r="K732" s="69"/>
      <c r="L732" s="70"/>
      <c r="M732" s="72"/>
      <c r="N732" s="71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</row>
    <row r="733" spans="1:27" ht="18" customHeight="1">
      <c r="A733" s="61"/>
      <c r="B733" s="60"/>
      <c r="C733" s="69"/>
      <c r="D733" s="70"/>
      <c r="E733" s="72"/>
      <c r="F733" s="71"/>
      <c r="G733" s="71"/>
      <c r="H733" s="60"/>
      <c r="I733" s="60"/>
      <c r="J733" s="69"/>
      <c r="K733" s="69"/>
      <c r="L733" s="70"/>
      <c r="M733" s="72"/>
      <c r="N733" s="71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</row>
    <row r="734" spans="1:27" ht="18" customHeight="1">
      <c r="A734" s="61"/>
      <c r="B734" s="60"/>
      <c r="C734" s="69"/>
      <c r="D734" s="70"/>
      <c r="E734" s="72"/>
      <c r="F734" s="71"/>
      <c r="G734" s="71"/>
      <c r="H734" s="60"/>
      <c r="I734" s="60"/>
      <c r="J734" s="69"/>
      <c r="K734" s="69"/>
      <c r="L734" s="70"/>
      <c r="M734" s="72"/>
      <c r="N734" s="71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</row>
    <row r="735" spans="1:27" ht="18" customHeight="1">
      <c r="A735" s="61"/>
      <c r="B735" s="60"/>
      <c r="C735" s="69"/>
      <c r="D735" s="70"/>
      <c r="E735" s="72"/>
      <c r="F735" s="71"/>
      <c r="G735" s="71"/>
      <c r="H735" s="60"/>
      <c r="I735" s="60"/>
      <c r="J735" s="69"/>
      <c r="K735" s="69"/>
      <c r="L735" s="70"/>
      <c r="M735" s="72"/>
      <c r="N735" s="71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</row>
    <row r="736" spans="1:27" ht="18" customHeight="1">
      <c r="A736" s="61"/>
      <c r="B736" s="60"/>
      <c r="C736" s="69"/>
      <c r="D736" s="70"/>
      <c r="E736" s="72"/>
      <c r="F736" s="71"/>
      <c r="G736" s="71"/>
      <c r="H736" s="60"/>
      <c r="I736" s="60"/>
      <c r="J736" s="69"/>
      <c r="K736" s="69"/>
      <c r="L736" s="70"/>
      <c r="M736" s="72"/>
      <c r="N736" s="71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</row>
    <row r="737" spans="1:27" ht="18" customHeight="1">
      <c r="A737" s="61"/>
      <c r="B737" s="60"/>
      <c r="C737" s="69"/>
      <c r="D737" s="70"/>
      <c r="E737" s="72"/>
      <c r="F737" s="71"/>
      <c r="G737" s="71"/>
      <c r="H737" s="60"/>
      <c r="I737" s="60"/>
      <c r="J737" s="69"/>
      <c r="K737" s="69"/>
      <c r="L737" s="70"/>
      <c r="M737" s="72"/>
      <c r="N737" s="71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</row>
    <row r="738" spans="1:27" ht="18" customHeight="1">
      <c r="A738" s="61"/>
      <c r="B738" s="60"/>
      <c r="C738" s="69"/>
      <c r="D738" s="70"/>
      <c r="E738" s="72"/>
      <c r="F738" s="71"/>
      <c r="G738" s="71"/>
      <c r="H738" s="60"/>
      <c r="I738" s="60"/>
      <c r="J738" s="69"/>
      <c r="K738" s="69"/>
      <c r="L738" s="70"/>
      <c r="M738" s="72"/>
      <c r="N738" s="71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</row>
    <row r="739" spans="1:27" ht="18" customHeight="1">
      <c r="A739" s="61"/>
      <c r="B739" s="60"/>
      <c r="C739" s="69"/>
      <c r="D739" s="70"/>
      <c r="E739" s="72"/>
      <c r="F739" s="71"/>
      <c r="G739" s="71"/>
      <c r="H739" s="60"/>
      <c r="I739" s="60"/>
      <c r="J739" s="69"/>
      <c r="K739" s="69"/>
      <c r="L739" s="70"/>
      <c r="M739" s="72"/>
      <c r="N739" s="71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</row>
    <row r="740" spans="1:27" ht="18" customHeight="1">
      <c r="A740" s="61"/>
      <c r="B740" s="60"/>
      <c r="C740" s="69"/>
      <c r="D740" s="70"/>
      <c r="E740" s="72"/>
      <c r="F740" s="71"/>
      <c r="G740" s="71"/>
      <c r="H740" s="60"/>
      <c r="I740" s="60"/>
      <c r="J740" s="69"/>
      <c r="K740" s="69"/>
      <c r="L740" s="70"/>
      <c r="M740" s="72"/>
      <c r="N740" s="71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</row>
    <row r="741" spans="1:27" ht="18" customHeight="1">
      <c r="A741" s="61"/>
      <c r="B741" s="60"/>
      <c r="C741" s="69"/>
      <c r="D741" s="70"/>
      <c r="E741" s="72"/>
      <c r="F741" s="71"/>
      <c r="G741" s="71"/>
      <c r="H741" s="60"/>
      <c r="I741" s="60"/>
      <c r="J741" s="69"/>
      <c r="K741" s="69"/>
      <c r="L741" s="70"/>
      <c r="M741" s="72"/>
      <c r="N741" s="71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</row>
    <row r="742" spans="1:27" ht="18" customHeight="1">
      <c r="A742" s="61"/>
      <c r="B742" s="60"/>
      <c r="C742" s="69"/>
      <c r="D742" s="70"/>
      <c r="E742" s="72"/>
      <c r="F742" s="71"/>
      <c r="G742" s="71"/>
      <c r="H742" s="60"/>
      <c r="I742" s="60"/>
      <c r="J742" s="69"/>
      <c r="K742" s="69"/>
      <c r="L742" s="70"/>
      <c r="M742" s="72"/>
      <c r="N742" s="71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</row>
    <row r="743" spans="1:27" ht="18" customHeight="1">
      <c r="A743" s="61"/>
      <c r="B743" s="60"/>
      <c r="C743" s="69"/>
      <c r="D743" s="70"/>
      <c r="E743" s="72"/>
      <c r="F743" s="71"/>
      <c r="G743" s="71"/>
      <c r="H743" s="60"/>
      <c r="I743" s="60"/>
      <c r="J743" s="69"/>
      <c r="K743" s="69"/>
      <c r="L743" s="70"/>
      <c r="M743" s="72"/>
      <c r="N743" s="71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</row>
    <row r="744" spans="1:27" ht="18" customHeight="1">
      <c r="A744" s="61"/>
      <c r="B744" s="60"/>
      <c r="C744" s="69"/>
      <c r="D744" s="70"/>
      <c r="E744" s="72"/>
      <c r="F744" s="71"/>
      <c r="G744" s="71"/>
      <c r="H744" s="60"/>
      <c r="I744" s="60"/>
      <c r="J744" s="69"/>
      <c r="K744" s="69"/>
      <c r="L744" s="70"/>
      <c r="M744" s="72"/>
      <c r="N744" s="71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</row>
    <row r="745" spans="1:27" ht="18" customHeight="1">
      <c r="A745" s="61"/>
      <c r="B745" s="60"/>
      <c r="C745" s="69"/>
      <c r="D745" s="70"/>
      <c r="E745" s="72"/>
      <c r="F745" s="71"/>
      <c r="G745" s="71"/>
      <c r="H745" s="60"/>
      <c r="I745" s="60"/>
      <c r="J745" s="69"/>
      <c r="K745" s="69"/>
      <c r="L745" s="70"/>
      <c r="M745" s="72"/>
      <c r="N745" s="71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</row>
    <row r="746" spans="1:27" ht="18" customHeight="1">
      <c r="A746" s="61"/>
      <c r="B746" s="60"/>
      <c r="C746" s="69"/>
      <c r="D746" s="70"/>
      <c r="E746" s="72"/>
      <c r="F746" s="71"/>
      <c r="G746" s="71"/>
      <c r="H746" s="60"/>
      <c r="I746" s="60"/>
      <c r="J746" s="69"/>
      <c r="K746" s="69"/>
      <c r="L746" s="70"/>
      <c r="M746" s="72"/>
      <c r="N746" s="71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</row>
    <row r="747" spans="1:27" ht="18" customHeight="1">
      <c r="A747" s="61"/>
      <c r="B747" s="60"/>
      <c r="C747" s="69"/>
      <c r="D747" s="70"/>
      <c r="E747" s="72"/>
      <c r="F747" s="71"/>
      <c r="G747" s="71"/>
      <c r="H747" s="60"/>
      <c r="I747" s="60"/>
      <c r="J747" s="69"/>
      <c r="K747" s="69"/>
      <c r="L747" s="70"/>
      <c r="M747" s="72"/>
      <c r="N747" s="71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</row>
    <row r="748" spans="1:27" ht="18" customHeight="1">
      <c r="A748" s="61"/>
      <c r="B748" s="60"/>
      <c r="C748" s="69"/>
      <c r="D748" s="70"/>
      <c r="E748" s="72"/>
      <c r="F748" s="71"/>
      <c r="G748" s="71"/>
      <c r="H748" s="60"/>
      <c r="I748" s="60"/>
      <c r="J748" s="69"/>
      <c r="K748" s="69"/>
      <c r="L748" s="70"/>
      <c r="M748" s="72"/>
      <c r="N748" s="71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</row>
    <row r="749" spans="1:27" ht="18" customHeight="1">
      <c r="A749" s="61"/>
      <c r="B749" s="60"/>
      <c r="C749" s="69"/>
      <c r="D749" s="70"/>
      <c r="E749" s="72"/>
      <c r="F749" s="71"/>
      <c r="G749" s="71"/>
      <c r="H749" s="60"/>
      <c r="I749" s="60"/>
      <c r="J749" s="69"/>
      <c r="K749" s="69"/>
      <c r="L749" s="70"/>
      <c r="M749" s="72"/>
      <c r="N749" s="71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</row>
    <row r="750" spans="1:27" ht="18" customHeight="1">
      <c r="A750" s="61"/>
      <c r="B750" s="60"/>
      <c r="C750" s="69"/>
      <c r="D750" s="70"/>
      <c r="E750" s="72"/>
      <c r="F750" s="71"/>
      <c r="G750" s="71"/>
      <c r="H750" s="60"/>
      <c r="I750" s="60"/>
      <c r="J750" s="69"/>
      <c r="K750" s="69"/>
      <c r="L750" s="70"/>
      <c r="M750" s="72"/>
      <c r="N750" s="71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</row>
    <row r="751" spans="1:27" ht="18" customHeight="1">
      <c r="A751" s="61"/>
      <c r="B751" s="60"/>
      <c r="C751" s="69"/>
      <c r="D751" s="70"/>
      <c r="E751" s="72"/>
      <c r="F751" s="71"/>
      <c r="G751" s="71"/>
      <c r="H751" s="60"/>
      <c r="I751" s="60"/>
      <c r="J751" s="69"/>
      <c r="K751" s="69"/>
      <c r="L751" s="70"/>
      <c r="M751" s="72"/>
      <c r="N751" s="71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</row>
    <row r="752" spans="1:27" ht="18" customHeight="1">
      <c r="A752" s="61"/>
      <c r="B752" s="60"/>
      <c r="C752" s="69"/>
      <c r="D752" s="70"/>
      <c r="E752" s="72"/>
      <c r="F752" s="71"/>
      <c r="G752" s="71"/>
      <c r="H752" s="60"/>
      <c r="I752" s="60"/>
      <c r="J752" s="69"/>
      <c r="K752" s="69"/>
      <c r="L752" s="70"/>
      <c r="M752" s="72"/>
      <c r="N752" s="71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</row>
    <row r="753" spans="1:27" ht="18" customHeight="1">
      <c r="A753" s="61"/>
      <c r="B753" s="60"/>
      <c r="C753" s="69"/>
      <c r="D753" s="70"/>
      <c r="E753" s="72"/>
      <c r="F753" s="71"/>
      <c r="G753" s="71"/>
      <c r="H753" s="60"/>
      <c r="I753" s="60"/>
      <c r="J753" s="69"/>
      <c r="K753" s="69"/>
      <c r="L753" s="70"/>
      <c r="M753" s="72"/>
      <c r="N753" s="71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</row>
    <row r="754" spans="1:27" ht="18" customHeight="1">
      <c r="A754" s="61"/>
      <c r="B754" s="60"/>
      <c r="C754" s="69"/>
      <c r="D754" s="70"/>
      <c r="E754" s="72"/>
      <c r="F754" s="71"/>
      <c r="G754" s="71"/>
      <c r="H754" s="60"/>
      <c r="I754" s="60"/>
      <c r="J754" s="69"/>
      <c r="K754" s="69"/>
      <c r="L754" s="70"/>
      <c r="M754" s="72"/>
      <c r="N754" s="71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</row>
    <row r="755" spans="1:27" ht="18" customHeight="1">
      <c r="A755" s="61"/>
      <c r="B755" s="60"/>
      <c r="C755" s="69"/>
      <c r="D755" s="70"/>
      <c r="E755" s="72"/>
      <c r="F755" s="71"/>
      <c r="G755" s="71"/>
      <c r="H755" s="60"/>
      <c r="I755" s="60"/>
      <c r="J755" s="69"/>
      <c r="K755" s="69"/>
      <c r="L755" s="70"/>
      <c r="M755" s="72"/>
      <c r="N755" s="71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</row>
    <row r="756" spans="1:27" ht="18" customHeight="1">
      <c r="A756" s="61"/>
      <c r="B756" s="60"/>
      <c r="C756" s="69"/>
      <c r="D756" s="70"/>
      <c r="E756" s="72"/>
      <c r="F756" s="71"/>
      <c r="G756" s="71"/>
      <c r="H756" s="60"/>
      <c r="I756" s="60"/>
      <c r="J756" s="69"/>
      <c r="K756" s="69"/>
      <c r="L756" s="70"/>
      <c r="M756" s="72"/>
      <c r="N756" s="71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</row>
    <row r="757" spans="1:27" ht="18" customHeight="1">
      <c r="A757" s="61"/>
      <c r="B757" s="60"/>
      <c r="C757" s="69"/>
      <c r="D757" s="70"/>
      <c r="E757" s="72"/>
      <c r="F757" s="71"/>
      <c r="G757" s="71"/>
      <c r="H757" s="60"/>
      <c r="I757" s="60"/>
      <c r="J757" s="69"/>
      <c r="K757" s="69"/>
      <c r="L757" s="70"/>
      <c r="M757" s="72"/>
      <c r="N757" s="71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</row>
    <row r="758" spans="1:27" ht="18" customHeight="1">
      <c r="A758" s="61"/>
      <c r="B758" s="60"/>
      <c r="C758" s="69"/>
      <c r="D758" s="70"/>
      <c r="E758" s="72"/>
      <c r="F758" s="71"/>
      <c r="G758" s="71"/>
      <c r="H758" s="60"/>
      <c r="I758" s="60"/>
      <c r="J758" s="69"/>
      <c r="K758" s="69"/>
      <c r="L758" s="70"/>
      <c r="M758" s="72"/>
      <c r="N758" s="71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</row>
    <row r="759" spans="1:27" ht="18" customHeight="1">
      <c r="A759" s="61"/>
      <c r="B759" s="60"/>
      <c r="C759" s="69"/>
      <c r="D759" s="70"/>
      <c r="E759" s="72"/>
      <c r="F759" s="71"/>
      <c r="G759" s="71"/>
      <c r="H759" s="60"/>
      <c r="I759" s="60"/>
      <c r="J759" s="69"/>
      <c r="K759" s="69"/>
      <c r="L759" s="70"/>
      <c r="M759" s="72"/>
      <c r="N759" s="71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</row>
    <row r="760" spans="1:27" ht="18" customHeight="1">
      <c r="A760" s="61"/>
      <c r="B760" s="60"/>
      <c r="C760" s="69"/>
      <c r="D760" s="70"/>
      <c r="E760" s="72"/>
      <c r="F760" s="71"/>
      <c r="G760" s="71"/>
      <c r="H760" s="60"/>
      <c r="I760" s="60"/>
      <c r="J760" s="69"/>
      <c r="K760" s="69"/>
      <c r="L760" s="70"/>
      <c r="M760" s="72"/>
      <c r="N760" s="71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</row>
    <row r="761" spans="1:27" ht="18" customHeight="1">
      <c r="A761" s="61"/>
      <c r="B761" s="60"/>
      <c r="C761" s="69"/>
      <c r="D761" s="70"/>
      <c r="E761" s="72"/>
      <c r="F761" s="71"/>
      <c r="G761" s="71"/>
      <c r="H761" s="60"/>
      <c r="I761" s="60"/>
      <c r="J761" s="69"/>
      <c r="K761" s="69"/>
      <c r="L761" s="70"/>
      <c r="M761" s="72"/>
      <c r="N761" s="71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</row>
    <row r="762" spans="1:27" ht="18" customHeight="1">
      <c r="A762" s="61"/>
      <c r="B762" s="60"/>
      <c r="C762" s="69"/>
      <c r="D762" s="70"/>
      <c r="E762" s="72"/>
      <c r="F762" s="71"/>
      <c r="G762" s="71"/>
      <c r="H762" s="60"/>
      <c r="I762" s="60"/>
      <c r="J762" s="69"/>
      <c r="K762" s="69"/>
      <c r="L762" s="70"/>
      <c r="M762" s="72"/>
      <c r="N762" s="71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</row>
    <row r="763" spans="1:27" ht="18" customHeight="1">
      <c r="A763" s="61"/>
      <c r="B763" s="60"/>
      <c r="C763" s="69"/>
      <c r="D763" s="70"/>
      <c r="E763" s="72"/>
      <c r="F763" s="71"/>
      <c r="G763" s="71"/>
      <c r="H763" s="60"/>
      <c r="I763" s="60"/>
      <c r="J763" s="69"/>
      <c r="K763" s="69"/>
      <c r="L763" s="70"/>
      <c r="M763" s="72"/>
      <c r="N763" s="71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</row>
    <row r="764" spans="1:27" ht="18" customHeight="1">
      <c r="A764" s="61"/>
      <c r="B764" s="60"/>
      <c r="C764" s="69"/>
      <c r="D764" s="70"/>
      <c r="E764" s="72"/>
      <c r="F764" s="71"/>
      <c r="G764" s="71"/>
      <c r="H764" s="60"/>
      <c r="I764" s="60"/>
      <c r="J764" s="69"/>
      <c r="K764" s="69"/>
      <c r="L764" s="70"/>
      <c r="M764" s="72"/>
      <c r="N764" s="71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</row>
    <row r="765" spans="1:27" ht="18" customHeight="1">
      <c r="A765" s="61"/>
      <c r="B765" s="60"/>
      <c r="C765" s="69"/>
      <c r="D765" s="70"/>
      <c r="E765" s="72"/>
      <c r="F765" s="71"/>
      <c r="G765" s="71"/>
      <c r="H765" s="60"/>
      <c r="I765" s="60"/>
      <c r="J765" s="69"/>
      <c r="K765" s="69"/>
      <c r="L765" s="70"/>
      <c r="M765" s="72"/>
      <c r="N765" s="71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</row>
    <row r="766" spans="1:27" ht="18" customHeight="1">
      <c r="A766" s="61"/>
      <c r="B766" s="60"/>
      <c r="C766" s="69"/>
      <c r="D766" s="70"/>
      <c r="E766" s="72"/>
      <c r="F766" s="71"/>
      <c r="G766" s="71"/>
      <c r="H766" s="60"/>
      <c r="I766" s="60"/>
      <c r="J766" s="69"/>
      <c r="K766" s="69"/>
      <c r="L766" s="70"/>
      <c r="M766" s="72"/>
      <c r="N766" s="71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</row>
    <row r="767" spans="1:27" ht="18" customHeight="1">
      <c r="A767" s="61"/>
      <c r="B767" s="60"/>
      <c r="C767" s="69"/>
      <c r="D767" s="70"/>
      <c r="E767" s="72"/>
      <c r="F767" s="71"/>
      <c r="G767" s="71"/>
      <c r="H767" s="60"/>
      <c r="I767" s="60"/>
      <c r="J767" s="69"/>
      <c r="K767" s="69"/>
      <c r="L767" s="70"/>
      <c r="M767" s="72"/>
      <c r="N767" s="71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</row>
    <row r="768" spans="1:27" ht="18" customHeight="1">
      <c r="A768" s="61"/>
      <c r="B768" s="60"/>
      <c r="C768" s="69"/>
      <c r="D768" s="70"/>
      <c r="E768" s="72"/>
      <c r="F768" s="71"/>
      <c r="G768" s="71"/>
      <c r="H768" s="60"/>
      <c r="I768" s="60"/>
      <c r="J768" s="69"/>
      <c r="K768" s="69"/>
      <c r="L768" s="70"/>
      <c r="M768" s="72"/>
      <c r="N768" s="71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</row>
    <row r="769" spans="1:27" ht="18" customHeight="1">
      <c r="A769" s="61"/>
      <c r="B769" s="60"/>
      <c r="C769" s="69"/>
      <c r="D769" s="70"/>
      <c r="E769" s="72"/>
      <c r="F769" s="71"/>
      <c r="G769" s="71"/>
      <c r="H769" s="60"/>
      <c r="I769" s="60"/>
      <c r="J769" s="69"/>
      <c r="K769" s="69"/>
      <c r="L769" s="70"/>
      <c r="M769" s="72"/>
      <c r="N769" s="71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</row>
    <row r="770" spans="1:27" ht="18" customHeight="1">
      <c r="A770" s="61"/>
      <c r="B770" s="60"/>
      <c r="C770" s="69"/>
      <c r="D770" s="70"/>
      <c r="E770" s="72"/>
      <c r="F770" s="71"/>
      <c r="G770" s="71"/>
      <c r="H770" s="60"/>
      <c r="I770" s="60"/>
      <c r="J770" s="69"/>
      <c r="K770" s="69"/>
      <c r="L770" s="70"/>
      <c r="M770" s="72"/>
      <c r="N770" s="71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</row>
    <row r="771" spans="1:27" ht="18" customHeight="1">
      <c r="A771" s="61"/>
      <c r="B771" s="60"/>
      <c r="C771" s="69"/>
      <c r="D771" s="70"/>
      <c r="E771" s="72"/>
      <c r="F771" s="71"/>
      <c r="G771" s="71"/>
      <c r="H771" s="60"/>
      <c r="I771" s="60"/>
      <c r="J771" s="69"/>
      <c r="K771" s="69"/>
      <c r="L771" s="70"/>
      <c r="M771" s="72"/>
      <c r="N771" s="71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</row>
    <row r="772" spans="1:27" ht="18" customHeight="1">
      <c r="A772" s="61"/>
      <c r="B772" s="60"/>
      <c r="C772" s="69"/>
      <c r="D772" s="70"/>
      <c r="E772" s="72"/>
      <c r="F772" s="71"/>
      <c r="G772" s="71"/>
      <c r="H772" s="60"/>
      <c r="I772" s="60"/>
      <c r="J772" s="69"/>
      <c r="K772" s="69"/>
      <c r="L772" s="70"/>
      <c r="M772" s="72"/>
      <c r="N772" s="71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</row>
    <row r="773" spans="1:27" ht="18" customHeight="1">
      <c r="A773" s="61"/>
      <c r="B773" s="60"/>
      <c r="C773" s="69"/>
      <c r="D773" s="70"/>
      <c r="E773" s="72"/>
      <c r="F773" s="71"/>
      <c r="G773" s="71"/>
      <c r="H773" s="60"/>
      <c r="I773" s="60"/>
      <c r="J773" s="69"/>
      <c r="K773" s="69"/>
      <c r="L773" s="70"/>
      <c r="M773" s="72"/>
      <c r="N773" s="71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</row>
    <row r="774" spans="1:27" ht="18" customHeight="1">
      <c r="A774" s="61"/>
      <c r="B774" s="60"/>
      <c r="C774" s="69"/>
      <c r="D774" s="70"/>
      <c r="E774" s="72"/>
      <c r="F774" s="71"/>
      <c r="G774" s="71"/>
      <c r="H774" s="60"/>
      <c r="I774" s="60"/>
      <c r="J774" s="69"/>
      <c r="K774" s="69"/>
      <c r="L774" s="70"/>
      <c r="M774" s="72"/>
      <c r="N774" s="71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</row>
    <row r="775" spans="1:27" ht="18" customHeight="1">
      <c r="A775" s="61"/>
      <c r="B775" s="60"/>
      <c r="C775" s="69"/>
      <c r="D775" s="70"/>
      <c r="E775" s="72"/>
      <c r="F775" s="71"/>
      <c r="G775" s="71"/>
      <c r="H775" s="60"/>
      <c r="I775" s="60"/>
      <c r="J775" s="69"/>
      <c r="K775" s="69"/>
      <c r="L775" s="70"/>
      <c r="M775" s="72"/>
      <c r="N775" s="71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</row>
    <row r="776" spans="1:27" ht="18" customHeight="1">
      <c r="A776" s="61"/>
      <c r="B776" s="60"/>
      <c r="C776" s="69"/>
      <c r="D776" s="70"/>
      <c r="E776" s="72"/>
      <c r="F776" s="71"/>
      <c r="G776" s="71"/>
      <c r="H776" s="60"/>
      <c r="I776" s="60"/>
      <c r="J776" s="69"/>
      <c r="K776" s="69"/>
      <c r="L776" s="70"/>
      <c r="M776" s="72"/>
      <c r="N776" s="71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</row>
    <row r="777" spans="1:27" ht="18" customHeight="1">
      <c r="A777" s="61"/>
      <c r="B777" s="60"/>
      <c r="C777" s="69"/>
      <c r="D777" s="70"/>
      <c r="E777" s="72"/>
      <c r="F777" s="71"/>
      <c r="G777" s="71"/>
      <c r="H777" s="60"/>
      <c r="I777" s="60"/>
      <c r="J777" s="69"/>
      <c r="K777" s="69"/>
      <c r="L777" s="70"/>
      <c r="M777" s="72"/>
      <c r="N777" s="71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</row>
    <row r="778" spans="1:27" ht="18" customHeight="1">
      <c r="A778" s="61"/>
      <c r="B778" s="60"/>
      <c r="C778" s="69"/>
      <c r="D778" s="70"/>
      <c r="E778" s="72"/>
      <c r="F778" s="71"/>
      <c r="G778" s="71"/>
      <c r="H778" s="60"/>
      <c r="I778" s="60"/>
      <c r="J778" s="69"/>
      <c r="K778" s="69"/>
      <c r="L778" s="70"/>
      <c r="M778" s="72"/>
      <c r="N778" s="71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</row>
    <row r="779" spans="1:27" ht="18" customHeight="1">
      <c r="A779" s="61"/>
      <c r="B779" s="60"/>
      <c r="C779" s="69"/>
      <c r="D779" s="70"/>
      <c r="E779" s="72"/>
      <c r="F779" s="71"/>
      <c r="G779" s="71"/>
      <c r="H779" s="60"/>
      <c r="I779" s="60"/>
      <c r="J779" s="69"/>
      <c r="K779" s="69"/>
      <c r="L779" s="70"/>
      <c r="M779" s="72"/>
      <c r="N779" s="71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</row>
    <row r="780" spans="1:27" ht="18" customHeight="1">
      <c r="A780" s="61"/>
      <c r="B780" s="60"/>
      <c r="C780" s="69"/>
      <c r="D780" s="70"/>
      <c r="E780" s="72"/>
      <c r="F780" s="71"/>
      <c r="G780" s="71"/>
      <c r="H780" s="60"/>
      <c r="I780" s="60"/>
      <c r="J780" s="69"/>
      <c r="K780" s="69"/>
      <c r="L780" s="70"/>
      <c r="M780" s="72"/>
      <c r="N780" s="71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</row>
    <row r="781" spans="1:27" ht="18" customHeight="1">
      <c r="A781" s="61"/>
      <c r="B781" s="60"/>
      <c r="C781" s="69"/>
      <c r="D781" s="70"/>
      <c r="E781" s="72"/>
      <c r="F781" s="71"/>
      <c r="G781" s="71"/>
      <c r="H781" s="60"/>
      <c r="I781" s="60"/>
      <c r="J781" s="69"/>
      <c r="K781" s="69"/>
      <c r="L781" s="70"/>
      <c r="M781" s="72"/>
      <c r="N781" s="71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</row>
    <row r="782" spans="1:27" ht="18" customHeight="1">
      <c r="A782" s="61"/>
      <c r="B782" s="60"/>
      <c r="C782" s="69"/>
      <c r="D782" s="70"/>
      <c r="E782" s="72"/>
      <c r="F782" s="71"/>
      <c r="G782" s="71"/>
      <c r="H782" s="60"/>
      <c r="I782" s="60"/>
      <c r="J782" s="69"/>
      <c r="K782" s="69"/>
      <c r="L782" s="70"/>
      <c r="M782" s="72"/>
      <c r="N782" s="71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</row>
    <row r="783" spans="1:27" ht="18" customHeight="1">
      <c r="A783" s="61"/>
      <c r="B783" s="60"/>
      <c r="C783" s="69"/>
      <c r="D783" s="70"/>
      <c r="E783" s="72"/>
      <c r="F783" s="71"/>
      <c r="G783" s="71"/>
      <c r="H783" s="60"/>
      <c r="I783" s="60"/>
      <c r="J783" s="69"/>
      <c r="K783" s="69"/>
      <c r="L783" s="70"/>
      <c r="M783" s="72"/>
      <c r="N783" s="71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</row>
    <row r="784" spans="1:27" ht="18" customHeight="1">
      <c r="A784" s="61"/>
      <c r="B784" s="60"/>
      <c r="C784" s="69"/>
      <c r="D784" s="70"/>
      <c r="E784" s="72"/>
      <c r="F784" s="71"/>
      <c r="G784" s="71"/>
      <c r="H784" s="60"/>
      <c r="I784" s="60"/>
      <c r="J784" s="69"/>
      <c r="K784" s="69"/>
      <c r="L784" s="70"/>
      <c r="M784" s="72"/>
      <c r="N784" s="71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</row>
    <row r="785" spans="1:27" ht="18" customHeight="1">
      <c r="A785" s="61"/>
      <c r="B785" s="60"/>
      <c r="C785" s="69"/>
      <c r="D785" s="70"/>
      <c r="E785" s="72"/>
      <c r="F785" s="71"/>
      <c r="G785" s="71"/>
      <c r="H785" s="60"/>
      <c r="I785" s="60"/>
      <c r="J785" s="69"/>
      <c r="K785" s="69"/>
      <c r="L785" s="70"/>
      <c r="M785" s="72"/>
      <c r="N785" s="71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</row>
    <row r="786" spans="1:27" ht="18" customHeight="1">
      <c r="A786" s="61"/>
      <c r="B786" s="60"/>
      <c r="C786" s="69"/>
      <c r="D786" s="70"/>
      <c r="E786" s="72"/>
      <c r="F786" s="71"/>
      <c r="G786" s="71"/>
      <c r="H786" s="60"/>
      <c r="I786" s="60"/>
      <c r="J786" s="69"/>
      <c r="K786" s="69"/>
      <c r="L786" s="70"/>
      <c r="M786" s="72"/>
      <c r="N786" s="71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</row>
    <row r="787" spans="1:27" ht="18" customHeight="1">
      <c r="A787" s="61"/>
      <c r="B787" s="60"/>
      <c r="C787" s="69"/>
      <c r="D787" s="70"/>
      <c r="E787" s="72"/>
      <c r="F787" s="71"/>
      <c r="G787" s="71"/>
      <c r="H787" s="60"/>
      <c r="I787" s="60"/>
      <c r="J787" s="69"/>
      <c r="K787" s="69"/>
      <c r="L787" s="70"/>
      <c r="M787" s="72"/>
      <c r="N787" s="71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</row>
    <row r="788" spans="1:27" ht="18" customHeight="1">
      <c r="A788" s="61"/>
      <c r="B788" s="60"/>
      <c r="C788" s="69"/>
      <c r="D788" s="70"/>
      <c r="E788" s="72"/>
      <c r="F788" s="71"/>
      <c r="G788" s="71"/>
      <c r="H788" s="60"/>
      <c r="I788" s="60"/>
      <c r="J788" s="69"/>
      <c r="K788" s="69"/>
      <c r="L788" s="70"/>
      <c r="M788" s="72"/>
      <c r="N788" s="71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</row>
    <row r="789" spans="1:27" ht="18" customHeight="1">
      <c r="A789" s="61"/>
      <c r="B789" s="60"/>
      <c r="C789" s="69"/>
      <c r="D789" s="70"/>
      <c r="E789" s="72"/>
      <c r="F789" s="71"/>
      <c r="G789" s="71"/>
      <c r="H789" s="60"/>
      <c r="I789" s="60"/>
      <c r="J789" s="69"/>
      <c r="K789" s="69"/>
      <c r="L789" s="70"/>
      <c r="M789" s="72"/>
      <c r="N789" s="71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</row>
    <row r="790" spans="1:27" ht="18" customHeight="1">
      <c r="A790" s="61"/>
      <c r="B790" s="60"/>
      <c r="C790" s="69"/>
      <c r="D790" s="70"/>
      <c r="E790" s="72"/>
      <c r="F790" s="71"/>
      <c r="G790" s="71"/>
      <c r="H790" s="60"/>
      <c r="I790" s="60"/>
      <c r="J790" s="69"/>
      <c r="K790" s="69"/>
      <c r="L790" s="70"/>
      <c r="M790" s="72"/>
      <c r="N790" s="71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</row>
    <row r="791" spans="1:27" ht="18" customHeight="1">
      <c r="A791" s="61"/>
      <c r="B791" s="60"/>
      <c r="C791" s="69"/>
      <c r="D791" s="70"/>
      <c r="E791" s="72"/>
      <c r="F791" s="71"/>
      <c r="G791" s="71"/>
      <c r="H791" s="60"/>
      <c r="I791" s="60"/>
      <c r="J791" s="69"/>
      <c r="K791" s="69"/>
      <c r="L791" s="70"/>
      <c r="M791" s="72"/>
      <c r="N791" s="71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</row>
    <row r="792" spans="1:27" ht="18" customHeight="1">
      <c r="A792" s="61"/>
      <c r="B792" s="60"/>
      <c r="C792" s="69"/>
      <c r="D792" s="70"/>
      <c r="E792" s="72"/>
      <c r="F792" s="71"/>
      <c r="G792" s="71"/>
      <c r="H792" s="60"/>
      <c r="I792" s="60"/>
      <c r="J792" s="69"/>
      <c r="K792" s="69"/>
      <c r="L792" s="70"/>
      <c r="M792" s="72"/>
      <c r="N792" s="71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</row>
    <row r="793" spans="1:27" ht="18" customHeight="1">
      <c r="A793" s="61"/>
      <c r="B793" s="60"/>
      <c r="C793" s="69"/>
      <c r="D793" s="70"/>
      <c r="E793" s="72"/>
      <c r="F793" s="71"/>
      <c r="G793" s="71"/>
      <c r="H793" s="60"/>
      <c r="I793" s="60"/>
      <c r="J793" s="69"/>
      <c r="K793" s="69"/>
      <c r="L793" s="70"/>
      <c r="M793" s="72"/>
      <c r="N793" s="71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</row>
    <row r="794" spans="1:27" ht="18" customHeight="1">
      <c r="A794" s="61"/>
      <c r="B794" s="60"/>
      <c r="C794" s="69"/>
      <c r="D794" s="70"/>
      <c r="E794" s="72"/>
      <c r="F794" s="71"/>
      <c r="G794" s="71"/>
      <c r="H794" s="60"/>
      <c r="I794" s="60"/>
      <c r="J794" s="69"/>
      <c r="K794" s="69"/>
      <c r="L794" s="70"/>
      <c r="M794" s="72"/>
      <c r="N794" s="71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</row>
    <row r="795" spans="1:27" ht="18" customHeight="1">
      <c r="A795" s="61"/>
      <c r="B795" s="60"/>
      <c r="C795" s="69"/>
      <c r="D795" s="70"/>
      <c r="E795" s="72"/>
      <c r="F795" s="71"/>
      <c r="G795" s="71"/>
      <c r="H795" s="60"/>
      <c r="I795" s="60"/>
      <c r="J795" s="69"/>
      <c r="K795" s="69"/>
      <c r="L795" s="70"/>
      <c r="M795" s="72"/>
      <c r="N795" s="71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</row>
    <row r="796" spans="1:27" ht="18" customHeight="1">
      <c r="A796" s="61"/>
      <c r="B796" s="60"/>
      <c r="C796" s="69"/>
      <c r="D796" s="70"/>
      <c r="E796" s="72"/>
      <c r="F796" s="71"/>
      <c r="G796" s="71"/>
      <c r="H796" s="60"/>
      <c r="I796" s="60"/>
      <c r="J796" s="69"/>
      <c r="K796" s="69"/>
      <c r="L796" s="70"/>
      <c r="M796" s="72"/>
      <c r="N796" s="71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</row>
    <row r="797" spans="1:27" ht="18" customHeight="1">
      <c r="A797" s="61"/>
      <c r="B797" s="60"/>
      <c r="C797" s="69"/>
      <c r="D797" s="70"/>
      <c r="E797" s="72"/>
      <c r="F797" s="71"/>
      <c r="G797" s="71"/>
      <c r="H797" s="60"/>
      <c r="I797" s="60"/>
      <c r="J797" s="69"/>
      <c r="K797" s="69"/>
      <c r="L797" s="70"/>
      <c r="M797" s="72"/>
      <c r="N797" s="71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</row>
    <row r="798" spans="1:27" ht="18" customHeight="1">
      <c r="A798" s="61"/>
      <c r="B798" s="60"/>
      <c r="C798" s="69"/>
      <c r="D798" s="70"/>
      <c r="E798" s="72"/>
      <c r="F798" s="71"/>
      <c r="G798" s="71"/>
      <c r="H798" s="60"/>
      <c r="I798" s="60"/>
      <c r="J798" s="69"/>
      <c r="K798" s="69"/>
      <c r="L798" s="70"/>
      <c r="M798" s="72"/>
      <c r="N798" s="71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</row>
    <row r="799" spans="1:27" ht="18" customHeight="1">
      <c r="A799" s="61"/>
      <c r="B799" s="60"/>
      <c r="C799" s="69"/>
      <c r="D799" s="70"/>
      <c r="E799" s="72"/>
      <c r="F799" s="71"/>
      <c r="G799" s="71"/>
      <c r="H799" s="60"/>
      <c r="I799" s="60"/>
      <c r="J799" s="69"/>
      <c r="K799" s="69"/>
      <c r="L799" s="70"/>
      <c r="M799" s="72"/>
      <c r="N799" s="71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</row>
    <row r="800" spans="1:27" ht="18" customHeight="1">
      <c r="A800" s="61"/>
      <c r="B800" s="60"/>
      <c r="C800" s="69"/>
      <c r="D800" s="70"/>
      <c r="E800" s="72"/>
      <c r="F800" s="71"/>
      <c r="G800" s="71"/>
      <c r="H800" s="60"/>
      <c r="I800" s="60"/>
      <c r="J800" s="69"/>
      <c r="K800" s="69"/>
      <c r="L800" s="70"/>
      <c r="M800" s="72"/>
      <c r="N800" s="71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</row>
    <row r="801" spans="1:27" ht="18" customHeight="1">
      <c r="A801" s="61"/>
      <c r="B801" s="60"/>
      <c r="C801" s="69"/>
      <c r="D801" s="70"/>
      <c r="E801" s="72"/>
      <c r="F801" s="71"/>
      <c r="G801" s="71"/>
      <c r="H801" s="60"/>
      <c r="I801" s="60"/>
      <c r="J801" s="69"/>
      <c r="K801" s="69"/>
      <c r="L801" s="70"/>
      <c r="M801" s="72"/>
      <c r="N801" s="71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</row>
    <row r="802" spans="1:27" ht="18" customHeight="1">
      <c r="A802" s="61"/>
      <c r="B802" s="60"/>
      <c r="C802" s="69"/>
      <c r="D802" s="70"/>
      <c r="E802" s="72"/>
      <c r="F802" s="71"/>
      <c r="G802" s="71"/>
      <c r="H802" s="60"/>
      <c r="I802" s="60"/>
      <c r="J802" s="69"/>
      <c r="K802" s="69"/>
      <c r="L802" s="70"/>
      <c r="M802" s="72"/>
      <c r="N802" s="71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</row>
    <row r="803" spans="1:27" ht="18" customHeight="1">
      <c r="A803" s="61"/>
      <c r="B803" s="60"/>
      <c r="C803" s="69"/>
      <c r="D803" s="70"/>
      <c r="E803" s="72"/>
      <c r="F803" s="71"/>
      <c r="G803" s="71"/>
      <c r="H803" s="60"/>
      <c r="I803" s="60"/>
      <c r="J803" s="69"/>
      <c r="K803" s="69"/>
      <c r="L803" s="70"/>
      <c r="M803" s="72"/>
      <c r="N803" s="71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</row>
    <row r="804" spans="1:27" ht="18" customHeight="1">
      <c r="A804" s="61"/>
      <c r="B804" s="60"/>
      <c r="C804" s="69"/>
      <c r="D804" s="70"/>
      <c r="E804" s="72"/>
      <c r="F804" s="71"/>
      <c r="G804" s="71"/>
      <c r="H804" s="60"/>
      <c r="I804" s="60"/>
      <c r="J804" s="69"/>
      <c r="K804" s="69"/>
      <c r="L804" s="70"/>
      <c r="M804" s="72"/>
      <c r="N804" s="71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</row>
    <row r="805" spans="1:27" ht="18" customHeight="1">
      <c r="A805" s="61"/>
      <c r="B805" s="60"/>
      <c r="C805" s="69"/>
      <c r="D805" s="70"/>
      <c r="E805" s="72"/>
      <c r="F805" s="71"/>
      <c r="G805" s="71"/>
      <c r="H805" s="60"/>
      <c r="I805" s="60"/>
      <c r="J805" s="69"/>
      <c r="K805" s="69"/>
      <c r="L805" s="70"/>
      <c r="M805" s="72"/>
      <c r="N805" s="71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</row>
    <row r="806" spans="1:27" ht="18" customHeight="1">
      <c r="A806" s="61"/>
      <c r="B806" s="60"/>
      <c r="C806" s="69"/>
      <c r="D806" s="70"/>
      <c r="E806" s="72"/>
      <c r="F806" s="71"/>
      <c r="G806" s="71"/>
      <c r="H806" s="60"/>
      <c r="I806" s="60"/>
      <c r="J806" s="69"/>
      <c r="K806" s="69"/>
      <c r="L806" s="70"/>
      <c r="M806" s="72"/>
      <c r="N806" s="71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</row>
    <row r="807" spans="1:27" ht="18" customHeight="1">
      <c r="A807" s="61"/>
      <c r="B807" s="60"/>
      <c r="C807" s="69"/>
      <c r="D807" s="70"/>
      <c r="E807" s="72"/>
      <c r="F807" s="71"/>
      <c r="G807" s="71"/>
      <c r="H807" s="60"/>
      <c r="I807" s="60"/>
      <c r="J807" s="69"/>
      <c r="K807" s="69"/>
      <c r="L807" s="70"/>
      <c r="M807" s="72"/>
      <c r="N807" s="71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</row>
    <row r="808" spans="1:27" ht="18" customHeight="1">
      <c r="A808" s="61"/>
      <c r="B808" s="60"/>
      <c r="C808" s="69"/>
      <c r="D808" s="70"/>
      <c r="E808" s="72"/>
      <c r="F808" s="71"/>
      <c r="G808" s="71"/>
      <c r="H808" s="60"/>
      <c r="I808" s="60"/>
      <c r="J808" s="69"/>
      <c r="K808" s="69"/>
      <c r="L808" s="70"/>
      <c r="M808" s="72"/>
      <c r="N808" s="71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</row>
    <row r="809" spans="1:27" ht="18" customHeight="1">
      <c r="A809" s="61"/>
      <c r="B809" s="60"/>
      <c r="C809" s="69"/>
      <c r="D809" s="70"/>
      <c r="E809" s="72"/>
      <c r="F809" s="71"/>
      <c r="G809" s="71"/>
      <c r="H809" s="60"/>
      <c r="I809" s="60"/>
      <c r="J809" s="69"/>
      <c r="K809" s="69"/>
      <c r="L809" s="70"/>
      <c r="M809" s="72"/>
      <c r="N809" s="71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</row>
    <row r="810" spans="1:27" ht="18" customHeight="1">
      <c r="A810" s="61"/>
      <c r="B810" s="60"/>
      <c r="C810" s="69"/>
      <c r="D810" s="70"/>
      <c r="E810" s="72"/>
      <c r="F810" s="71"/>
      <c r="G810" s="71"/>
      <c r="H810" s="60"/>
      <c r="I810" s="60"/>
      <c r="J810" s="69"/>
      <c r="K810" s="69"/>
      <c r="L810" s="70"/>
      <c r="M810" s="72"/>
      <c r="N810" s="71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</row>
    <row r="811" spans="1:27" ht="18" customHeight="1">
      <c r="A811" s="61"/>
      <c r="B811" s="60"/>
      <c r="C811" s="69"/>
      <c r="D811" s="70"/>
      <c r="E811" s="72"/>
      <c r="F811" s="71"/>
      <c r="G811" s="71"/>
      <c r="H811" s="60"/>
      <c r="I811" s="60"/>
      <c r="J811" s="69"/>
      <c r="K811" s="69"/>
      <c r="L811" s="70"/>
      <c r="M811" s="72"/>
      <c r="N811" s="71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</row>
    <row r="812" spans="1:27" ht="18" customHeight="1">
      <c r="A812" s="61"/>
      <c r="B812" s="60"/>
      <c r="C812" s="69"/>
      <c r="D812" s="70"/>
      <c r="E812" s="72"/>
      <c r="F812" s="71"/>
      <c r="G812" s="71"/>
      <c r="H812" s="60"/>
      <c r="I812" s="60"/>
      <c r="J812" s="69"/>
      <c r="K812" s="69"/>
      <c r="L812" s="70"/>
      <c r="M812" s="72"/>
      <c r="N812" s="71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</row>
    <row r="813" spans="1:27" ht="18" customHeight="1">
      <c r="A813" s="61"/>
      <c r="B813" s="60"/>
      <c r="C813" s="69"/>
      <c r="D813" s="70"/>
      <c r="E813" s="72"/>
      <c r="F813" s="71"/>
      <c r="G813" s="71"/>
      <c r="H813" s="60"/>
      <c r="I813" s="60"/>
      <c r="J813" s="69"/>
      <c r="K813" s="69"/>
      <c r="L813" s="70"/>
      <c r="M813" s="72"/>
      <c r="N813" s="71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</row>
    <row r="814" spans="1:27" ht="18" customHeight="1">
      <c r="A814" s="61"/>
      <c r="B814" s="60"/>
      <c r="C814" s="69"/>
      <c r="D814" s="70"/>
      <c r="E814" s="72"/>
      <c r="F814" s="71"/>
      <c r="G814" s="71"/>
      <c r="H814" s="60"/>
      <c r="I814" s="60"/>
      <c r="J814" s="69"/>
      <c r="K814" s="69"/>
      <c r="L814" s="70"/>
      <c r="M814" s="72"/>
      <c r="N814" s="71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</row>
    <row r="815" spans="1:27" ht="18" customHeight="1">
      <c r="A815" s="61"/>
      <c r="B815" s="60"/>
      <c r="C815" s="69"/>
      <c r="D815" s="70"/>
      <c r="E815" s="72"/>
      <c r="F815" s="71"/>
      <c r="G815" s="71"/>
      <c r="H815" s="60"/>
      <c r="I815" s="60"/>
      <c r="J815" s="69"/>
      <c r="K815" s="69"/>
      <c r="L815" s="70"/>
      <c r="M815" s="72"/>
      <c r="N815" s="71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</row>
    <row r="816" spans="1:27" ht="18" customHeight="1">
      <c r="A816" s="61"/>
      <c r="B816" s="60"/>
      <c r="C816" s="69"/>
      <c r="D816" s="70"/>
      <c r="E816" s="72"/>
      <c r="F816" s="71"/>
      <c r="G816" s="71"/>
      <c r="H816" s="60"/>
      <c r="I816" s="60"/>
      <c r="J816" s="69"/>
      <c r="K816" s="69"/>
      <c r="L816" s="70"/>
      <c r="M816" s="72"/>
      <c r="N816" s="71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</row>
    <row r="817" spans="1:27" ht="18" customHeight="1">
      <c r="A817" s="61"/>
      <c r="B817" s="60"/>
      <c r="C817" s="69"/>
      <c r="D817" s="70"/>
      <c r="E817" s="72"/>
      <c r="F817" s="71"/>
      <c r="G817" s="71"/>
      <c r="H817" s="60"/>
      <c r="I817" s="60"/>
      <c r="J817" s="69"/>
      <c r="K817" s="69"/>
      <c r="L817" s="70"/>
      <c r="M817" s="72"/>
      <c r="N817" s="71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</row>
    <row r="818" spans="1:27" ht="18" customHeight="1">
      <c r="A818" s="61"/>
      <c r="B818" s="60"/>
      <c r="C818" s="69"/>
      <c r="D818" s="70"/>
      <c r="E818" s="72"/>
      <c r="F818" s="71"/>
      <c r="G818" s="71"/>
      <c r="H818" s="60"/>
      <c r="I818" s="60"/>
      <c r="J818" s="69"/>
      <c r="K818" s="69"/>
      <c r="L818" s="70"/>
      <c r="M818" s="72"/>
      <c r="N818" s="71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</row>
    <row r="819" spans="1:27" ht="18" customHeight="1">
      <c r="A819" s="61"/>
      <c r="B819" s="60"/>
      <c r="C819" s="69"/>
      <c r="D819" s="70"/>
      <c r="E819" s="72"/>
      <c r="F819" s="71"/>
      <c r="G819" s="71"/>
      <c r="H819" s="60"/>
      <c r="I819" s="60"/>
      <c r="J819" s="69"/>
      <c r="K819" s="69"/>
      <c r="L819" s="70"/>
      <c r="M819" s="72"/>
      <c r="N819" s="71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</row>
    <row r="820" spans="1:27" ht="18" customHeight="1">
      <c r="A820" s="61"/>
      <c r="B820" s="60"/>
      <c r="C820" s="69"/>
      <c r="D820" s="70"/>
      <c r="E820" s="72"/>
      <c r="F820" s="71"/>
      <c r="G820" s="71"/>
      <c r="H820" s="60"/>
      <c r="I820" s="60"/>
      <c r="J820" s="69"/>
      <c r="K820" s="69"/>
      <c r="L820" s="70"/>
      <c r="M820" s="72"/>
      <c r="N820" s="71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</row>
    <row r="821" spans="1:27" ht="18" customHeight="1">
      <c r="A821" s="61"/>
      <c r="B821" s="60"/>
      <c r="C821" s="69"/>
      <c r="D821" s="70"/>
      <c r="E821" s="72"/>
      <c r="F821" s="71"/>
      <c r="G821" s="71"/>
      <c r="H821" s="60"/>
      <c r="I821" s="60"/>
      <c r="J821" s="69"/>
      <c r="K821" s="69"/>
      <c r="L821" s="70"/>
      <c r="M821" s="72"/>
      <c r="N821" s="71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</row>
    <row r="822" spans="1:27" ht="18" customHeight="1">
      <c r="A822" s="61"/>
      <c r="B822" s="60"/>
      <c r="C822" s="69"/>
      <c r="D822" s="70"/>
      <c r="E822" s="72"/>
      <c r="F822" s="71"/>
      <c r="G822" s="71"/>
      <c r="H822" s="60"/>
      <c r="I822" s="60"/>
      <c r="J822" s="69"/>
      <c r="K822" s="69"/>
      <c r="L822" s="70"/>
      <c r="M822" s="72"/>
      <c r="N822" s="71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</row>
    <row r="823" spans="1:27" ht="18" customHeight="1">
      <c r="A823" s="61"/>
      <c r="B823" s="60"/>
      <c r="C823" s="69"/>
      <c r="D823" s="70"/>
      <c r="E823" s="72"/>
      <c r="F823" s="71"/>
      <c r="G823" s="71"/>
      <c r="H823" s="60"/>
      <c r="I823" s="60"/>
      <c r="J823" s="69"/>
      <c r="K823" s="69"/>
      <c r="L823" s="70"/>
      <c r="M823" s="72"/>
      <c r="N823" s="71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</row>
    <row r="824" spans="1:27" ht="18" customHeight="1">
      <c r="A824" s="61"/>
      <c r="B824" s="60"/>
      <c r="C824" s="69"/>
      <c r="D824" s="70"/>
      <c r="E824" s="72"/>
      <c r="F824" s="71"/>
      <c r="G824" s="71"/>
      <c r="H824" s="60"/>
      <c r="I824" s="60"/>
      <c r="J824" s="69"/>
      <c r="K824" s="69"/>
      <c r="L824" s="70"/>
      <c r="M824" s="72"/>
      <c r="N824" s="71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</row>
    <row r="825" spans="1:27" ht="18" customHeight="1">
      <c r="A825" s="61"/>
      <c r="B825" s="60"/>
      <c r="C825" s="69"/>
      <c r="D825" s="70"/>
      <c r="E825" s="72"/>
      <c r="F825" s="71"/>
      <c r="G825" s="71"/>
      <c r="H825" s="60"/>
      <c r="I825" s="60"/>
      <c r="J825" s="69"/>
      <c r="K825" s="69"/>
      <c r="L825" s="70"/>
      <c r="M825" s="72"/>
      <c r="N825" s="71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</row>
    <row r="826" spans="1:27" ht="18" customHeight="1">
      <c r="A826" s="61"/>
      <c r="B826" s="60"/>
      <c r="C826" s="69"/>
      <c r="D826" s="70"/>
      <c r="E826" s="72"/>
      <c r="F826" s="71"/>
      <c r="G826" s="71"/>
      <c r="H826" s="60"/>
      <c r="I826" s="60"/>
      <c r="J826" s="69"/>
      <c r="K826" s="69"/>
      <c r="L826" s="70"/>
      <c r="M826" s="72"/>
      <c r="N826" s="71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</row>
    <row r="827" spans="1:27" ht="18" customHeight="1">
      <c r="A827" s="61"/>
      <c r="B827" s="60"/>
      <c r="C827" s="69"/>
      <c r="D827" s="70"/>
      <c r="E827" s="72"/>
      <c r="F827" s="71"/>
      <c r="G827" s="71"/>
      <c r="H827" s="60"/>
      <c r="I827" s="60"/>
      <c r="J827" s="69"/>
      <c r="K827" s="69"/>
      <c r="L827" s="70"/>
      <c r="M827" s="72"/>
      <c r="N827" s="71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</row>
    <row r="828" spans="1:27" ht="18" customHeight="1">
      <c r="A828" s="61"/>
      <c r="B828" s="60"/>
      <c r="C828" s="69"/>
      <c r="D828" s="70"/>
      <c r="E828" s="72"/>
      <c r="F828" s="71"/>
      <c r="G828" s="71"/>
      <c r="H828" s="60"/>
      <c r="I828" s="60"/>
      <c r="J828" s="69"/>
      <c r="K828" s="69"/>
      <c r="L828" s="70"/>
      <c r="M828" s="72"/>
      <c r="N828" s="71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</row>
    <row r="829" spans="1:27" ht="18" customHeight="1">
      <c r="A829" s="61"/>
      <c r="B829" s="60"/>
      <c r="C829" s="69"/>
      <c r="D829" s="70"/>
      <c r="E829" s="72"/>
      <c r="F829" s="71"/>
      <c r="G829" s="71"/>
      <c r="H829" s="60"/>
      <c r="I829" s="60"/>
      <c r="J829" s="69"/>
      <c r="K829" s="69"/>
      <c r="L829" s="70"/>
      <c r="M829" s="72"/>
      <c r="N829" s="71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</row>
    <row r="830" spans="1:27" ht="18" customHeight="1">
      <c r="A830" s="61"/>
      <c r="B830" s="60"/>
      <c r="C830" s="69"/>
      <c r="D830" s="70"/>
      <c r="E830" s="72"/>
      <c r="F830" s="71"/>
      <c r="G830" s="71"/>
      <c r="H830" s="60"/>
      <c r="I830" s="60"/>
      <c r="J830" s="69"/>
      <c r="K830" s="69"/>
      <c r="L830" s="70"/>
      <c r="M830" s="72"/>
      <c r="N830" s="71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</row>
    <row r="831" spans="1:27" ht="18" customHeight="1">
      <c r="A831" s="61"/>
      <c r="B831" s="60"/>
      <c r="C831" s="69"/>
      <c r="D831" s="70"/>
      <c r="E831" s="72"/>
      <c r="F831" s="71"/>
      <c r="G831" s="71"/>
      <c r="H831" s="60"/>
      <c r="I831" s="60"/>
      <c r="J831" s="69"/>
      <c r="K831" s="69"/>
      <c r="L831" s="70"/>
      <c r="M831" s="72"/>
      <c r="N831" s="71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</row>
    <row r="832" spans="1:27" ht="18" customHeight="1">
      <c r="A832" s="61"/>
      <c r="B832" s="60"/>
      <c r="C832" s="69"/>
      <c r="D832" s="70"/>
      <c r="E832" s="72"/>
      <c r="F832" s="71"/>
      <c r="G832" s="71"/>
      <c r="H832" s="60"/>
      <c r="I832" s="60"/>
      <c r="J832" s="69"/>
      <c r="K832" s="69"/>
      <c r="L832" s="70"/>
      <c r="M832" s="72"/>
      <c r="N832" s="71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</row>
    <row r="833" spans="1:27" ht="18" customHeight="1">
      <c r="A833" s="61"/>
      <c r="B833" s="60"/>
      <c r="C833" s="69"/>
      <c r="D833" s="70"/>
      <c r="E833" s="72"/>
      <c r="F833" s="71"/>
      <c r="G833" s="71"/>
      <c r="H833" s="60"/>
      <c r="I833" s="60"/>
      <c r="J833" s="69"/>
      <c r="K833" s="69"/>
      <c r="L833" s="70"/>
      <c r="M833" s="72"/>
      <c r="N833" s="71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</row>
    <row r="834" spans="1:27" ht="18" customHeight="1">
      <c r="A834" s="61"/>
      <c r="B834" s="60"/>
      <c r="C834" s="69"/>
      <c r="D834" s="70"/>
      <c r="E834" s="72"/>
      <c r="F834" s="71"/>
      <c r="G834" s="71"/>
      <c r="H834" s="60"/>
      <c r="I834" s="60"/>
      <c r="J834" s="69"/>
      <c r="K834" s="69"/>
      <c r="L834" s="70"/>
      <c r="M834" s="72"/>
      <c r="N834" s="71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</row>
    <row r="835" spans="1:27" ht="18" customHeight="1">
      <c r="A835" s="61"/>
      <c r="B835" s="60"/>
      <c r="C835" s="69"/>
      <c r="D835" s="70"/>
      <c r="E835" s="72"/>
      <c r="F835" s="71"/>
      <c r="G835" s="71"/>
      <c r="H835" s="60"/>
      <c r="I835" s="60"/>
      <c r="J835" s="69"/>
      <c r="K835" s="69"/>
      <c r="L835" s="70"/>
      <c r="M835" s="72"/>
      <c r="N835" s="71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</row>
    <row r="836" spans="1:27" ht="18" customHeight="1">
      <c r="A836" s="61"/>
      <c r="B836" s="60"/>
      <c r="C836" s="69"/>
      <c r="D836" s="70"/>
      <c r="E836" s="72"/>
      <c r="F836" s="71"/>
      <c r="G836" s="71"/>
      <c r="H836" s="60"/>
      <c r="I836" s="60"/>
      <c r="J836" s="69"/>
      <c r="K836" s="69"/>
      <c r="L836" s="70"/>
      <c r="M836" s="72"/>
      <c r="N836" s="71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</row>
    <row r="837" spans="1:27" ht="18" customHeight="1">
      <c r="A837" s="61"/>
      <c r="B837" s="60"/>
      <c r="C837" s="69"/>
      <c r="D837" s="70"/>
      <c r="E837" s="72"/>
      <c r="F837" s="71"/>
      <c r="G837" s="71"/>
      <c r="H837" s="60"/>
      <c r="I837" s="60"/>
      <c r="J837" s="69"/>
      <c r="K837" s="69"/>
      <c r="L837" s="70"/>
      <c r="M837" s="72"/>
      <c r="N837" s="71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</row>
    <row r="838" spans="1:27" ht="18" customHeight="1">
      <c r="A838" s="61"/>
      <c r="B838" s="60"/>
      <c r="C838" s="69"/>
      <c r="D838" s="70"/>
      <c r="E838" s="72"/>
      <c r="F838" s="71"/>
      <c r="G838" s="71"/>
      <c r="H838" s="60"/>
      <c r="I838" s="60"/>
      <c r="J838" s="69"/>
      <c r="K838" s="69"/>
      <c r="L838" s="70"/>
      <c r="M838" s="72"/>
      <c r="N838" s="71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</row>
    <row r="839" spans="1:27" ht="18" customHeight="1">
      <c r="A839" s="61"/>
      <c r="B839" s="60"/>
      <c r="C839" s="69"/>
      <c r="D839" s="70"/>
      <c r="E839" s="72"/>
      <c r="F839" s="71"/>
      <c r="G839" s="71"/>
      <c r="H839" s="60"/>
      <c r="I839" s="60"/>
      <c r="J839" s="69"/>
      <c r="K839" s="69"/>
      <c r="L839" s="70"/>
      <c r="M839" s="72"/>
      <c r="N839" s="71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</row>
    <row r="840" spans="1:27" ht="18" customHeight="1">
      <c r="A840" s="61"/>
      <c r="B840" s="60"/>
      <c r="C840" s="69"/>
      <c r="D840" s="70"/>
      <c r="E840" s="72"/>
      <c r="F840" s="71"/>
      <c r="G840" s="71"/>
      <c r="H840" s="60"/>
      <c r="I840" s="60"/>
      <c r="J840" s="69"/>
      <c r="K840" s="69"/>
      <c r="L840" s="70"/>
      <c r="M840" s="72"/>
      <c r="N840" s="71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</row>
    <row r="841" spans="1:27" ht="18" customHeight="1">
      <c r="A841" s="61"/>
      <c r="B841" s="60"/>
      <c r="C841" s="69"/>
      <c r="D841" s="70"/>
      <c r="E841" s="72"/>
      <c r="F841" s="71"/>
      <c r="G841" s="71"/>
      <c r="H841" s="60"/>
      <c r="I841" s="60"/>
      <c r="J841" s="69"/>
      <c r="K841" s="69"/>
      <c r="L841" s="70"/>
      <c r="M841" s="72"/>
      <c r="N841" s="71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</row>
    <row r="842" spans="1:27" ht="18" customHeight="1">
      <c r="A842" s="61"/>
      <c r="B842" s="60"/>
      <c r="C842" s="69"/>
      <c r="D842" s="70"/>
      <c r="E842" s="72"/>
      <c r="F842" s="71"/>
      <c r="G842" s="71"/>
      <c r="H842" s="60"/>
      <c r="I842" s="60"/>
      <c r="J842" s="69"/>
      <c r="K842" s="69"/>
      <c r="L842" s="70"/>
      <c r="M842" s="72"/>
      <c r="N842" s="71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</row>
    <row r="843" spans="1:27" ht="18" customHeight="1">
      <c r="A843" s="61"/>
      <c r="B843" s="60"/>
      <c r="C843" s="69"/>
      <c r="D843" s="70"/>
      <c r="E843" s="72"/>
      <c r="F843" s="71"/>
      <c r="G843" s="71"/>
      <c r="H843" s="60"/>
      <c r="I843" s="60"/>
      <c r="J843" s="69"/>
      <c r="K843" s="69"/>
      <c r="L843" s="70"/>
      <c r="M843" s="72"/>
      <c r="N843" s="71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</row>
    <row r="844" spans="1:27" ht="18" customHeight="1">
      <c r="A844" s="61"/>
      <c r="B844" s="60"/>
      <c r="C844" s="69"/>
      <c r="D844" s="70"/>
      <c r="E844" s="72"/>
      <c r="F844" s="71"/>
      <c r="G844" s="71"/>
      <c r="H844" s="60"/>
      <c r="I844" s="60"/>
      <c r="J844" s="69"/>
      <c r="K844" s="69"/>
      <c r="L844" s="70"/>
      <c r="M844" s="72"/>
      <c r="N844" s="71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</row>
    <row r="845" spans="1:27" ht="18" customHeight="1">
      <c r="A845" s="61"/>
      <c r="B845" s="60"/>
      <c r="C845" s="69"/>
      <c r="D845" s="70"/>
      <c r="E845" s="72"/>
      <c r="F845" s="71"/>
      <c r="G845" s="71"/>
      <c r="H845" s="60"/>
      <c r="I845" s="60"/>
      <c r="J845" s="69"/>
      <c r="K845" s="69"/>
      <c r="L845" s="70"/>
      <c r="M845" s="72"/>
      <c r="N845" s="71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</row>
    <row r="846" spans="1:27" ht="18" customHeight="1">
      <c r="A846" s="61"/>
      <c r="B846" s="60"/>
      <c r="C846" s="69"/>
      <c r="D846" s="70"/>
      <c r="E846" s="72"/>
      <c r="F846" s="71"/>
      <c r="G846" s="71"/>
      <c r="H846" s="60"/>
      <c r="I846" s="60"/>
      <c r="J846" s="69"/>
      <c r="K846" s="69"/>
      <c r="L846" s="70"/>
      <c r="M846" s="72"/>
      <c r="N846" s="71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</row>
    <row r="847" spans="1:27" ht="18" customHeight="1">
      <c r="A847" s="61"/>
      <c r="B847" s="60"/>
      <c r="C847" s="69"/>
      <c r="D847" s="70"/>
      <c r="E847" s="72"/>
      <c r="F847" s="71"/>
      <c r="G847" s="71"/>
      <c r="H847" s="60"/>
      <c r="I847" s="60"/>
      <c r="J847" s="69"/>
      <c r="K847" s="69"/>
      <c r="L847" s="70"/>
      <c r="M847" s="72"/>
      <c r="N847" s="71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</row>
    <row r="848" spans="1:27" ht="18" customHeight="1">
      <c r="A848" s="61"/>
      <c r="B848" s="60"/>
      <c r="C848" s="69"/>
      <c r="D848" s="70"/>
      <c r="E848" s="72"/>
      <c r="F848" s="71"/>
      <c r="G848" s="71"/>
      <c r="H848" s="60"/>
      <c r="I848" s="60"/>
      <c r="J848" s="69"/>
      <c r="K848" s="69"/>
      <c r="L848" s="70"/>
      <c r="M848" s="72"/>
      <c r="N848" s="71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</row>
    <row r="849" spans="1:27" ht="18" customHeight="1">
      <c r="A849" s="61"/>
      <c r="B849" s="60"/>
      <c r="C849" s="69"/>
      <c r="D849" s="70"/>
      <c r="E849" s="72"/>
      <c r="F849" s="71"/>
      <c r="G849" s="71"/>
      <c r="H849" s="60"/>
      <c r="I849" s="60"/>
      <c r="J849" s="69"/>
      <c r="K849" s="69"/>
      <c r="L849" s="70"/>
      <c r="M849" s="72"/>
      <c r="N849" s="71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</row>
    <row r="850" spans="1:27" ht="18" customHeight="1">
      <c r="A850" s="61"/>
      <c r="B850" s="60"/>
      <c r="C850" s="69"/>
      <c r="D850" s="70"/>
      <c r="E850" s="72"/>
      <c r="F850" s="71"/>
      <c r="G850" s="71"/>
      <c r="H850" s="60"/>
      <c r="I850" s="60"/>
      <c r="J850" s="69"/>
      <c r="K850" s="69"/>
      <c r="L850" s="70"/>
      <c r="M850" s="72"/>
      <c r="N850" s="71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</row>
    <row r="851" spans="1:27" ht="18" customHeight="1">
      <c r="A851" s="61"/>
      <c r="B851" s="60"/>
      <c r="C851" s="69"/>
      <c r="D851" s="70"/>
      <c r="E851" s="72"/>
      <c r="F851" s="71"/>
      <c r="G851" s="71"/>
      <c r="H851" s="60"/>
      <c r="I851" s="60"/>
      <c r="J851" s="69"/>
      <c r="K851" s="69"/>
      <c r="L851" s="70"/>
      <c r="M851" s="72"/>
      <c r="N851" s="71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</row>
    <row r="852" spans="1:27" ht="18" customHeight="1">
      <c r="A852" s="61"/>
      <c r="B852" s="60"/>
      <c r="C852" s="69"/>
      <c r="D852" s="70"/>
      <c r="E852" s="72"/>
      <c r="F852" s="71"/>
      <c r="G852" s="71"/>
      <c r="H852" s="60"/>
      <c r="I852" s="60"/>
      <c r="J852" s="69"/>
      <c r="K852" s="69"/>
      <c r="L852" s="70"/>
      <c r="M852" s="72"/>
      <c r="N852" s="71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</row>
    <row r="853" spans="1:27" ht="18" customHeight="1">
      <c r="A853" s="61"/>
      <c r="B853" s="60"/>
      <c r="C853" s="69"/>
      <c r="D853" s="70"/>
      <c r="E853" s="72"/>
      <c r="F853" s="71"/>
      <c r="G853" s="71"/>
      <c r="H853" s="60"/>
      <c r="I853" s="60"/>
      <c r="J853" s="69"/>
      <c r="K853" s="69"/>
      <c r="L853" s="70"/>
      <c r="M853" s="72"/>
      <c r="N853" s="71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</row>
    <row r="854" spans="1:27" ht="18" customHeight="1">
      <c r="A854" s="61"/>
      <c r="B854" s="60"/>
      <c r="C854" s="69"/>
      <c r="D854" s="70"/>
      <c r="E854" s="72"/>
      <c r="F854" s="71"/>
      <c r="G854" s="71"/>
      <c r="H854" s="60"/>
      <c r="I854" s="60"/>
      <c r="J854" s="69"/>
      <c r="K854" s="69"/>
      <c r="L854" s="70"/>
      <c r="M854" s="72"/>
      <c r="N854" s="71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</row>
    <row r="855" spans="1:27" ht="18" customHeight="1">
      <c r="A855" s="61"/>
      <c r="B855" s="60"/>
      <c r="C855" s="69"/>
      <c r="D855" s="70"/>
      <c r="E855" s="72"/>
      <c r="F855" s="71"/>
      <c r="G855" s="71"/>
      <c r="H855" s="60"/>
      <c r="I855" s="60"/>
      <c r="J855" s="69"/>
      <c r="K855" s="69"/>
      <c r="L855" s="70"/>
      <c r="M855" s="72"/>
      <c r="N855" s="71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</row>
    <row r="856" spans="1:27" ht="18" customHeight="1">
      <c r="A856" s="61"/>
      <c r="B856" s="60"/>
      <c r="C856" s="69"/>
      <c r="D856" s="70"/>
      <c r="E856" s="72"/>
      <c r="F856" s="71"/>
      <c r="G856" s="71"/>
      <c r="H856" s="60"/>
      <c r="I856" s="60"/>
      <c r="J856" s="69"/>
      <c r="K856" s="69"/>
      <c r="L856" s="70"/>
      <c r="M856" s="72"/>
      <c r="N856" s="71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</row>
    <row r="857" spans="1:27" ht="18" customHeight="1">
      <c r="A857" s="61"/>
      <c r="B857" s="60"/>
      <c r="C857" s="69"/>
      <c r="D857" s="70"/>
      <c r="E857" s="72"/>
      <c r="F857" s="71"/>
      <c r="G857" s="71"/>
      <c r="H857" s="60"/>
      <c r="I857" s="60"/>
      <c r="J857" s="69"/>
      <c r="K857" s="69"/>
      <c r="L857" s="70"/>
      <c r="M857" s="72"/>
      <c r="N857" s="71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</row>
    <row r="858" spans="1:27" ht="18" customHeight="1">
      <c r="A858" s="61"/>
      <c r="B858" s="60"/>
      <c r="C858" s="69"/>
      <c r="D858" s="70"/>
      <c r="E858" s="72"/>
      <c r="F858" s="71"/>
      <c r="G858" s="71"/>
      <c r="H858" s="60"/>
      <c r="I858" s="60"/>
      <c r="J858" s="69"/>
      <c r="K858" s="69"/>
      <c r="L858" s="70"/>
      <c r="M858" s="72"/>
      <c r="N858" s="71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</row>
    <row r="859" spans="1:27" ht="18" customHeight="1">
      <c r="A859" s="61"/>
      <c r="B859" s="60"/>
      <c r="C859" s="69"/>
      <c r="D859" s="70"/>
      <c r="E859" s="72"/>
      <c r="F859" s="71"/>
      <c r="G859" s="71"/>
      <c r="H859" s="60"/>
      <c r="I859" s="60"/>
      <c r="J859" s="69"/>
      <c r="K859" s="69"/>
      <c r="L859" s="70"/>
      <c r="M859" s="72"/>
      <c r="N859" s="71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</row>
    <row r="860" spans="1:27" ht="18" customHeight="1">
      <c r="A860" s="61"/>
      <c r="B860" s="60"/>
      <c r="C860" s="69"/>
      <c r="D860" s="70"/>
      <c r="E860" s="72"/>
      <c r="F860" s="71"/>
      <c r="G860" s="71"/>
      <c r="H860" s="60"/>
      <c r="I860" s="60"/>
      <c r="J860" s="69"/>
      <c r="K860" s="69"/>
      <c r="L860" s="70"/>
      <c r="M860" s="72"/>
      <c r="N860" s="71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</row>
    <row r="861" spans="1:27" ht="18" customHeight="1">
      <c r="A861" s="61"/>
      <c r="B861" s="60"/>
      <c r="C861" s="69"/>
      <c r="D861" s="70"/>
      <c r="E861" s="72"/>
      <c r="F861" s="71"/>
      <c r="G861" s="71"/>
      <c r="H861" s="60"/>
      <c r="I861" s="60"/>
      <c r="J861" s="69"/>
      <c r="K861" s="69"/>
      <c r="L861" s="70"/>
      <c r="M861" s="72"/>
      <c r="N861" s="71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</row>
    <row r="862" spans="1:27" ht="18" customHeight="1">
      <c r="A862" s="61"/>
      <c r="B862" s="60"/>
      <c r="C862" s="69"/>
      <c r="D862" s="70"/>
      <c r="E862" s="72"/>
      <c r="F862" s="71"/>
      <c r="G862" s="71"/>
      <c r="H862" s="60"/>
      <c r="I862" s="60"/>
      <c r="J862" s="69"/>
      <c r="K862" s="69"/>
      <c r="L862" s="70"/>
      <c r="M862" s="72"/>
      <c r="N862" s="71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</row>
    <row r="863" spans="1:27" ht="18" customHeight="1">
      <c r="A863" s="61"/>
      <c r="B863" s="60"/>
      <c r="C863" s="69"/>
      <c r="D863" s="70"/>
      <c r="E863" s="72"/>
      <c r="F863" s="71"/>
      <c r="G863" s="71"/>
      <c r="H863" s="60"/>
      <c r="I863" s="60"/>
      <c r="J863" s="69"/>
      <c r="K863" s="69"/>
      <c r="L863" s="70"/>
      <c r="M863" s="72"/>
      <c r="N863" s="71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</row>
    <row r="864" spans="1:27" ht="18" customHeight="1">
      <c r="A864" s="61"/>
      <c r="B864" s="60"/>
      <c r="C864" s="69"/>
      <c r="D864" s="70"/>
      <c r="E864" s="72"/>
      <c r="F864" s="71"/>
      <c r="G864" s="71"/>
      <c r="H864" s="60"/>
      <c r="I864" s="60"/>
      <c r="J864" s="69"/>
      <c r="K864" s="69"/>
      <c r="L864" s="70"/>
      <c r="M864" s="72"/>
      <c r="N864" s="71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</row>
    <row r="865" spans="1:27" ht="18" customHeight="1">
      <c r="A865" s="61"/>
      <c r="B865" s="60"/>
      <c r="C865" s="69"/>
      <c r="D865" s="70"/>
      <c r="E865" s="72"/>
      <c r="F865" s="71"/>
      <c r="G865" s="71"/>
      <c r="H865" s="60"/>
      <c r="I865" s="60"/>
      <c r="J865" s="69"/>
      <c r="K865" s="69"/>
      <c r="L865" s="70"/>
      <c r="M865" s="72"/>
      <c r="N865" s="71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</row>
    <row r="866" spans="1:27" ht="18" customHeight="1">
      <c r="A866" s="61"/>
      <c r="B866" s="60"/>
      <c r="C866" s="69"/>
      <c r="D866" s="70"/>
      <c r="E866" s="72"/>
      <c r="F866" s="71"/>
      <c r="G866" s="71"/>
      <c r="H866" s="60"/>
      <c r="I866" s="60"/>
      <c r="J866" s="69"/>
      <c r="K866" s="69"/>
      <c r="L866" s="70"/>
      <c r="M866" s="72"/>
      <c r="N866" s="71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</row>
    <row r="867" spans="1:27" ht="18" customHeight="1">
      <c r="A867" s="61"/>
      <c r="B867" s="60"/>
      <c r="C867" s="69"/>
      <c r="D867" s="70"/>
      <c r="E867" s="72"/>
      <c r="F867" s="71"/>
      <c r="G867" s="71"/>
      <c r="H867" s="60"/>
      <c r="I867" s="60"/>
      <c r="J867" s="69"/>
      <c r="K867" s="69"/>
      <c r="L867" s="70"/>
      <c r="M867" s="72"/>
      <c r="N867" s="71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</row>
    <row r="868" spans="1:27" ht="18" customHeight="1">
      <c r="A868" s="61"/>
      <c r="B868" s="60"/>
      <c r="C868" s="69"/>
      <c r="D868" s="70"/>
      <c r="E868" s="72"/>
      <c r="F868" s="71"/>
      <c r="G868" s="71"/>
      <c r="H868" s="60"/>
      <c r="I868" s="60"/>
      <c r="J868" s="69"/>
      <c r="K868" s="69"/>
      <c r="L868" s="70"/>
      <c r="M868" s="72"/>
      <c r="N868" s="71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</row>
    <row r="869" spans="1:27" ht="18" customHeight="1">
      <c r="A869" s="61"/>
      <c r="B869" s="60"/>
      <c r="C869" s="69"/>
      <c r="D869" s="70"/>
      <c r="E869" s="72"/>
      <c r="F869" s="71"/>
      <c r="G869" s="71"/>
      <c r="H869" s="60"/>
      <c r="I869" s="60"/>
      <c r="J869" s="69"/>
      <c r="K869" s="69"/>
      <c r="L869" s="70"/>
      <c r="M869" s="72"/>
      <c r="N869" s="71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</row>
    <row r="870" spans="1:27" ht="18" customHeight="1">
      <c r="A870" s="61"/>
      <c r="B870" s="60"/>
      <c r="C870" s="69"/>
      <c r="D870" s="70"/>
      <c r="E870" s="72"/>
      <c r="F870" s="71"/>
      <c r="G870" s="71"/>
      <c r="H870" s="60"/>
      <c r="I870" s="60"/>
      <c r="J870" s="69"/>
      <c r="K870" s="69"/>
      <c r="L870" s="70"/>
      <c r="M870" s="72"/>
      <c r="N870" s="71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</row>
    <row r="871" spans="1:27" ht="18" customHeight="1">
      <c r="A871" s="61"/>
      <c r="B871" s="60"/>
      <c r="C871" s="69"/>
      <c r="D871" s="70"/>
      <c r="E871" s="72"/>
      <c r="F871" s="71"/>
      <c r="G871" s="71"/>
      <c r="H871" s="60"/>
      <c r="I871" s="60"/>
      <c r="J871" s="69"/>
      <c r="K871" s="69"/>
      <c r="L871" s="70"/>
      <c r="M871" s="72"/>
      <c r="N871" s="71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</row>
    <row r="872" spans="1:27" ht="18" customHeight="1">
      <c r="A872" s="61"/>
      <c r="B872" s="60"/>
      <c r="C872" s="69"/>
      <c r="D872" s="70"/>
      <c r="E872" s="72"/>
      <c r="F872" s="71"/>
      <c r="G872" s="71"/>
      <c r="H872" s="60"/>
      <c r="I872" s="60"/>
      <c r="J872" s="69"/>
      <c r="K872" s="69"/>
      <c r="L872" s="70"/>
      <c r="M872" s="72"/>
      <c r="N872" s="71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</row>
    <row r="873" spans="1:27" ht="18" customHeight="1">
      <c r="A873" s="61"/>
      <c r="B873" s="60"/>
      <c r="C873" s="69"/>
      <c r="D873" s="70"/>
      <c r="E873" s="72"/>
      <c r="F873" s="71"/>
      <c r="G873" s="71"/>
      <c r="H873" s="60"/>
      <c r="I873" s="60"/>
      <c r="J873" s="69"/>
      <c r="K873" s="69"/>
      <c r="L873" s="70"/>
      <c r="M873" s="72"/>
      <c r="N873" s="71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</row>
    <row r="874" spans="1:27" ht="18" customHeight="1">
      <c r="A874" s="61"/>
      <c r="B874" s="60"/>
      <c r="C874" s="69"/>
      <c r="D874" s="70"/>
      <c r="E874" s="72"/>
      <c r="F874" s="71"/>
      <c r="G874" s="71"/>
      <c r="H874" s="60"/>
      <c r="I874" s="60"/>
      <c r="J874" s="69"/>
      <c r="K874" s="69"/>
      <c r="L874" s="70"/>
      <c r="M874" s="72"/>
      <c r="N874" s="71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</row>
    <row r="875" spans="1:27" ht="18" customHeight="1">
      <c r="A875" s="61"/>
      <c r="B875" s="60"/>
      <c r="C875" s="69"/>
      <c r="D875" s="70"/>
      <c r="E875" s="72"/>
      <c r="F875" s="71"/>
      <c r="G875" s="71"/>
      <c r="H875" s="60"/>
      <c r="I875" s="60"/>
      <c r="J875" s="69"/>
      <c r="K875" s="69"/>
      <c r="L875" s="70"/>
      <c r="M875" s="72"/>
      <c r="N875" s="71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</row>
    <row r="876" spans="1:27" ht="18" customHeight="1">
      <c r="A876" s="61"/>
      <c r="B876" s="60"/>
      <c r="C876" s="69"/>
      <c r="D876" s="70"/>
      <c r="E876" s="72"/>
      <c r="F876" s="71"/>
      <c r="G876" s="71"/>
      <c r="H876" s="60"/>
      <c r="I876" s="60"/>
      <c r="J876" s="69"/>
      <c r="K876" s="69"/>
      <c r="L876" s="70"/>
      <c r="M876" s="72"/>
      <c r="N876" s="71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</row>
    <row r="877" spans="1:27" ht="18" customHeight="1">
      <c r="A877" s="61"/>
      <c r="B877" s="60"/>
      <c r="C877" s="69"/>
      <c r="D877" s="70"/>
      <c r="E877" s="72"/>
      <c r="F877" s="71"/>
      <c r="G877" s="71"/>
      <c r="H877" s="60"/>
      <c r="I877" s="60"/>
      <c r="J877" s="69"/>
      <c r="K877" s="69"/>
      <c r="L877" s="70"/>
      <c r="M877" s="72"/>
      <c r="N877" s="71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</row>
    <row r="878" spans="1:27" ht="18" customHeight="1">
      <c r="A878" s="61"/>
      <c r="B878" s="60"/>
      <c r="C878" s="69"/>
      <c r="D878" s="70"/>
      <c r="E878" s="72"/>
      <c r="F878" s="71"/>
      <c r="G878" s="71"/>
      <c r="H878" s="60"/>
      <c r="I878" s="60"/>
      <c r="J878" s="69"/>
      <c r="K878" s="69"/>
      <c r="L878" s="70"/>
      <c r="M878" s="72"/>
      <c r="N878" s="71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</row>
    <row r="879" spans="1:27" ht="18" customHeight="1">
      <c r="A879" s="61"/>
      <c r="B879" s="60"/>
      <c r="C879" s="69"/>
      <c r="D879" s="70"/>
      <c r="E879" s="72"/>
      <c r="F879" s="71"/>
      <c r="G879" s="71"/>
      <c r="H879" s="60"/>
      <c r="I879" s="60"/>
      <c r="J879" s="69"/>
      <c r="K879" s="69"/>
      <c r="L879" s="70"/>
      <c r="M879" s="72"/>
      <c r="N879" s="71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</row>
    <row r="880" spans="1:27" ht="18" customHeight="1">
      <c r="A880" s="61"/>
      <c r="B880" s="60"/>
      <c r="C880" s="69"/>
      <c r="D880" s="70"/>
      <c r="E880" s="72"/>
      <c r="F880" s="71"/>
      <c r="G880" s="71"/>
      <c r="H880" s="60"/>
      <c r="I880" s="60"/>
      <c r="J880" s="69"/>
      <c r="K880" s="69"/>
      <c r="L880" s="70"/>
      <c r="M880" s="72"/>
      <c r="N880" s="71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</row>
    <row r="881" spans="1:27" ht="18" customHeight="1">
      <c r="A881" s="61"/>
      <c r="B881" s="60"/>
      <c r="C881" s="69"/>
      <c r="D881" s="70"/>
      <c r="E881" s="72"/>
      <c r="F881" s="71"/>
      <c r="G881" s="71"/>
      <c r="H881" s="60"/>
      <c r="I881" s="60"/>
      <c r="J881" s="69"/>
      <c r="K881" s="69"/>
      <c r="L881" s="70"/>
      <c r="M881" s="72"/>
      <c r="N881" s="71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</row>
    <row r="882" spans="1:27" ht="18" customHeight="1">
      <c r="A882" s="61"/>
      <c r="B882" s="60"/>
      <c r="C882" s="69"/>
      <c r="D882" s="70"/>
      <c r="E882" s="72"/>
      <c r="F882" s="71"/>
      <c r="G882" s="71"/>
      <c r="H882" s="60"/>
      <c r="I882" s="60"/>
      <c r="J882" s="69"/>
      <c r="K882" s="69"/>
      <c r="L882" s="70"/>
      <c r="M882" s="72"/>
      <c r="N882" s="71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</row>
    <row r="883" spans="1:27" ht="18" customHeight="1">
      <c r="A883" s="61"/>
      <c r="B883" s="60"/>
      <c r="C883" s="69"/>
      <c r="D883" s="70"/>
      <c r="E883" s="72"/>
      <c r="F883" s="71"/>
      <c r="G883" s="71"/>
      <c r="H883" s="60"/>
      <c r="I883" s="60"/>
      <c r="J883" s="69"/>
      <c r="K883" s="69"/>
      <c r="L883" s="70"/>
      <c r="M883" s="72"/>
      <c r="N883" s="71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</row>
    <row r="884" spans="1:27" ht="18" customHeight="1">
      <c r="A884" s="61"/>
      <c r="B884" s="60"/>
      <c r="C884" s="69"/>
      <c r="D884" s="70"/>
      <c r="E884" s="72"/>
      <c r="F884" s="71"/>
      <c r="G884" s="71"/>
      <c r="H884" s="60"/>
      <c r="I884" s="60"/>
      <c r="J884" s="69"/>
      <c r="K884" s="69"/>
      <c r="L884" s="70"/>
      <c r="M884" s="72"/>
      <c r="N884" s="71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</row>
    <row r="885" spans="1:27" ht="18" customHeight="1">
      <c r="A885" s="61"/>
      <c r="B885" s="60"/>
      <c r="C885" s="69"/>
      <c r="D885" s="70"/>
      <c r="E885" s="72"/>
      <c r="F885" s="71"/>
      <c r="G885" s="71"/>
      <c r="H885" s="60"/>
      <c r="I885" s="60"/>
      <c r="J885" s="69"/>
      <c r="K885" s="69"/>
      <c r="L885" s="70"/>
      <c r="M885" s="72"/>
      <c r="N885" s="71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</row>
    <row r="886" spans="1:27" ht="18" customHeight="1">
      <c r="A886" s="61"/>
      <c r="B886" s="60"/>
      <c r="C886" s="69"/>
      <c r="D886" s="70"/>
      <c r="E886" s="72"/>
      <c r="F886" s="71"/>
      <c r="G886" s="71"/>
      <c r="H886" s="60"/>
      <c r="I886" s="60"/>
      <c r="J886" s="69"/>
      <c r="K886" s="69"/>
      <c r="L886" s="70"/>
      <c r="M886" s="72"/>
      <c r="N886" s="71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</row>
    <row r="887" spans="1:27" ht="18" customHeight="1">
      <c r="A887" s="61"/>
      <c r="B887" s="60"/>
      <c r="C887" s="69"/>
      <c r="D887" s="70"/>
      <c r="E887" s="72"/>
      <c r="F887" s="71"/>
      <c r="G887" s="71"/>
      <c r="H887" s="60"/>
      <c r="I887" s="60"/>
      <c r="J887" s="69"/>
      <c r="K887" s="69"/>
      <c r="L887" s="70"/>
      <c r="M887" s="72"/>
      <c r="N887" s="71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</row>
    <row r="888" spans="1:27" ht="18" customHeight="1">
      <c r="A888" s="61"/>
      <c r="B888" s="60"/>
      <c r="C888" s="69"/>
      <c r="D888" s="70"/>
      <c r="E888" s="72"/>
      <c r="F888" s="71"/>
      <c r="G888" s="71"/>
      <c r="H888" s="60"/>
      <c r="I888" s="60"/>
      <c r="J888" s="69"/>
      <c r="K888" s="69"/>
      <c r="L888" s="70"/>
      <c r="M888" s="72"/>
      <c r="N888" s="71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</row>
    <row r="889" spans="1:27" ht="18" customHeight="1">
      <c r="A889" s="61"/>
      <c r="B889" s="60"/>
      <c r="C889" s="69"/>
      <c r="D889" s="70"/>
      <c r="E889" s="72"/>
      <c r="F889" s="71"/>
      <c r="G889" s="71"/>
      <c r="H889" s="60"/>
      <c r="I889" s="60"/>
      <c r="J889" s="69"/>
      <c r="K889" s="69"/>
      <c r="L889" s="70"/>
      <c r="M889" s="72"/>
      <c r="N889" s="71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</row>
    <row r="890" spans="1:27" ht="18" customHeight="1">
      <c r="A890" s="61"/>
      <c r="B890" s="60"/>
      <c r="C890" s="69"/>
      <c r="D890" s="70"/>
      <c r="E890" s="72"/>
      <c r="F890" s="71"/>
      <c r="G890" s="71"/>
      <c r="H890" s="60"/>
      <c r="I890" s="60"/>
      <c r="J890" s="69"/>
      <c r="K890" s="69"/>
      <c r="L890" s="70"/>
      <c r="M890" s="72"/>
      <c r="N890" s="71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</row>
    <row r="891" spans="1:27" ht="18" customHeight="1">
      <c r="A891" s="61"/>
      <c r="B891" s="60"/>
      <c r="C891" s="69"/>
      <c r="D891" s="70"/>
      <c r="E891" s="72"/>
      <c r="F891" s="71"/>
      <c r="G891" s="71"/>
      <c r="H891" s="60"/>
      <c r="I891" s="60"/>
      <c r="J891" s="69"/>
      <c r="K891" s="69"/>
      <c r="L891" s="70"/>
      <c r="M891" s="72"/>
      <c r="N891" s="71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</row>
    <row r="892" spans="1:27" ht="18" customHeight="1">
      <c r="A892" s="61"/>
      <c r="B892" s="60"/>
      <c r="C892" s="69"/>
      <c r="D892" s="70"/>
      <c r="E892" s="72"/>
      <c r="F892" s="71"/>
      <c r="G892" s="71"/>
      <c r="H892" s="60"/>
      <c r="I892" s="60"/>
      <c r="J892" s="69"/>
      <c r="K892" s="69"/>
      <c r="L892" s="70"/>
      <c r="M892" s="72"/>
      <c r="N892" s="71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</row>
    <row r="893" spans="1:27" ht="18" customHeight="1">
      <c r="A893" s="61"/>
      <c r="B893" s="60"/>
      <c r="C893" s="69"/>
      <c r="D893" s="70"/>
      <c r="E893" s="72"/>
      <c r="F893" s="71"/>
      <c r="G893" s="71"/>
      <c r="H893" s="60"/>
      <c r="I893" s="60"/>
      <c r="J893" s="69"/>
      <c r="K893" s="69"/>
      <c r="L893" s="70"/>
      <c r="M893" s="72"/>
      <c r="N893" s="71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</row>
    <row r="894" spans="1:27" ht="18" customHeight="1">
      <c r="A894" s="61"/>
      <c r="B894" s="60"/>
      <c r="C894" s="69"/>
      <c r="D894" s="70"/>
      <c r="E894" s="72"/>
      <c r="F894" s="71"/>
      <c r="G894" s="71"/>
      <c r="H894" s="60"/>
      <c r="I894" s="60"/>
      <c r="J894" s="69"/>
      <c r="K894" s="69"/>
      <c r="L894" s="70"/>
      <c r="M894" s="72"/>
      <c r="N894" s="71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</row>
    <row r="895" spans="1:27" ht="18" customHeight="1">
      <c r="A895" s="61"/>
      <c r="B895" s="60"/>
      <c r="C895" s="69"/>
      <c r="D895" s="70"/>
      <c r="E895" s="72"/>
      <c r="F895" s="71"/>
      <c r="G895" s="71"/>
      <c r="H895" s="60"/>
      <c r="I895" s="60"/>
      <c r="J895" s="69"/>
      <c r="K895" s="69"/>
      <c r="L895" s="70"/>
      <c r="M895" s="72"/>
      <c r="N895" s="71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</row>
    <row r="896" spans="1:27" ht="18" customHeight="1">
      <c r="A896" s="61"/>
      <c r="B896" s="60"/>
      <c r="C896" s="69"/>
      <c r="D896" s="70"/>
      <c r="E896" s="72"/>
      <c r="F896" s="71"/>
      <c r="G896" s="71"/>
      <c r="H896" s="60"/>
      <c r="I896" s="60"/>
      <c r="J896" s="69"/>
      <c r="K896" s="69"/>
      <c r="L896" s="70"/>
      <c r="M896" s="72"/>
      <c r="N896" s="71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</row>
    <row r="897" spans="1:27" ht="18" customHeight="1">
      <c r="A897" s="61"/>
      <c r="B897" s="60"/>
      <c r="C897" s="69"/>
      <c r="D897" s="70"/>
      <c r="E897" s="72"/>
      <c r="F897" s="71"/>
      <c r="G897" s="71"/>
      <c r="H897" s="60"/>
      <c r="I897" s="60"/>
      <c r="J897" s="69"/>
      <c r="K897" s="69"/>
      <c r="L897" s="70"/>
      <c r="M897" s="72"/>
      <c r="N897" s="71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</row>
    <row r="898" spans="1:27" ht="18" customHeight="1">
      <c r="A898" s="61"/>
      <c r="B898" s="60"/>
      <c r="C898" s="69"/>
      <c r="D898" s="70"/>
      <c r="E898" s="72"/>
      <c r="F898" s="71"/>
      <c r="G898" s="71"/>
      <c r="H898" s="60"/>
      <c r="I898" s="60"/>
      <c r="J898" s="69"/>
      <c r="K898" s="69"/>
      <c r="L898" s="70"/>
      <c r="M898" s="72"/>
      <c r="N898" s="71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</row>
    <row r="899" spans="1:27" ht="18" customHeight="1">
      <c r="A899" s="61"/>
      <c r="B899" s="60"/>
      <c r="C899" s="69"/>
      <c r="D899" s="70"/>
      <c r="E899" s="72"/>
      <c r="F899" s="71"/>
      <c r="G899" s="71"/>
      <c r="H899" s="60"/>
      <c r="I899" s="60"/>
      <c r="J899" s="69"/>
      <c r="K899" s="69"/>
      <c r="L899" s="70"/>
      <c r="M899" s="72"/>
      <c r="N899" s="71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</row>
    <row r="900" spans="1:27" ht="18" customHeight="1">
      <c r="A900" s="61"/>
      <c r="B900" s="60"/>
      <c r="C900" s="69"/>
      <c r="D900" s="70"/>
      <c r="E900" s="72"/>
      <c r="F900" s="71"/>
      <c r="G900" s="71"/>
      <c r="H900" s="60"/>
      <c r="I900" s="60"/>
      <c r="J900" s="69"/>
      <c r="K900" s="69"/>
      <c r="L900" s="70"/>
      <c r="M900" s="72"/>
      <c r="N900" s="71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</row>
    <row r="901" spans="1:27" ht="18" customHeight="1">
      <c r="A901" s="61"/>
      <c r="B901" s="60"/>
      <c r="C901" s="69"/>
      <c r="D901" s="70"/>
      <c r="E901" s="72"/>
      <c r="F901" s="71"/>
      <c r="G901" s="71"/>
      <c r="H901" s="60"/>
      <c r="I901" s="60"/>
      <c r="J901" s="69"/>
      <c r="K901" s="69"/>
      <c r="L901" s="70"/>
      <c r="M901" s="72"/>
      <c r="N901" s="71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</row>
    <row r="902" spans="1:27" ht="18" customHeight="1">
      <c r="A902" s="61"/>
      <c r="B902" s="60"/>
      <c r="C902" s="69"/>
      <c r="D902" s="70"/>
      <c r="E902" s="72"/>
      <c r="F902" s="71"/>
      <c r="G902" s="71"/>
      <c r="H902" s="60"/>
      <c r="I902" s="60"/>
      <c r="J902" s="69"/>
      <c r="K902" s="69"/>
      <c r="L902" s="70"/>
      <c r="M902" s="72"/>
      <c r="N902" s="71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</row>
    <row r="903" spans="1:27" ht="18" customHeight="1">
      <c r="A903" s="61"/>
      <c r="B903" s="60"/>
      <c r="C903" s="69"/>
      <c r="D903" s="70"/>
      <c r="E903" s="72"/>
      <c r="F903" s="71"/>
      <c r="G903" s="71"/>
      <c r="H903" s="60"/>
      <c r="I903" s="60"/>
      <c r="J903" s="69"/>
      <c r="K903" s="69"/>
      <c r="L903" s="70"/>
      <c r="M903" s="72"/>
      <c r="N903" s="71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</row>
    <row r="904" spans="1:27" ht="18" customHeight="1">
      <c r="A904" s="61"/>
      <c r="B904" s="60"/>
      <c r="C904" s="69"/>
      <c r="D904" s="70"/>
      <c r="E904" s="72"/>
      <c r="F904" s="71"/>
      <c r="G904" s="71"/>
      <c r="H904" s="60"/>
      <c r="I904" s="60"/>
      <c r="J904" s="69"/>
      <c r="K904" s="69"/>
      <c r="L904" s="70"/>
      <c r="M904" s="72"/>
      <c r="N904" s="71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</row>
    <row r="905" spans="1:27" ht="18" customHeight="1">
      <c r="A905" s="61"/>
      <c r="B905" s="60"/>
      <c r="C905" s="69"/>
      <c r="D905" s="70"/>
      <c r="E905" s="72"/>
      <c r="F905" s="71"/>
      <c r="G905" s="71"/>
      <c r="H905" s="60"/>
      <c r="I905" s="60"/>
      <c r="J905" s="69"/>
      <c r="K905" s="69"/>
      <c r="L905" s="70"/>
      <c r="M905" s="72"/>
      <c r="N905" s="71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</row>
    <row r="906" spans="1:27" ht="18" customHeight="1">
      <c r="A906" s="61"/>
      <c r="B906" s="60"/>
      <c r="C906" s="69"/>
      <c r="D906" s="70"/>
      <c r="E906" s="72"/>
      <c r="F906" s="71"/>
      <c r="G906" s="71"/>
      <c r="H906" s="60"/>
      <c r="I906" s="60"/>
      <c r="J906" s="69"/>
      <c r="K906" s="69"/>
      <c r="L906" s="70"/>
      <c r="M906" s="72"/>
      <c r="N906" s="71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</row>
    <row r="907" spans="1:27" ht="18" customHeight="1">
      <c r="A907" s="61"/>
      <c r="B907" s="60"/>
      <c r="C907" s="69"/>
      <c r="D907" s="70"/>
      <c r="E907" s="72"/>
      <c r="F907" s="71"/>
      <c r="G907" s="71"/>
      <c r="H907" s="60"/>
      <c r="I907" s="60"/>
      <c r="J907" s="69"/>
      <c r="K907" s="69"/>
      <c r="L907" s="70"/>
      <c r="M907" s="72"/>
      <c r="N907" s="71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</row>
    <row r="908" spans="1:27" ht="18" customHeight="1">
      <c r="A908" s="61"/>
      <c r="B908" s="60"/>
      <c r="C908" s="69"/>
      <c r="D908" s="70"/>
      <c r="E908" s="72"/>
      <c r="F908" s="71"/>
      <c r="G908" s="71"/>
      <c r="H908" s="60"/>
      <c r="I908" s="60"/>
      <c r="J908" s="69"/>
      <c r="K908" s="69"/>
      <c r="L908" s="70"/>
      <c r="M908" s="72"/>
      <c r="N908" s="71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</row>
    <row r="909" spans="1:27" ht="18" customHeight="1">
      <c r="A909" s="61"/>
      <c r="B909" s="60"/>
      <c r="C909" s="69"/>
      <c r="D909" s="70"/>
      <c r="E909" s="72"/>
      <c r="F909" s="71"/>
      <c r="G909" s="71"/>
      <c r="H909" s="60"/>
      <c r="I909" s="60"/>
      <c r="J909" s="69"/>
      <c r="K909" s="69"/>
      <c r="L909" s="70"/>
      <c r="M909" s="72"/>
      <c r="N909" s="71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</row>
    <row r="910" spans="1:27" ht="18" customHeight="1">
      <c r="A910" s="61"/>
      <c r="B910" s="60"/>
      <c r="C910" s="69"/>
      <c r="D910" s="70"/>
      <c r="E910" s="72"/>
      <c r="F910" s="71"/>
      <c r="G910" s="71"/>
      <c r="H910" s="60"/>
      <c r="I910" s="60"/>
      <c r="J910" s="69"/>
      <c r="K910" s="69"/>
      <c r="L910" s="70"/>
      <c r="M910" s="72"/>
      <c r="N910" s="71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</row>
    <row r="911" spans="1:27" ht="18" customHeight="1">
      <c r="A911" s="61"/>
      <c r="B911" s="60"/>
      <c r="C911" s="69"/>
      <c r="D911" s="70"/>
      <c r="E911" s="72"/>
      <c r="F911" s="71"/>
      <c r="G911" s="71"/>
      <c r="H911" s="60"/>
      <c r="I911" s="60"/>
      <c r="J911" s="69"/>
      <c r="K911" s="69"/>
      <c r="L911" s="70"/>
      <c r="M911" s="72"/>
      <c r="N911" s="71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</row>
    <row r="912" spans="1:27" ht="18" customHeight="1">
      <c r="A912" s="61"/>
      <c r="B912" s="60"/>
      <c r="C912" s="69"/>
      <c r="D912" s="70"/>
      <c r="E912" s="72"/>
      <c r="F912" s="71"/>
      <c r="G912" s="71"/>
      <c r="H912" s="60"/>
      <c r="I912" s="60"/>
      <c r="J912" s="69"/>
      <c r="K912" s="69"/>
      <c r="L912" s="70"/>
      <c r="M912" s="72"/>
      <c r="N912" s="71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</row>
    <row r="913" spans="1:27" ht="18" customHeight="1">
      <c r="A913" s="61"/>
      <c r="B913" s="60"/>
      <c r="C913" s="69"/>
      <c r="D913" s="70"/>
      <c r="E913" s="72"/>
      <c r="F913" s="71"/>
      <c r="G913" s="71"/>
      <c r="H913" s="60"/>
      <c r="I913" s="60"/>
      <c r="J913" s="69"/>
      <c r="K913" s="69"/>
      <c r="L913" s="70"/>
      <c r="M913" s="72"/>
      <c r="N913" s="71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</row>
    <row r="914" spans="1:27" ht="18" customHeight="1">
      <c r="A914" s="61"/>
      <c r="B914" s="60"/>
      <c r="C914" s="69"/>
      <c r="D914" s="70"/>
      <c r="E914" s="72"/>
      <c r="F914" s="71"/>
      <c r="G914" s="71"/>
      <c r="H914" s="60"/>
      <c r="I914" s="60"/>
      <c r="J914" s="69"/>
      <c r="K914" s="69"/>
      <c r="L914" s="70"/>
      <c r="M914" s="72"/>
      <c r="N914" s="71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</row>
    <row r="915" spans="1:27" ht="18" customHeight="1">
      <c r="A915" s="61"/>
      <c r="B915" s="60"/>
      <c r="C915" s="69"/>
      <c r="D915" s="70"/>
      <c r="E915" s="72"/>
      <c r="F915" s="71"/>
      <c r="G915" s="71"/>
      <c r="H915" s="60"/>
      <c r="I915" s="60"/>
      <c r="J915" s="69"/>
      <c r="K915" s="69"/>
      <c r="L915" s="70"/>
      <c r="M915" s="72"/>
      <c r="N915" s="71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</row>
    <row r="916" spans="1:27" ht="18" customHeight="1">
      <c r="A916" s="61"/>
      <c r="B916" s="60"/>
      <c r="C916" s="69"/>
      <c r="D916" s="70"/>
      <c r="E916" s="72"/>
      <c r="F916" s="71"/>
      <c r="G916" s="71"/>
      <c r="H916" s="60"/>
      <c r="I916" s="60"/>
      <c r="J916" s="69"/>
      <c r="K916" s="69"/>
      <c r="L916" s="70"/>
      <c r="M916" s="72"/>
      <c r="N916" s="71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</row>
    <row r="917" spans="1:27" ht="18" customHeight="1">
      <c r="A917" s="61"/>
      <c r="B917" s="60"/>
      <c r="C917" s="69"/>
      <c r="D917" s="70"/>
      <c r="E917" s="72"/>
      <c r="F917" s="71"/>
      <c r="G917" s="71"/>
      <c r="H917" s="60"/>
      <c r="I917" s="60"/>
      <c r="J917" s="69"/>
      <c r="K917" s="69"/>
      <c r="L917" s="70"/>
      <c r="M917" s="72"/>
      <c r="N917" s="71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</row>
    <row r="918" spans="1:27" ht="18" customHeight="1">
      <c r="A918" s="61"/>
      <c r="B918" s="60"/>
      <c r="C918" s="69"/>
      <c r="D918" s="70"/>
      <c r="E918" s="72"/>
      <c r="F918" s="71"/>
      <c r="G918" s="71"/>
      <c r="H918" s="60"/>
      <c r="I918" s="60"/>
      <c r="J918" s="69"/>
      <c r="K918" s="69"/>
      <c r="L918" s="70"/>
      <c r="M918" s="72"/>
      <c r="N918" s="71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</row>
    <row r="919" spans="1:27" ht="18" customHeight="1">
      <c r="A919" s="61"/>
      <c r="B919" s="60"/>
      <c r="C919" s="69"/>
      <c r="D919" s="70"/>
      <c r="E919" s="72"/>
      <c r="F919" s="71"/>
      <c r="G919" s="71"/>
      <c r="H919" s="60"/>
      <c r="I919" s="60"/>
      <c r="J919" s="69"/>
      <c r="K919" s="69"/>
      <c r="L919" s="70"/>
      <c r="M919" s="72"/>
      <c r="N919" s="71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</row>
    <row r="920" spans="1:27" ht="18" customHeight="1">
      <c r="A920" s="61"/>
      <c r="B920" s="60"/>
      <c r="C920" s="69"/>
      <c r="D920" s="70"/>
      <c r="E920" s="72"/>
      <c r="F920" s="71"/>
      <c r="G920" s="71"/>
      <c r="H920" s="60"/>
      <c r="I920" s="60"/>
      <c r="J920" s="69"/>
      <c r="K920" s="69"/>
      <c r="L920" s="70"/>
      <c r="M920" s="72"/>
      <c r="N920" s="71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</row>
    <row r="921" spans="1:27" ht="18" customHeight="1">
      <c r="A921" s="61"/>
      <c r="B921" s="60"/>
      <c r="C921" s="69"/>
      <c r="D921" s="70"/>
      <c r="E921" s="72"/>
      <c r="F921" s="71"/>
      <c r="G921" s="71"/>
      <c r="H921" s="60"/>
      <c r="I921" s="60"/>
      <c r="J921" s="69"/>
      <c r="K921" s="69"/>
      <c r="L921" s="70"/>
      <c r="M921" s="72"/>
      <c r="N921" s="71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</row>
    <row r="922" spans="1:27" ht="18" customHeight="1">
      <c r="A922" s="61"/>
      <c r="B922" s="60"/>
      <c r="C922" s="69"/>
      <c r="D922" s="70"/>
      <c r="E922" s="72"/>
      <c r="F922" s="71"/>
      <c r="G922" s="71"/>
      <c r="H922" s="60"/>
      <c r="I922" s="60"/>
      <c r="J922" s="69"/>
      <c r="K922" s="69"/>
      <c r="L922" s="70"/>
      <c r="M922" s="72"/>
      <c r="N922" s="71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</row>
    <row r="923" spans="1:27" ht="18" customHeight="1">
      <c r="A923" s="61"/>
      <c r="B923" s="60"/>
      <c r="C923" s="69"/>
      <c r="D923" s="70"/>
      <c r="E923" s="72"/>
      <c r="F923" s="71"/>
      <c r="G923" s="71"/>
      <c r="H923" s="60"/>
      <c r="I923" s="60"/>
      <c r="J923" s="69"/>
      <c r="K923" s="69"/>
      <c r="L923" s="70"/>
      <c r="M923" s="72"/>
      <c r="N923" s="71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</row>
    <row r="924" spans="1:27" ht="18" customHeight="1">
      <c r="A924" s="61"/>
      <c r="B924" s="60"/>
      <c r="C924" s="69"/>
      <c r="D924" s="70"/>
      <c r="E924" s="72"/>
      <c r="F924" s="71"/>
      <c r="G924" s="71"/>
      <c r="H924" s="60"/>
      <c r="I924" s="60"/>
      <c r="J924" s="69"/>
      <c r="K924" s="69"/>
      <c r="L924" s="70"/>
      <c r="M924" s="72"/>
      <c r="N924" s="71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</row>
    <row r="925" spans="1:27" ht="18" customHeight="1">
      <c r="A925" s="61"/>
      <c r="B925" s="60"/>
      <c r="C925" s="69"/>
      <c r="D925" s="70"/>
      <c r="E925" s="72"/>
      <c r="F925" s="71"/>
      <c r="G925" s="71"/>
      <c r="H925" s="60"/>
      <c r="I925" s="60"/>
      <c r="J925" s="69"/>
      <c r="K925" s="69"/>
      <c r="L925" s="70"/>
      <c r="M925" s="72"/>
      <c r="N925" s="71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</row>
    <row r="926" spans="1:27" ht="18" customHeight="1">
      <c r="A926" s="61"/>
      <c r="B926" s="60"/>
      <c r="C926" s="69"/>
      <c r="D926" s="70"/>
      <c r="E926" s="72"/>
      <c r="F926" s="71"/>
      <c r="G926" s="71"/>
      <c r="H926" s="60"/>
      <c r="I926" s="60"/>
      <c r="J926" s="69"/>
      <c r="K926" s="69"/>
      <c r="L926" s="70"/>
      <c r="M926" s="72"/>
      <c r="N926" s="71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</row>
    <row r="927" spans="1:27" ht="18" customHeight="1">
      <c r="A927" s="61"/>
      <c r="B927" s="60"/>
      <c r="C927" s="69"/>
      <c r="D927" s="70"/>
      <c r="E927" s="72"/>
      <c r="F927" s="71"/>
      <c r="G927" s="71"/>
      <c r="H927" s="60"/>
      <c r="I927" s="60"/>
      <c r="J927" s="69"/>
      <c r="K927" s="69"/>
      <c r="L927" s="70"/>
      <c r="M927" s="72"/>
      <c r="N927" s="71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</row>
    <row r="928" spans="1:27" ht="18" customHeight="1">
      <c r="A928" s="61"/>
      <c r="B928" s="60"/>
      <c r="C928" s="69"/>
      <c r="D928" s="70"/>
      <c r="E928" s="72"/>
      <c r="F928" s="71"/>
      <c r="G928" s="71"/>
      <c r="H928" s="60"/>
      <c r="I928" s="60"/>
      <c r="J928" s="69"/>
      <c r="K928" s="69"/>
      <c r="L928" s="70"/>
      <c r="M928" s="72"/>
      <c r="N928" s="71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</row>
    <row r="929" spans="1:27" ht="18" customHeight="1">
      <c r="A929" s="61"/>
      <c r="B929" s="60"/>
      <c r="C929" s="69"/>
      <c r="D929" s="70"/>
      <c r="E929" s="72"/>
      <c r="F929" s="71"/>
      <c r="G929" s="71"/>
      <c r="H929" s="60"/>
      <c r="I929" s="60"/>
      <c r="J929" s="69"/>
      <c r="K929" s="69"/>
      <c r="L929" s="70"/>
      <c r="M929" s="72"/>
      <c r="N929" s="71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</row>
    <row r="930" spans="1:27" ht="18" customHeight="1">
      <c r="A930" s="61"/>
      <c r="B930" s="60"/>
      <c r="C930" s="69"/>
      <c r="D930" s="70"/>
      <c r="E930" s="72"/>
      <c r="F930" s="71"/>
      <c r="G930" s="71"/>
      <c r="H930" s="60"/>
      <c r="I930" s="60"/>
      <c r="J930" s="69"/>
      <c r="K930" s="69"/>
      <c r="L930" s="70"/>
      <c r="M930" s="72"/>
      <c r="N930" s="71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</row>
    <row r="931" spans="1:27" ht="18" customHeight="1">
      <c r="A931" s="61"/>
      <c r="B931" s="60"/>
      <c r="C931" s="69"/>
      <c r="D931" s="70"/>
      <c r="E931" s="72"/>
      <c r="F931" s="71"/>
      <c r="G931" s="71"/>
      <c r="H931" s="60"/>
      <c r="I931" s="60"/>
      <c r="J931" s="69"/>
      <c r="K931" s="69"/>
      <c r="L931" s="70"/>
      <c r="M931" s="72"/>
      <c r="N931" s="71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</row>
    <row r="932" spans="1:27" ht="18" customHeight="1">
      <c r="A932" s="61"/>
      <c r="B932" s="60"/>
      <c r="C932" s="69"/>
      <c r="D932" s="70"/>
      <c r="E932" s="72"/>
      <c r="F932" s="71"/>
      <c r="G932" s="71"/>
      <c r="H932" s="60"/>
      <c r="I932" s="60"/>
      <c r="J932" s="69"/>
      <c r="K932" s="69"/>
      <c r="L932" s="70"/>
      <c r="M932" s="72"/>
      <c r="N932" s="71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</row>
    <row r="933" spans="1:27" ht="18" customHeight="1">
      <c r="A933" s="61"/>
      <c r="B933" s="60"/>
      <c r="C933" s="69"/>
      <c r="D933" s="70"/>
      <c r="E933" s="72"/>
      <c r="F933" s="71"/>
      <c r="G933" s="71"/>
      <c r="H933" s="60"/>
      <c r="I933" s="60"/>
      <c r="J933" s="69"/>
      <c r="K933" s="69"/>
      <c r="L933" s="70"/>
      <c r="M933" s="72"/>
      <c r="N933" s="71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</row>
    <row r="934" spans="1:27" ht="18" customHeight="1">
      <c r="A934" s="61"/>
      <c r="B934" s="60"/>
      <c r="C934" s="69"/>
      <c r="D934" s="70"/>
      <c r="E934" s="72"/>
      <c r="F934" s="71"/>
      <c r="G934" s="71"/>
      <c r="H934" s="60"/>
      <c r="I934" s="60"/>
      <c r="J934" s="69"/>
      <c r="K934" s="69"/>
      <c r="L934" s="70"/>
      <c r="M934" s="72"/>
      <c r="N934" s="71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</row>
    <row r="935" spans="1:27" ht="18" customHeight="1">
      <c r="A935" s="61"/>
      <c r="B935" s="60"/>
      <c r="C935" s="69"/>
      <c r="D935" s="70"/>
      <c r="E935" s="72"/>
      <c r="F935" s="71"/>
      <c r="G935" s="71"/>
      <c r="H935" s="60"/>
      <c r="I935" s="60"/>
      <c r="J935" s="69"/>
      <c r="K935" s="69"/>
      <c r="L935" s="70"/>
      <c r="M935" s="72"/>
      <c r="N935" s="71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</row>
    <row r="936" spans="1:27" ht="18" customHeight="1">
      <c r="A936" s="61"/>
      <c r="B936" s="60"/>
      <c r="C936" s="69"/>
      <c r="D936" s="70"/>
      <c r="E936" s="72"/>
      <c r="F936" s="71"/>
      <c r="G936" s="71"/>
      <c r="H936" s="60"/>
      <c r="I936" s="60"/>
      <c r="J936" s="69"/>
      <c r="K936" s="69"/>
      <c r="L936" s="70"/>
      <c r="M936" s="72"/>
      <c r="N936" s="71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</row>
    <row r="937" spans="1:27" ht="18" customHeight="1">
      <c r="A937" s="61"/>
      <c r="B937" s="60"/>
      <c r="C937" s="69"/>
      <c r="D937" s="70"/>
      <c r="E937" s="72"/>
      <c r="F937" s="71"/>
      <c r="G937" s="71"/>
      <c r="H937" s="60"/>
      <c r="I937" s="60"/>
      <c r="J937" s="69"/>
      <c r="K937" s="69"/>
      <c r="L937" s="70"/>
      <c r="M937" s="72"/>
      <c r="N937" s="71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</row>
    <row r="938" spans="1:27" ht="18" customHeight="1">
      <c r="A938" s="61"/>
      <c r="B938" s="60"/>
      <c r="C938" s="69"/>
      <c r="D938" s="70"/>
      <c r="E938" s="72"/>
      <c r="F938" s="71"/>
      <c r="G938" s="71"/>
      <c r="H938" s="60"/>
      <c r="I938" s="60"/>
      <c r="J938" s="69"/>
      <c r="K938" s="69"/>
      <c r="L938" s="70"/>
      <c r="M938" s="72"/>
      <c r="N938" s="71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</row>
    <row r="939" spans="1:27" ht="18" customHeight="1">
      <c r="A939" s="61"/>
      <c r="B939" s="60"/>
      <c r="C939" s="69"/>
      <c r="D939" s="70"/>
      <c r="E939" s="72"/>
      <c r="F939" s="71"/>
      <c r="G939" s="71"/>
      <c r="H939" s="60"/>
      <c r="I939" s="60"/>
      <c r="J939" s="69"/>
      <c r="K939" s="69"/>
      <c r="L939" s="70"/>
      <c r="M939" s="72"/>
      <c r="N939" s="71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</row>
    <row r="940" spans="1:27" ht="18" customHeight="1">
      <c r="A940" s="61"/>
      <c r="B940" s="60"/>
      <c r="C940" s="69"/>
      <c r="D940" s="70"/>
      <c r="E940" s="72"/>
      <c r="F940" s="71"/>
      <c r="G940" s="71"/>
      <c r="H940" s="60"/>
      <c r="I940" s="60"/>
      <c r="J940" s="69"/>
      <c r="K940" s="69"/>
      <c r="L940" s="70"/>
      <c r="M940" s="72"/>
      <c r="N940" s="71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</row>
    <row r="941" spans="1:27" ht="18" customHeight="1">
      <c r="A941" s="61"/>
      <c r="B941" s="60"/>
      <c r="C941" s="69"/>
      <c r="D941" s="70"/>
      <c r="E941" s="72"/>
      <c r="F941" s="71"/>
      <c r="G941" s="71"/>
      <c r="H941" s="60"/>
      <c r="I941" s="60"/>
      <c r="J941" s="69"/>
      <c r="K941" s="69"/>
      <c r="L941" s="70"/>
      <c r="M941" s="72"/>
      <c r="N941" s="71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</row>
    <row r="942" spans="1:27" ht="18" customHeight="1">
      <c r="A942" s="61"/>
      <c r="B942" s="60"/>
      <c r="C942" s="69"/>
      <c r="D942" s="70"/>
      <c r="E942" s="72"/>
      <c r="F942" s="71"/>
      <c r="G942" s="71"/>
      <c r="H942" s="60"/>
      <c r="I942" s="60"/>
      <c r="J942" s="69"/>
      <c r="K942" s="69"/>
      <c r="L942" s="70"/>
      <c r="M942" s="72"/>
      <c r="N942" s="71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</row>
    <row r="943" spans="1:27" ht="18" customHeight="1">
      <c r="A943" s="61"/>
      <c r="B943" s="60"/>
      <c r="C943" s="69"/>
      <c r="D943" s="70"/>
      <c r="E943" s="72"/>
      <c r="F943" s="71"/>
      <c r="G943" s="71"/>
      <c r="H943" s="60"/>
      <c r="I943" s="60"/>
      <c r="J943" s="69"/>
      <c r="K943" s="69"/>
      <c r="L943" s="70"/>
      <c r="M943" s="72"/>
      <c r="N943" s="71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</row>
    <row r="944" spans="1:27" ht="18" customHeight="1">
      <c r="A944" s="61"/>
      <c r="B944" s="60"/>
      <c r="C944" s="69"/>
      <c r="D944" s="70"/>
      <c r="E944" s="72"/>
      <c r="F944" s="71"/>
      <c r="G944" s="71"/>
      <c r="H944" s="60"/>
      <c r="I944" s="60"/>
      <c r="J944" s="69"/>
      <c r="K944" s="69"/>
      <c r="L944" s="70"/>
      <c r="M944" s="72"/>
      <c r="N944" s="71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</row>
    <row r="945" spans="1:27" ht="18" customHeight="1">
      <c r="A945" s="61"/>
      <c r="B945" s="60"/>
      <c r="C945" s="69"/>
      <c r="D945" s="70"/>
      <c r="E945" s="72"/>
      <c r="F945" s="71"/>
      <c r="G945" s="71"/>
      <c r="H945" s="60"/>
      <c r="I945" s="60"/>
      <c r="J945" s="69"/>
      <c r="K945" s="69"/>
      <c r="L945" s="70"/>
      <c r="M945" s="72"/>
      <c r="N945" s="71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</row>
    <row r="946" spans="1:27" ht="18" customHeight="1">
      <c r="A946" s="61"/>
      <c r="B946" s="60"/>
      <c r="C946" s="69"/>
      <c r="D946" s="70"/>
      <c r="E946" s="72"/>
      <c r="F946" s="71"/>
      <c r="G946" s="71"/>
      <c r="H946" s="60"/>
      <c r="I946" s="60"/>
      <c r="J946" s="69"/>
      <c r="K946" s="69"/>
      <c r="L946" s="70"/>
      <c r="M946" s="72"/>
      <c r="N946" s="71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</row>
    <row r="947" spans="1:27" ht="18" customHeight="1">
      <c r="A947" s="61"/>
      <c r="B947" s="60"/>
      <c r="C947" s="69"/>
      <c r="D947" s="70"/>
      <c r="E947" s="72"/>
      <c r="F947" s="71"/>
      <c r="G947" s="71"/>
      <c r="H947" s="60"/>
      <c r="I947" s="60"/>
      <c r="J947" s="69"/>
      <c r="K947" s="69"/>
      <c r="L947" s="70"/>
      <c r="M947" s="72"/>
      <c r="N947" s="71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</row>
    <row r="948" spans="1:27" ht="18" customHeight="1">
      <c r="A948" s="61"/>
      <c r="B948" s="60"/>
      <c r="C948" s="69"/>
      <c r="D948" s="70"/>
      <c r="E948" s="72"/>
      <c r="F948" s="71"/>
      <c r="G948" s="71"/>
      <c r="H948" s="60"/>
      <c r="I948" s="60"/>
      <c r="J948" s="69"/>
      <c r="K948" s="69"/>
      <c r="L948" s="70"/>
      <c r="M948" s="72"/>
      <c r="N948" s="71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</row>
    <row r="949" spans="1:27" ht="18" customHeight="1">
      <c r="A949" s="61"/>
      <c r="B949" s="60"/>
      <c r="C949" s="69"/>
      <c r="D949" s="70"/>
      <c r="E949" s="72"/>
      <c r="F949" s="71"/>
      <c r="G949" s="71"/>
      <c r="H949" s="60"/>
      <c r="I949" s="60"/>
      <c r="J949" s="69"/>
      <c r="K949" s="69"/>
      <c r="L949" s="70"/>
      <c r="M949" s="72"/>
      <c r="N949" s="71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</row>
    <row r="950" spans="1:27" ht="18" customHeight="1">
      <c r="A950" s="61"/>
      <c r="B950" s="60"/>
      <c r="C950" s="69"/>
      <c r="D950" s="70"/>
      <c r="E950" s="72"/>
      <c r="F950" s="71"/>
      <c r="G950" s="71"/>
      <c r="H950" s="60"/>
      <c r="I950" s="60"/>
      <c r="J950" s="69"/>
      <c r="K950" s="69"/>
      <c r="L950" s="70"/>
      <c r="M950" s="72"/>
      <c r="N950" s="71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</row>
    <row r="951" spans="1:27" ht="18" customHeight="1">
      <c r="A951" s="61"/>
      <c r="B951" s="60"/>
      <c r="C951" s="69"/>
      <c r="D951" s="70"/>
      <c r="E951" s="72"/>
      <c r="F951" s="71"/>
      <c r="G951" s="71"/>
      <c r="H951" s="60"/>
      <c r="I951" s="60"/>
      <c r="J951" s="69"/>
      <c r="K951" s="69"/>
      <c r="L951" s="70"/>
      <c r="M951" s="72"/>
      <c r="N951" s="71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</row>
    <row r="952" spans="1:27" ht="18" customHeight="1">
      <c r="A952" s="61"/>
      <c r="B952" s="60"/>
      <c r="C952" s="69"/>
      <c r="D952" s="70"/>
      <c r="E952" s="72"/>
      <c r="F952" s="71"/>
      <c r="G952" s="71"/>
      <c r="H952" s="60"/>
      <c r="I952" s="60"/>
      <c r="J952" s="69"/>
      <c r="K952" s="69"/>
      <c r="L952" s="70"/>
      <c r="M952" s="72"/>
      <c r="N952" s="71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</row>
    <row r="953" spans="1:27" ht="18" customHeight="1">
      <c r="A953" s="61"/>
      <c r="B953" s="60"/>
      <c r="C953" s="69"/>
      <c r="D953" s="70"/>
      <c r="E953" s="72"/>
      <c r="F953" s="71"/>
      <c r="G953" s="71"/>
      <c r="H953" s="60"/>
      <c r="I953" s="60"/>
      <c r="J953" s="69"/>
      <c r="K953" s="69"/>
      <c r="L953" s="70"/>
      <c r="M953" s="72"/>
      <c r="N953" s="71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</row>
    <row r="954" spans="1:27" ht="18" customHeight="1">
      <c r="A954" s="61"/>
      <c r="B954" s="60"/>
      <c r="C954" s="69"/>
      <c r="D954" s="70"/>
      <c r="E954" s="72"/>
      <c r="F954" s="71"/>
      <c r="G954" s="71"/>
      <c r="H954" s="60"/>
      <c r="I954" s="60"/>
      <c r="J954" s="69"/>
      <c r="K954" s="69"/>
      <c r="L954" s="70"/>
      <c r="M954" s="72"/>
      <c r="N954" s="71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</row>
    <row r="955" spans="1:27" ht="18" customHeight="1">
      <c r="A955" s="61"/>
      <c r="B955" s="60"/>
      <c r="C955" s="69"/>
      <c r="D955" s="70"/>
      <c r="E955" s="72"/>
      <c r="F955" s="71"/>
      <c r="G955" s="71"/>
      <c r="H955" s="60"/>
      <c r="I955" s="60"/>
      <c r="J955" s="69"/>
      <c r="K955" s="69"/>
      <c r="L955" s="70"/>
      <c r="M955" s="72"/>
      <c r="N955" s="71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</row>
    <row r="956" spans="1:27" ht="18" customHeight="1">
      <c r="A956" s="61"/>
      <c r="B956" s="60"/>
      <c r="C956" s="69"/>
      <c r="D956" s="70"/>
      <c r="E956" s="72"/>
      <c r="F956" s="71"/>
      <c r="G956" s="71"/>
      <c r="H956" s="60"/>
      <c r="I956" s="60"/>
      <c r="J956" s="69"/>
      <c r="K956" s="69"/>
      <c r="L956" s="70"/>
      <c r="M956" s="72"/>
      <c r="N956" s="71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</row>
    <row r="957" spans="1:27" ht="18" customHeight="1">
      <c r="A957" s="61"/>
      <c r="B957" s="60"/>
      <c r="C957" s="69"/>
      <c r="D957" s="70"/>
      <c r="E957" s="72"/>
      <c r="F957" s="71"/>
      <c r="G957" s="71"/>
      <c r="H957" s="60"/>
      <c r="I957" s="60"/>
      <c r="J957" s="69"/>
      <c r="K957" s="69"/>
      <c r="L957" s="70"/>
      <c r="M957" s="72"/>
      <c r="N957" s="71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</row>
    <row r="958" spans="1:27" ht="18" customHeight="1">
      <c r="A958" s="61"/>
      <c r="B958" s="60"/>
      <c r="C958" s="69"/>
      <c r="D958" s="70"/>
      <c r="E958" s="72"/>
      <c r="F958" s="71"/>
      <c r="G958" s="71"/>
      <c r="H958" s="60"/>
      <c r="I958" s="60"/>
      <c r="J958" s="69"/>
      <c r="K958" s="69"/>
      <c r="L958" s="70"/>
      <c r="M958" s="72"/>
      <c r="N958" s="71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</row>
    <row r="959" spans="1:27" ht="18" customHeight="1">
      <c r="A959" s="61"/>
      <c r="B959" s="60"/>
      <c r="C959" s="69"/>
      <c r="D959" s="70"/>
      <c r="E959" s="72"/>
      <c r="F959" s="71"/>
      <c r="G959" s="71"/>
      <c r="H959" s="60"/>
      <c r="I959" s="60"/>
      <c r="J959" s="69"/>
      <c r="K959" s="69"/>
      <c r="L959" s="70"/>
      <c r="M959" s="72"/>
      <c r="N959" s="71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</row>
    <row r="960" spans="1:27" ht="18" customHeight="1">
      <c r="A960" s="61"/>
      <c r="B960" s="60"/>
      <c r="C960" s="69"/>
      <c r="D960" s="70"/>
      <c r="E960" s="72"/>
      <c r="F960" s="71"/>
      <c r="G960" s="71"/>
      <c r="H960" s="60"/>
      <c r="I960" s="60"/>
      <c r="J960" s="69"/>
      <c r="K960" s="69"/>
      <c r="L960" s="70"/>
      <c r="M960" s="72"/>
      <c r="N960" s="71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</row>
    <row r="961" spans="1:27" ht="18" customHeight="1">
      <c r="A961" s="61"/>
      <c r="B961" s="60"/>
      <c r="C961" s="69"/>
      <c r="D961" s="70"/>
      <c r="E961" s="72"/>
      <c r="F961" s="71"/>
      <c r="G961" s="71"/>
      <c r="H961" s="60"/>
      <c r="I961" s="60"/>
      <c r="J961" s="69"/>
      <c r="K961" s="69"/>
      <c r="L961" s="70"/>
      <c r="M961" s="72"/>
      <c r="N961" s="71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</row>
    <row r="962" spans="1:27" ht="18" customHeight="1">
      <c r="A962" s="61"/>
      <c r="B962" s="60"/>
      <c r="C962" s="69"/>
      <c r="D962" s="70"/>
      <c r="E962" s="72"/>
      <c r="F962" s="71"/>
      <c r="G962" s="71"/>
      <c r="H962" s="60"/>
      <c r="I962" s="60"/>
      <c r="J962" s="69"/>
      <c r="K962" s="69"/>
      <c r="L962" s="70"/>
      <c r="M962" s="72"/>
      <c r="N962" s="71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</row>
    <row r="963" spans="1:27" ht="18" customHeight="1">
      <c r="A963" s="61"/>
      <c r="B963" s="60"/>
      <c r="C963" s="69"/>
      <c r="D963" s="70"/>
      <c r="E963" s="72"/>
      <c r="F963" s="71"/>
      <c r="G963" s="71"/>
      <c r="H963" s="60"/>
      <c r="I963" s="60"/>
      <c r="J963" s="69"/>
      <c r="K963" s="69"/>
      <c r="L963" s="70"/>
      <c r="M963" s="72"/>
      <c r="N963" s="71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</row>
    <row r="964" spans="1:27" ht="18" customHeight="1">
      <c r="A964" s="61"/>
      <c r="B964" s="60"/>
      <c r="C964" s="69"/>
      <c r="D964" s="70"/>
      <c r="E964" s="72"/>
      <c r="F964" s="71"/>
      <c r="G964" s="71"/>
      <c r="H964" s="60"/>
      <c r="I964" s="60"/>
      <c r="J964" s="69"/>
      <c r="K964" s="69"/>
      <c r="L964" s="70"/>
      <c r="M964" s="72"/>
      <c r="N964" s="71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</row>
    <row r="965" spans="1:27" ht="18" customHeight="1">
      <c r="A965" s="61"/>
      <c r="B965" s="60"/>
      <c r="C965" s="69"/>
      <c r="D965" s="70"/>
      <c r="E965" s="72"/>
      <c r="F965" s="71"/>
      <c r="G965" s="71"/>
      <c r="H965" s="60"/>
      <c r="I965" s="60"/>
      <c r="J965" s="69"/>
      <c r="K965" s="69"/>
      <c r="L965" s="70"/>
      <c r="M965" s="72"/>
      <c r="N965" s="71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</row>
    <row r="966" spans="1:27" ht="18" customHeight="1">
      <c r="A966" s="61"/>
      <c r="B966" s="60"/>
      <c r="C966" s="69"/>
      <c r="D966" s="70"/>
      <c r="E966" s="72"/>
      <c r="F966" s="71"/>
      <c r="G966" s="71"/>
      <c r="H966" s="60"/>
      <c r="I966" s="60"/>
      <c r="J966" s="69"/>
      <c r="K966" s="69"/>
      <c r="L966" s="70"/>
      <c r="M966" s="72"/>
      <c r="N966" s="71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</row>
    <row r="967" spans="1:27" ht="18" customHeight="1">
      <c r="A967" s="61"/>
      <c r="B967" s="60"/>
      <c r="C967" s="69"/>
      <c r="D967" s="70"/>
      <c r="E967" s="72"/>
      <c r="F967" s="71"/>
      <c r="G967" s="71"/>
      <c r="H967" s="60"/>
      <c r="I967" s="60"/>
      <c r="J967" s="69"/>
      <c r="K967" s="69"/>
      <c r="L967" s="70"/>
      <c r="M967" s="72"/>
      <c r="N967" s="71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</row>
    <row r="968" spans="1:27" ht="18" customHeight="1">
      <c r="A968" s="61"/>
      <c r="B968" s="60"/>
      <c r="C968" s="69"/>
      <c r="D968" s="70"/>
      <c r="E968" s="72"/>
      <c r="F968" s="71"/>
      <c r="G968" s="71"/>
      <c r="H968" s="60"/>
      <c r="I968" s="60"/>
      <c r="J968" s="69"/>
      <c r="K968" s="69"/>
      <c r="L968" s="70"/>
      <c r="M968" s="72"/>
      <c r="N968" s="71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</row>
    <row r="969" spans="1:27" ht="18" customHeight="1">
      <c r="A969" s="61"/>
      <c r="B969" s="60"/>
      <c r="C969" s="69"/>
      <c r="D969" s="70"/>
      <c r="E969" s="72"/>
      <c r="F969" s="71"/>
      <c r="G969" s="71"/>
      <c r="H969" s="60"/>
      <c r="I969" s="60"/>
      <c r="J969" s="69"/>
      <c r="K969" s="69"/>
      <c r="L969" s="70"/>
      <c r="M969" s="72"/>
      <c r="N969" s="71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</row>
    <row r="970" spans="1:27" ht="18" customHeight="1">
      <c r="A970" s="61"/>
      <c r="B970" s="60"/>
      <c r="C970" s="69"/>
      <c r="D970" s="70"/>
      <c r="E970" s="72"/>
      <c r="F970" s="71"/>
      <c r="G970" s="71"/>
      <c r="H970" s="60"/>
      <c r="I970" s="60"/>
      <c r="J970" s="69"/>
      <c r="K970" s="69"/>
      <c r="L970" s="70"/>
      <c r="M970" s="72"/>
      <c r="N970" s="71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</row>
    <row r="971" spans="1:27" ht="18" customHeight="1">
      <c r="A971" s="61"/>
      <c r="B971" s="60"/>
      <c r="C971" s="69"/>
      <c r="D971" s="70"/>
      <c r="E971" s="72"/>
      <c r="F971" s="71"/>
      <c r="G971" s="71"/>
      <c r="H971" s="60"/>
      <c r="I971" s="60"/>
      <c r="J971" s="69"/>
      <c r="K971" s="69"/>
      <c r="L971" s="70"/>
      <c r="M971" s="72"/>
      <c r="N971" s="71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</row>
    <row r="972" spans="1:27" ht="18" customHeight="1">
      <c r="A972" s="61"/>
      <c r="B972" s="60"/>
      <c r="C972" s="69"/>
      <c r="D972" s="70"/>
      <c r="E972" s="72"/>
      <c r="F972" s="71"/>
      <c r="G972" s="71"/>
      <c r="H972" s="60"/>
      <c r="I972" s="60"/>
      <c r="J972" s="69"/>
      <c r="K972" s="69"/>
      <c r="L972" s="70"/>
      <c r="M972" s="72"/>
      <c r="N972" s="71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</row>
    <row r="973" spans="1:27" ht="18" customHeight="1">
      <c r="A973" s="61"/>
      <c r="B973" s="60"/>
      <c r="C973" s="69"/>
      <c r="D973" s="70"/>
      <c r="E973" s="72"/>
      <c r="F973" s="71"/>
      <c r="G973" s="71"/>
      <c r="H973" s="60"/>
      <c r="I973" s="60"/>
      <c r="J973" s="69"/>
      <c r="K973" s="69"/>
      <c r="L973" s="70"/>
      <c r="M973" s="72"/>
      <c r="N973" s="71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</row>
    <row r="974" spans="1:27" ht="18" customHeight="1">
      <c r="A974" s="61"/>
      <c r="B974" s="60"/>
      <c r="C974" s="69"/>
      <c r="D974" s="70"/>
      <c r="E974" s="72"/>
      <c r="F974" s="71"/>
      <c r="G974" s="71"/>
      <c r="H974" s="60"/>
      <c r="I974" s="60"/>
      <c r="J974" s="69"/>
      <c r="K974" s="69"/>
      <c r="L974" s="70"/>
      <c r="M974" s="72"/>
      <c r="N974" s="71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</row>
    <row r="975" spans="1:27" ht="18" customHeight="1">
      <c r="A975" s="61"/>
      <c r="B975" s="60"/>
      <c r="C975" s="69"/>
      <c r="D975" s="70"/>
      <c r="E975" s="72"/>
      <c r="F975" s="71"/>
      <c r="G975" s="71"/>
      <c r="H975" s="60"/>
      <c r="I975" s="60"/>
      <c r="J975" s="69"/>
      <c r="K975" s="69"/>
      <c r="L975" s="70"/>
      <c r="M975" s="72"/>
      <c r="N975" s="71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</row>
    <row r="976" spans="1:27" ht="18" customHeight="1">
      <c r="A976" s="61"/>
      <c r="B976" s="60"/>
      <c r="C976" s="69"/>
      <c r="D976" s="70"/>
      <c r="E976" s="72"/>
      <c r="F976" s="71"/>
      <c r="G976" s="71"/>
      <c r="H976" s="60"/>
      <c r="I976" s="60"/>
      <c r="J976" s="69"/>
      <c r="K976" s="69"/>
      <c r="L976" s="70"/>
      <c r="M976" s="72"/>
      <c r="N976" s="71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</row>
    <row r="977" spans="1:27" ht="18" customHeight="1">
      <c r="A977" s="61"/>
      <c r="B977" s="60"/>
      <c r="C977" s="69"/>
      <c r="D977" s="70"/>
      <c r="E977" s="72"/>
      <c r="F977" s="71"/>
      <c r="G977" s="71"/>
      <c r="H977" s="60"/>
      <c r="I977" s="60"/>
      <c r="J977" s="69"/>
      <c r="K977" s="69"/>
      <c r="L977" s="70"/>
      <c r="M977" s="72"/>
      <c r="N977" s="71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</row>
    <row r="978" spans="1:27" ht="18" customHeight="1">
      <c r="A978" s="61"/>
      <c r="B978" s="60"/>
      <c r="C978" s="69"/>
      <c r="D978" s="70"/>
      <c r="E978" s="72"/>
      <c r="F978" s="71"/>
      <c r="G978" s="71"/>
      <c r="H978" s="60"/>
      <c r="I978" s="60"/>
      <c r="J978" s="69"/>
      <c r="K978" s="69"/>
      <c r="L978" s="70"/>
      <c r="M978" s="72"/>
      <c r="N978" s="71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</row>
    <row r="979" spans="1:27" ht="18" customHeight="1">
      <c r="A979" s="61"/>
      <c r="B979" s="60"/>
      <c r="C979" s="69"/>
      <c r="D979" s="70"/>
      <c r="E979" s="72"/>
      <c r="F979" s="71"/>
      <c r="G979" s="71"/>
      <c r="H979" s="60"/>
      <c r="I979" s="60"/>
      <c r="J979" s="69"/>
      <c r="K979" s="69"/>
      <c r="L979" s="70"/>
      <c r="M979" s="72"/>
      <c r="N979" s="71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</row>
    <row r="980" spans="1:27" ht="18" customHeight="1">
      <c r="A980" s="61"/>
      <c r="B980" s="60"/>
      <c r="C980" s="69"/>
      <c r="D980" s="70"/>
      <c r="E980" s="72"/>
      <c r="F980" s="71"/>
      <c r="G980" s="71"/>
      <c r="H980" s="60"/>
      <c r="I980" s="60"/>
      <c r="J980" s="69"/>
      <c r="K980" s="69"/>
      <c r="L980" s="70"/>
      <c r="M980" s="72"/>
      <c r="N980" s="71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</row>
    <row r="981" spans="1:27" ht="18" customHeight="1">
      <c r="A981" s="61"/>
      <c r="B981" s="60"/>
      <c r="C981" s="69"/>
      <c r="D981" s="70"/>
      <c r="E981" s="72"/>
      <c r="F981" s="71"/>
      <c r="G981" s="71"/>
      <c r="H981" s="60"/>
      <c r="I981" s="60"/>
      <c r="J981" s="69"/>
      <c r="K981" s="69"/>
      <c r="L981" s="70"/>
      <c r="M981" s="72"/>
      <c r="N981" s="71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</row>
    <row r="982" spans="1:27" ht="18" customHeight="1">
      <c r="A982" s="61"/>
      <c r="B982" s="60"/>
      <c r="C982" s="69"/>
      <c r="D982" s="70"/>
      <c r="E982" s="72"/>
      <c r="F982" s="71"/>
      <c r="G982" s="71"/>
      <c r="H982" s="60"/>
      <c r="I982" s="60"/>
      <c r="J982" s="69"/>
      <c r="K982" s="69"/>
      <c r="L982" s="70"/>
      <c r="M982" s="72"/>
      <c r="N982" s="71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</row>
    <row r="983" spans="1:27" ht="18" customHeight="1">
      <c r="A983" s="61"/>
      <c r="B983" s="60"/>
      <c r="C983" s="69"/>
      <c r="D983" s="70"/>
      <c r="E983" s="72"/>
      <c r="F983" s="71"/>
      <c r="G983" s="71"/>
      <c r="H983" s="60"/>
      <c r="I983" s="60"/>
      <c r="J983" s="69"/>
      <c r="K983" s="69"/>
      <c r="L983" s="70"/>
      <c r="M983" s="72"/>
      <c r="N983" s="71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</row>
    <row r="984" spans="1:27" ht="18" customHeight="1">
      <c r="A984" s="61"/>
      <c r="B984" s="60"/>
      <c r="C984" s="69"/>
      <c r="D984" s="70"/>
      <c r="E984" s="72"/>
      <c r="F984" s="71"/>
      <c r="G984" s="71"/>
      <c r="H984" s="60"/>
      <c r="I984" s="60"/>
      <c r="J984" s="69"/>
      <c r="K984" s="69"/>
      <c r="L984" s="70"/>
      <c r="M984" s="72"/>
      <c r="N984" s="71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</row>
    <row r="985" spans="1:27" ht="18" customHeight="1">
      <c r="A985" s="61"/>
      <c r="B985" s="60"/>
      <c r="C985" s="69"/>
      <c r="D985" s="70"/>
      <c r="E985" s="72"/>
      <c r="F985" s="71"/>
      <c r="G985" s="71"/>
      <c r="H985" s="60"/>
      <c r="I985" s="60"/>
      <c r="J985" s="69"/>
      <c r="K985" s="69"/>
      <c r="L985" s="70"/>
      <c r="M985" s="72"/>
      <c r="N985" s="71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</row>
    <row r="986" spans="1:27" ht="18" customHeight="1">
      <c r="A986" s="61"/>
      <c r="B986" s="60"/>
      <c r="C986" s="69"/>
      <c r="D986" s="70"/>
      <c r="E986" s="72"/>
      <c r="F986" s="71"/>
      <c r="G986" s="71"/>
      <c r="H986" s="60"/>
      <c r="I986" s="60"/>
      <c r="J986" s="69"/>
      <c r="K986" s="69"/>
      <c r="L986" s="70"/>
      <c r="M986" s="72"/>
      <c r="N986" s="71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</row>
    <row r="987" spans="1:27" ht="18" customHeight="1">
      <c r="A987" s="61"/>
      <c r="B987" s="60"/>
      <c r="C987" s="69"/>
      <c r="D987" s="70"/>
      <c r="E987" s="72"/>
      <c r="F987" s="71"/>
      <c r="G987" s="71"/>
      <c r="H987" s="60"/>
      <c r="I987" s="60"/>
      <c r="J987" s="69"/>
      <c r="K987" s="69"/>
      <c r="L987" s="70"/>
      <c r="M987" s="72"/>
      <c r="N987" s="71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</row>
    <row r="988" spans="1:27" ht="18" customHeight="1">
      <c r="A988" s="61"/>
      <c r="B988" s="60"/>
      <c r="C988" s="69"/>
      <c r="D988" s="70"/>
      <c r="E988" s="72"/>
      <c r="F988" s="71"/>
      <c r="G988" s="71"/>
      <c r="H988" s="60"/>
      <c r="I988" s="60"/>
      <c r="J988" s="69"/>
      <c r="K988" s="69"/>
      <c r="L988" s="70"/>
      <c r="M988" s="72"/>
      <c r="N988" s="71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</row>
    <row r="989" spans="1:27" ht="18" customHeight="1">
      <c r="A989" s="61"/>
      <c r="B989" s="60"/>
      <c r="C989" s="69"/>
      <c r="D989" s="70"/>
      <c r="E989" s="72"/>
      <c r="F989" s="71"/>
      <c r="G989" s="71"/>
      <c r="H989" s="60"/>
      <c r="I989" s="60"/>
      <c r="J989" s="69"/>
      <c r="K989" s="69"/>
      <c r="L989" s="70"/>
      <c r="M989" s="72"/>
      <c r="N989" s="71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</row>
    <row r="990" spans="1:27" ht="18" customHeight="1">
      <c r="A990" s="61"/>
      <c r="B990" s="60"/>
      <c r="C990" s="69"/>
      <c r="D990" s="70"/>
      <c r="E990" s="72"/>
      <c r="F990" s="71"/>
      <c r="G990" s="71"/>
      <c r="H990" s="60"/>
      <c r="I990" s="60"/>
      <c r="J990" s="69"/>
      <c r="K990" s="69"/>
      <c r="L990" s="70"/>
      <c r="M990" s="72"/>
      <c r="N990" s="71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</row>
    <row r="991" spans="1:27" ht="18" customHeight="1">
      <c r="A991" s="61"/>
      <c r="B991" s="60"/>
      <c r="C991" s="69"/>
      <c r="D991" s="70"/>
      <c r="E991" s="72"/>
      <c r="F991" s="71"/>
      <c r="G991" s="71"/>
      <c r="H991" s="60"/>
      <c r="I991" s="60"/>
      <c r="J991" s="69"/>
      <c r="K991" s="69"/>
      <c r="L991" s="70"/>
      <c r="M991" s="72"/>
      <c r="N991" s="71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</row>
    <row r="992" spans="1:27" ht="18" customHeight="1">
      <c r="A992" s="61"/>
      <c r="B992" s="60"/>
      <c r="C992" s="69"/>
      <c r="D992" s="70"/>
      <c r="E992" s="72"/>
      <c r="F992" s="71"/>
      <c r="G992" s="71"/>
      <c r="H992" s="60"/>
      <c r="I992" s="60"/>
      <c r="J992" s="69"/>
      <c r="K992" s="69"/>
      <c r="L992" s="70"/>
      <c r="M992" s="72"/>
      <c r="N992" s="71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</row>
    <row r="993" spans="1:27" ht="18" customHeight="1">
      <c r="A993" s="61"/>
      <c r="B993" s="60"/>
      <c r="C993" s="69"/>
      <c r="D993" s="70"/>
      <c r="E993" s="72"/>
      <c r="F993" s="71"/>
      <c r="G993" s="71"/>
      <c r="H993" s="60"/>
      <c r="I993" s="60"/>
      <c r="J993" s="69"/>
      <c r="K993" s="69"/>
      <c r="L993" s="70"/>
      <c r="M993" s="72"/>
      <c r="N993" s="71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</row>
    <row r="994" spans="1:27" ht="18" customHeight="1">
      <c r="A994" s="61"/>
      <c r="B994" s="60"/>
      <c r="C994" s="69"/>
      <c r="D994" s="70"/>
      <c r="E994" s="72"/>
      <c r="F994" s="71"/>
      <c r="G994" s="71"/>
      <c r="H994" s="60"/>
      <c r="I994" s="60"/>
      <c r="J994" s="69"/>
      <c r="K994" s="69"/>
      <c r="L994" s="70"/>
      <c r="M994" s="72"/>
      <c r="N994" s="71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</row>
    <row r="995" spans="1:27" ht="18" customHeight="1">
      <c r="A995" s="61"/>
      <c r="B995" s="60"/>
      <c r="C995" s="69"/>
      <c r="D995" s="70"/>
      <c r="E995" s="72"/>
      <c r="F995" s="71"/>
      <c r="G995" s="71"/>
      <c r="H995" s="60"/>
      <c r="I995" s="60"/>
      <c r="J995" s="69"/>
      <c r="K995" s="69"/>
      <c r="L995" s="70"/>
      <c r="M995" s="72"/>
      <c r="N995" s="71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</row>
    <row r="996" spans="1:27" ht="18" customHeight="1">
      <c r="A996" s="61"/>
      <c r="B996" s="60"/>
      <c r="C996" s="69"/>
      <c r="D996" s="70"/>
      <c r="E996" s="72"/>
      <c r="F996" s="71"/>
      <c r="G996" s="71"/>
      <c r="H996" s="60"/>
      <c r="I996" s="60"/>
      <c r="J996" s="69"/>
      <c r="K996" s="69"/>
      <c r="L996" s="70"/>
      <c r="M996" s="72"/>
      <c r="N996" s="71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</row>
    <row r="997" spans="1:27" ht="18" customHeight="1">
      <c r="A997" s="61"/>
      <c r="B997" s="60"/>
      <c r="C997" s="69"/>
      <c r="D997" s="70"/>
      <c r="E997" s="72"/>
      <c r="F997" s="71"/>
      <c r="G997" s="71"/>
      <c r="H997" s="60"/>
      <c r="I997" s="60"/>
      <c r="J997" s="69"/>
      <c r="K997" s="69"/>
      <c r="L997" s="70"/>
      <c r="M997" s="72"/>
      <c r="N997" s="71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</row>
    <row r="998" spans="1:27" ht="18" customHeight="1">
      <c r="A998" s="61"/>
      <c r="B998" s="60"/>
      <c r="C998" s="69"/>
      <c r="D998" s="70"/>
      <c r="E998" s="72"/>
      <c r="F998" s="71"/>
      <c r="G998" s="71"/>
      <c r="H998" s="60"/>
      <c r="I998" s="60"/>
      <c r="J998" s="69"/>
      <c r="K998" s="69"/>
      <c r="L998" s="70"/>
      <c r="M998" s="72"/>
      <c r="N998" s="71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</row>
    <row r="999" spans="1:27" ht="18" customHeight="1">
      <c r="A999" s="61"/>
      <c r="B999" s="60"/>
      <c r="C999" s="69"/>
      <c r="D999" s="70"/>
      <c r="E999" s="72"/>
      <c r="F999" s="71"/>
      <c r="G999" s="71"/>
      <c r="H999" s="60"/>
      <c r="I999" s="60"/>
      <c r="J999" s="69"/>
      <c r="K999" s="69"/>
      <c r="L999" s="70"/>
      <c r="M999" s="72"/>
      <c r="N999" s="71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</row>
    <row r="1000" spans="1:27" ht="18" customHeight="1">
      <c r="A1000" s="61"/>
      <c r="B1000" s="60"/>
      <c r="C1000" s="69"/>
      <c r="D1000" s="70"/>
      <c r="E1000" s="72"/>
      <c r="F1000" s="71"/>
      <c r="G1000" s="71"/>
      <c r="H1000" s="60"/>
      <c r="I1000" s="60"/>
      <c r="J1000" s="69"/>
      <c r="K1000" s="69"/>
      <c r="L1000" s="70"/>
      <c r="M1000" s="72"/>
      <c r="N1000" s="71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</row>
    <row r="1001" spans="1:27" ht="18" customHeight="1">
      <c r="A1001" s="61"/>
      <c r="B1001" s="60"/>
      <c r="C1001" s="69"/>
      <c r="D1001" s="70"/>
      <c r="E1001" s="72"/>
      <c r="F1001" s="71"/>
      <c r="G1001" s="71"/>
      <c r="H1001" s="60"/>
      <c r="I1001" s="60"/>
      <c r="J1001" s="69"/>
      <c r="K1001" s="69"/>
      <c r="L1001" s="70"/>
      <c r="M1001" s="72"/>
      <c r="N1001" s="71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</row>
    <row r="1002" spans="1:27" ht="15" customHeight="1">
      <c r="B1002" s="60"/>
      <c r="C1002" s="69"/>
      <c r="D1002" s="70"/>
      <c r="E1002" s="72"/>
      <c r="F1002" s="71"/>
      <c r="I1002" s="60"/>
      <c r="J1002" s="69"/>
      <c r="K1002" s="69"/>
      <c r="L1002" s="70"/>
      <c r="M1002" s="72"/>
      <c r="N1002" s="71"/>
      <c r="Q1002" s="60"/>
      <c r="R1002" s="60"/>
    </row>
    <row r="1003" spans="1:27" ht="15" customHeight="1">
      <c r="B1003" s="60"/>
      <c r="C1003" s="69"/>
      <c r="D1003" s="70"/>
      <c r="E1003" s="72"/>
      <c r="F1003" s="71"/>
      <c r="I1003" s="60"/>
      <c r="J1003" s="69"/>
      <c r="K1003" s="69"/>
      <c r="L1003" s="70"/>
      <c r="M1003" s="72"/>
      <c r="N1003" s="71"/>
      <c r="Q1003" s="60"/>
      <c r="R1003" s="60"/>
    </row>
    <row r="1004" spans="1:27" ht="15" customHeight="1">
      <c r="B1004" s="60"/>
      <c r="C1004" s="69"/>
      <c r="D1004" s="70"/>
      <c r="E1004" s="72"/>
      <c r="F1004" s="71"/>
      <c r="I1004" s="60"/>
      <c r="J1004" s="69"/>
      <c r="K1004" s="69"/>
      <c r="L1004" s="70"/>
      <c r="M1004" s="72"/>
      <c r="N1004" s="71"/>
      <c r="Q1004" s="60"/>
      <c r="R1004" s="60"/>
    </row>
    <row r="1005" spans="1:27" ht="15" customHeight="1">
      <c r="B1005" s="60"/>
      <c r="C1005" s="69"/>
      <c r="D1005" s="70"/>
      <c r="E1005" s="72"/>
      <c r="F1005" s="71"/>
      <c r="I1005" s="60"/>
      <c r="J1005" s="69"/>
      <c r="K1005" s="69"/>
      <c r="L1005" s="70"/>
      <c r="M1005" s="72"/>
      <c r="N1005" s="71"/>
    </row>
    <row r="1006" spans="1:27" ht="15" customHeight="1">
      <c r="B1006" s="60"/>
      <c r="C1006" s="69"/>
      <c r="D1006" s="70"/>
      <c r="E1006" s="72"/>
      <c r="F1006" s="71"/>
      <c r="I1006" s="60"/>
      <c r="J1006" s="69"/>
      <c r="K1006" s="69"/>
      <c r="L1006" s="70"/>
      <c r="M1006" s="72"/>
      <c r="N1006" s="71"/>
    </row>
    <row r="1007" spans="1:27" ht="15" customHeight="1">
      <c r="B1007" s="60"/>
      <c r="C1007" s="69"/>
      <c r="D1007" s="70"/>
      <c r="E1007" s="72"/>
      <c r="F1007" s="71"/>
      <c r="K1007" s="27"/>
    </row>
    <row r="1008" spans="1:27" ht="15" customHeight="1">
      <c r="B1008" s="60"/>
      <c r="C1008" s="69"/>
      <c r="D1008" s="70"/>
      <c r="E1008" s="72"/>
      <c r="F1008" s="71"/>
      <c r="K1008" s="27"/>
    </row>
    <row r="1009" spans="2:11" ht="15" customHeight="1">
      <c r="B1009" s="60"/>
      <c r="C1009" s="69"/>
      <c r="D1009" s="70"/>
      <c r="E1009" s="72"/>
      <c r="F1009" s="71"/>
      <c r="K1009" s="27"/>
    </row>
    <row r="1010" spans="2:11" ht="15" customHeight="1">
      <c r="B1010" s="60"/>
      <c r="C1010" s="69"/>
      <c r="D1010" s="70"/>
      <c r="E1010" s="72"/>
      <c r="F1010" s="71"/>
    </row>
    <row r="1011" spans="2:11" ht="15" customHeight="1">
      <c r="B1011" s="60"/>
      <c r="C1011" s="69"/>
      <c r="D1011" s="70"/>
      <c r="E1011" s="72"/>
      <c r="F1011" s="71"/>
    </row>
    <row r="1012" spans="2:11" ht="15" customHeight="1">
      <c r="B1012" s="60"/>
      <c r="C1012" s="69"/>
      <c r="D1012" s="70"/>
      <c r="E1012" s="72"/>
      <c r="F1012" s="71"/>
    </row>
    <row r="1013" spans="2:11" ht="15" customHeight="1">
      <c r="B1013" s="60"/>
      <c r="C1013" s="69"/>
      <c r="D1013" s="70"/>
      <c r="E1013" s="72"/>
      <c r="F1013" s="71"/>
    </row>
  </sheetData>
  <mergeCells count="23">
    <mergeCell ref="B26:F26"/>
    <mergeCell ref="Q27:R27"/>
    <mergeCell ref="Q47:R47"/>
    <mergeCell ref="Q56:R56"/>
    <mergeCell ref="J26:N26"/>
    <mergeCell ref="M29:N30"/>
    <mergeCell ref="Q37:R37"/>
    <mergeCell ref="C44:F44"/>
    <mergeCell ref="C47:F47"/>
    <mergeCell ref="L47:N47"/>
    <mergeCell ref="C49:F49"/>
    <mergeCell ref="C10:F10"/>
    <mergeCell ref="B13:F13"/>
    <mergeCell ref="J18:N18"/>
    <mergeCell ref="Q21:R21"/>
    <mergeCell ref="C23:F23"/>
    <mergeCell ref="B1:N1"/>
    <mergeCell ref="B4:F4"/>
    <mergeCell ref="I4:N4"/>
    <mergeCell ref="Q4:R4"/>
    <mergeCell ref="B6:F6"/>
    <mergeCell ref="I6:N6"/>
    <mergeCell ref="Q6:R6"/>
  </mergeCells>
  <conditionalFormatting sqref="I29 M29">
    <cfRule type="cellIs" dxfId="3" priority="1" operator="lessThan">
      <formula>0</formula>
    </cfRule>
  </conditionalFormatting>
  <conditionalFormatting sqref="I31:M33">
    <cfRule type="cellIs" dxfId="2" priority="2" operator="lessThan">
      <formula>0</formula>
    </cfRule>
  </conditionalFormatting>
  <conditionalFormatting sqref="R24:R25">
    <cfRule type="cellIs" dxfId="1" priority="3" operator="lessThan">
      <formula>0</formula>
    </cfRule>
  </conditionalFormatting>
  <conditionalFormatting sqref="R30:R31">
    <cfRule type="cellIs" dxfId="0" priority="4" operator="lessThan">
      <formula>0</formula>
    </cfRule>
  </conditionalFormatting>
  <pageMargins left="0.70866141732283472" right="0.70866141732283472" top="0.78740157480314965" bottom="0.7874015748031496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H10"/>
  <sheetViews>
    <sheetView workbookViewId="0"/>
  </sheetViews>
  <sheetFormatPr defaultColWidth="12.625" defaultRowHeight="15" customHeight="1"/>
  <cols>
    <col min="1" max="1" width="14.625" customWidth="1"/>
    <col min="2" max="2" width="23.625" customWidth="1"/>
    <col min="3" max="3" width="26.5" customWidth="1"/>
    <col min="4" max="4" width="12" customWidth="1"/>
    <col min="5" max="5" width="10" customWidth="1"/>
    <col min="6" max="7" width="16.375" customWidth="1"/>
  </cols>
  <sheetData>
    <row r="1" spans="1:8">
      <c r="A1" s="42" t="s">
        <v>71</v>
      </c>
      <c r="B1" s="43" t="str">
        <f>HMG!E2</f>
        <v>Úkol (test)</v>
      </c>
      <c r="C1" s="44" t="s">
        <v>72</v>
      </c>
      <c r="D1" s="45">
        <f ca="1">SUM(G3:G10)</f>
        <v>0</v>
      </c>
      <c r="E1" s="44" t="s">
        <v>73</v>
      </c>
      <c r="F1" s="46"/>
      <c r="G1" s="47">
        <f ca="1">TODAY()</f>
        <v>45915</v>
      </c>
      <c r="H1" s="48" t="str">
        <f ca="1">IFERROR(__xludf.UNSUPPORTED(IMPORTRANGE("", ""))," #N/A")</f>
        <v xml:space="preserve"> #N/A</v>
      </c>
    </row>
    <row r="2" spans="1:8">
      <c r="A2" s="49" t="s">
        <v>47</v>
      </c>
      <c r="B2" s="50" t="s">
        <v>74</v>
      </c>
      <c r="C2" s="50" t="s">
        <v>75</v>
      </c>
      <c r="D2" s="50" t="str">
        <f>HMG!E1</f>
        <v>Úkol</v>
      </c>
      <c r="E2" s="50" t="s">
        <v>51</v>
      </c>
      <c r="F2" s="50" t="s">
        <v>76</v>
      </c>
      <c r="G2" s="50" t="s">
        <v>76</v>
      </c>
      <c r="H2" s="41"/>
    </row>
    <row r="3" spans="1:8">
      <c r="A3" s="38" t="str">
        <f>HMG!C2</f>
        <v>zapis KS</v>
      </c>
      <c r="B3" s="51">
        <f>HMG!D2</f>
        <v>0.05</v>
      </c>
      <c r="C3" s="52" t="e">
        <f t="shared" ref="C3:C9" ca="1" si="0">IF(B3&gt;0,($H$1*B3),"")</f>
        <v>#VALUE!</v>
      </c>
      <c r="D3" s="53" t="str">
        <f>HMG!E2</f>
        <v>Úkol (test)</v>
      </c>
      <c r="E3" s="53">
        <f>HMG!F2</f>
        <v>0</v>
      </c>
      <c r="F3" s="52" t="str">
        <f t="shared" ref="F3:F10" ca="1" si="1">IFERROR(C3/(E3-$B$1),"")</f>
        <v/>
      </c>
      <c r="G3" s="52" t="b">
        <f ca="1">(IF(D3&lt;$G$1,( IF(E3&lt;$G$1,F3*($G$1-$B$1)))))</f>
        <v>0</v>
      </c>
      <c r="H3" s="54"/>
    </row>
    <row r="4" spans="1:8">
      <c r="A4" s="38">
        <f>HMG!C3</f>
        <v>0</v>
      </c>
      <c r="B4" s="51">
        <f>HMG!D3</f>
        <v>0</v>
      </c>
      <c r="C4" s="52" t="str">
        <f t="shared" si="0"/>
        <v/>
      </c>
      <c r="D4" s="53">
        <f>HMG!E3</f>
        <v>0</v>
      </c>
      <c r="E4" s="53">
        <f>HMG!F3</f>
        <v>0</v>
      </c>
      <c r="F4" s="52" t="str">
        <f t="shared" si="1"/>
        <v/>
      </c>
      <c r="G4" s="52" t="str">
        <f t="shared" ref="G4:G10" ca="1" si="2">IFERROR(IF(D4&lt;$G$1,( IF(E4&lt;$G$1,F4*($G$1-$B$1),F4*($G$1-$B$1)))),"")</f>
        <v/>
      </c>
      <c r="H4" s="41"/>
    </row>
    <row r="5" spans="1:8">
      <c r="A5" s="38" t="str">
        <f>HMG!C4</f>
        <v>Nabýti SP</v>
      </c>
      <c r="B5" s="51">
        <f>HMG!D4</f>
        <v>0.3</v>
      </c>
      <c r="C5" s="52" t="e">
        <f t="shared" ca="1" si="0"/>
        <v>#VALUE!</v>
      </c>
      <c r="D5" s="53">
        <f>HMG!E4</f>
        <v>0</v>
      </c>
      <c r="E5" s="53">
        <f>HMG!F4</f>
        <v>0</v>
      </c>
      <c r="F5" s="52" t="str">
        <f t="shared" ca="1" si="1"/>
        <v/>
      </c>
      <c r="G5" s="52" t="str">
        <f t="shared" ca="1" si="2"/>
        <v/>
      </c>
      <c r="H5" s="41"/>
    </row>
    <row r="6" spans="1:8">
      <c r="A6" s="38" t="str">
        <f>HMG!C5</f>
        <v>zapis KS</v>
      </c>
      <c r="B6" s="51">
        <f>HMG!D5</f>
        <v>0.3</v>
      </c>
      <c r="C6" s="52" t="e">
        <f t="shared" ca="1" si="0"/>
        <v>#VALUE!</v>
      </c>
      <c r="D6" s="53">
        <f>HMG!E5</f>
        <v>0</v>
      </c>
      <c r="E6" s="53">
        <f>HMG!F5</f>
        <v>0</v>
      </c>
      <c r="F6" s="52" t="str">
        <f t="shared" ca="1" si="1"/>
        <v/>
      </c>
      <c r="G6" s="52" t="str">
        <f t="shared" ca="1" si="2"/>
        <v/>
      </c>
      <c r="H6" s="41"/>
    </row>
    <row r="7" spans="1:8">
      <c r="A7" s="38" t="str">
        <f>HMG!C6</f>
        <v>Najem</v>
      </c>
      <c r="B7" s="51">
        <f>HMG!D6</f>
        <v>0.35</v>
      </c>
      <c r="C7" s="52" t="e">
        <f t="shared" ca="1" si="0"/>
        <v>#VALUE!</v>
      </c>
      <c r="D7" s="53">
        <f>HMG!E6</f>
        <v>0</v>
      </c>
      <c r="E7" s="53">
        <f>HMG!F6</f>
        <v>0</v>
      </c>
      <c r="F7" s="52" t="str">
        <f t="shared" ca="1" si="1"/>
        <v/>
      </c>
      <c r="G7" s="52" t="str">
        <f t="shared" ca="1" si="2"/>
        <v/>
      </c>
      <c r="H7" s="41"/>
    </row>
    <row r="8" spans="1:8">
      <c r="A8" s="55">
        <f>HMG!C7</f>
        <v>0</v>
      </c>
      <c r="B8" s="51">
        <f>HMG!D7</f>
        <v>0</v>
      </c>
      <c r="C8" s="52" t="str">
        <f t="shared" si="0"/>
        <v/>
      </c>
      <c r="D8" s="53">
        <f>HMG!E7</f>
        <v>0</v>
      </c>
      <c r="E8" s="53">
        <f>HMG!F7</f>
        <v>0</v>
      </c>
      <c r="F8" s="52" t="str">
        <f t="shared" si="1"/>
        <v/>
      </c>
      <c r="G8" s="52" t="str">
        <f t="shared" ca="1" si="2"/>
        <v/>
      </c>
      <c r="H8" s="41"/>
    </row>
    <row r="9" spans="1:8">
      <c r="A9" s="55">
        <f>HMG!C8</f>
        <v>0</v>
      </c>
      <c r="B9" s="51">
        <f>HMG!D8</f>
        <v>0</v>
      </c>
      <c r="C9" s="52" t="str">
        <f t="shared" si="0"/>
        <v/>
      </c>
      <c r="D9" s="53">
        <f>HMG!E8</f>
        <v>0</v>
      </c>
      <c r="E9" s="53">
        <f>HMG!F8</f>
        <v>0</v>
      </c>
      <c r="F9" s="52" t="str">
        <f t="shared" si="1"/>
        <v/>
      </c>
      <c r="G9" s="52" t="str">
        <f t="shared" ca="1" si="2"/>
        <v/>
      </c>
      <c r="H9" s="41"/>
    </row>
    <row r="10" spans="1:8" ht="15" customHeight="1">
      <c r="A10" s="33">
        <f>HMG!C9</f>
        <v>0</v>
      </c>
      <c r="B10" s="34">
        <f>HMG!D9</f>
        <v>0</v>
      </c>
      <c r="C10" s="56" t="str">
        <f>IF(B10&gt;0,(#REF!*B10),"")</f>
        <v/>
      </c>
      <c r="D10" s="57">
        <f>HMG!F9</f>
        <v>0</v>
      </c>
      <c r="E10" s="36">
        <f>HMG!G9</f>
        <v>0</v>
      </c>
      <c r="F10" s="58" t="str">
        <f t="shared" si="1"/>
        <v/>
      </c>
      <c r="G10" s="58" t="str">
        <f t="shared" ca="1" si="2"/>
        <v/>
      </c>
    </row>
  </sheetData>
  <autoFilter ref="A2:G10" xr:uid="{00000000-0009-0000-0000-000002000000}"/>
  <pageMargins left="0" right="0" top="0" bottom="0" header="0" footer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workbookViewId="0"/>
  </sheetViews>
  <sheetFormatPr defaultColWidth="8.875" defaultRowHeight="14.1"/>
  <sheetData/>
  <sheetProtection sheet="1" objects="1" selectLockedCells="1" selectUnlockedCells="1"/>
  <pageMargins left="0" right="0" top="0" bottom="0" header="0" footer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996"/>
  <sheetViews>
    <sheetView topLeftCell="A48" workbookViewId="0">
      <selection activeCell="C132" sqref="C132:F132"/>
    </sheetView>
  </sheetViews>
  <sheetFormatPr defaultColWidth="12.625" defaultRowHeight="15" customHeight="1"/>
  <cols>
    <col min="1" max="1" width="4.375" customWidth="1"/>
    <col min="2" max="2" width="48.5" customWidth="1"/>
    <col min="3" max="3" width="8" customWidth="1"/>
    <col min="4" max="4" width="14.125" customWidth="1"/>
    <col min="5" max="5" width="16.625" customWidth="1"/>
    <col min="6" max="6" width="22.625" customWidth="1"/>
    <col min="7" max="7" width="4" customWidth="1"/>
    <col min="8" max="8" width="4.375" customWidth="1"/>
    <col min="9" max="9" width="36.125" customWidth="1"/>
    <col min="10" max="10" width="8.625" customWidth="1"/>
    <col min="11" max="11" width="14.5" customWidth="1"/>
    <col min="12" max="12" width="9.625" customWidth="1"/>
    <col min="13" max="13" width="12.875" customWidth="1"/>
    <col min="14" max="14" width="20.125" customWidth="1"/>
    <col min="15" max="16" width="4.375" customWidth="1"/>
    <col min="17" max="17" width="40.875" customWidth="1"/>
    <col min="18" max="18" width="77" customWidth="1"/>
    <col min="19" max="19" width="7" customWidth="1"/>
    <col min="20" max="20" width="40.625" customWidth="1"/>
    <col min="21" max="21" width="20.625" customWidth="1"/>
    <col min="22" max="28" width="7" customWidth="1"/>
  </cols>
  <sheetData>
    <row r="1" spans="1:28" ht="30" customHeight="1">
      <c r="A1" s="59"/>
      <c r="B1" s="531" t="s">
        <v>77</v>
      </c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8" customHeight="1">
      <c r="A2" s="61"/>
      <c r="B2" s="62"/>
      <c r="C2" s="63"/>
      <c r="D2" s="64"/>
      <c r="E2" s="65"/>
      <c r="F2" s="66"/>
      <c r="G2" s="66"/>
      <c r="H2" s="67"/>
      <c r="I2" s="67"/>
      <c r="J2" s="63"/>
      <c r="K2" s="63"/>
      <c r="L2" s="64"/>
      <c r="M2" s="65"/>
      <c r="N2" s="68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8" customHeight="1">
      <c r="A3" s="61"/>
      <c r="B3" s="60"/>
      <c r="C3" s="69"/>
      <c r="D3" s="70"/>
      <c r="G3" s="71"/>
      <c r="H3" s="60"/>
      <c r="I3" s="60"/>
      <c r="J3" s="69"/>
      <c r="K3" s="69"/>
      <c r="L3" s="70"/>
      <c r="M3" s="72"/>
      <c r="N3" s="71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30" customHeight="1">
      <c r="A4" s="61"/>
      <c r="B4" s="532" t="s">
        <v>78</v>
      </c>
      <c r="C4" s="589"/>
      <c r="D4" s="589"/>
      <c r="E4" s="589"/>
      <c r="F4" s="590"/>
      <c r="G4" s="73"/>
      <c r="H4" s="60"/>
      <c r="I4" s="533" t="s">
        <v>79</v>
      </c>
      <c r="J4" s="589"/>
      <c r="K4" s="589"/>
      <c r="L4" s="589"/>
      <c r="M4" s="589"/>
      <c r="N4" s="590"/>
      <c r="O4" s="60"/>
      <c r="P4" s="60"/>
      <c r="Q4" s="533" t="s">
        <v>80</v>
      </c>
      <c r="R4" s="59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18" customHeight="1">
      <c r="A5" s="61"/>
      <c r="B5" s="60"/>
      <c r="C5" s="69"/>
      <c r="D5" s="70"/>
      <c r="E5" s="69"/>
      <c r="F5" s="69"/>
      <c r="G5" s="74"/>
      <c r="H5" s="60"/>
      <c r="I5" s="60"/>
      <c r="J5" s="69"/>
      <c r="K5" s="69"/>
      <c r="L5" s="70"/>
      <c r="M5" s="72"/>
      <c r="N5" s="71"/>
      <c r="O5" s="60"/>
      <c r="P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8" customHeight="1">
      <c r="A6" s="61" t="s">
        <v>81</v>
      </c>
      <c r="B6" s="534" t="s">
        <v>82</v>
      </c>
      <c r="C6" s="589"/>
      <c r="D6" s="589"/>
      <c r="E6" s="589"/>
      <c r="F6" s="590"/>
      <c r="G6" s="75"/>
      <c r="H6" s="60"/>
      <c r="I6" s="535" t="s">
        <v>79</v>
      </c>
      <c r="J6" s="589"/>
      <c r="K6" s="589"/>
      <c r="L6" s="589"/>
      <c r="M6" s="589"/>
      <c r="N6" s="590"/>
      <c r="O6" s="60"/>
      <c r="P6" s="60"/>
      <c r="Q6" s="535" t="s">
        <v>83</v>
      </c>
      <c r="R6" s="59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18" customHeight="1">
      <c r="A7" s="61"/>
      <c r="B7" s="76"/>
      <c r="C7" s="77" t="s">
        <v>84</v>
      </c>
      <c r="D7" s="77" t="s">
        <v>85</v>
      </c>
      <c r="E7" s="78" t="s">
        <v>86</v>
      </c>
      <c r="F7" s="79"/>
      <c r="G7" s="74"/>
      <c r="H7" s="60"/>
      <c r="I7" s="80"/>
      <c r="J7" s="78" t="s">
        <v>87</v>
      </c>
      <c r="K7" s="78" t="s">
        <v>88</v>
      </c>
      <c r="L7" s="78" t="s">
        <v>89</v>
      </c>
      <c r="M7" s="78" t="s">
        <v>90</v>
      </c>
      <c r="N7" s="81" t="s">
        <v>91</v>
      </c>
      <c r="O7" s="60"/>
      <c r="P7" s="60"/>
      <c r="Q7" s="82" t="s">
        <v>92</v>
      </c>
      <c r="R7" s="83">
        <v>0</v>
      </c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8" customHeight="1">
      <c r="A8" s="61"/>
      <c r="B8" s="473" t="str">
        <f>'Cash-flow PLAN'!C18</f>
        <v>Nákup nemovitosti/pozemků</v>
      </c>
      <c r="C8" s="84" t="s">
        <v>93</v>
      </c>
      <c r="D8" s="84">
        <v>0</v>
      </c>
      <c r="E8" s="85"/>
      <c r="F8" s="86">
        <f>-' Cash-flow'!H17-' Cash-flow'!J17</f>
        <v>11429045</v>
      </c>
      <c r="G8" s="74" t="s">
        <v>94</v>
      </c>
      <c r="H8" s="60"/>
      <c r="I8" s="87" t="str">
        <f>Rentroll!A2</f>
        <v>Penny</v>
      </c>
      <c r="J8" s="88">
        <f>Rentroll!C2</f>
        <v>1168.5999999999999</v>
      </c>
      <c r="K8" s="88" t="str">
        <f>Rentroll!B2</f>
        <v>full fit-out</v>
      </c>
      <c r="L8" s="89">
        <f>Rentroll!F2</f>
        <v>378</v>
      </c>
      <c r="M8" s="89">
        <f>Rentroll!I2</f>
        <v>39</v>
      </c>
      <c r="N8" s="90">
        <f>(Rentroll!G2+Rentroll!J2)*1.023</f>
        <v>498514.24259999988</v>
      </c>
      <c r="O8" s="60"/>
      <c r="P8" s="60"/>
      <c r="Q8" s="91" t="s">
        <v>95</v>
      </c>
      <c r="R8" s="92">
        <v>7</v>
      </c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8" customHeight="1">
      <c r="A9" s="61"/>
      <c r="B9" s="473" t="s">
        <v>96</v>
      </c>
      <c r="C9" s="84"/>
      <c r="D9" s="84"/>
      <c r="E9" s="93"/>
      <c r="F9" s="94">
        <f>5000000+3333333</f>
        <v>8333333</v>
      </c>
      <c r="G9" s="74" t="s">
        <v>94</v>
      </c>
      <c r="H9" s="60"/>
      <c r="I9" s="87" t="str">
        <f>Rentroll!A3</f>
        <v>Alza</v>
      </c>
      <c r="J9" s="88">
        <f>Rentroll!C3</f>
        <v>1</v>
      </c>
      <c r="K9" s="88" t="str">
        <f>Rentroll!B3</f>
        <v>pozemek</v>
      </c>
      <c r="L9" s="89">
        <f>Rentroll!F3</f>
        <v>3500</v>
      </c>
      <c r="M9" s="89">
        <f>Rentroll!I3</f>
        <v>500</v>
      </c>
      <c r="N9" s="90">
        <f>Rentroll!G3+Rentroll!J3</f>
        <v>4000</v>
      </c>
      <c r="O9" s="60"/>
      <c r="P9" s="60"/>
      <c r="Q9" s="87" t="s">
        <v>97</v>
      </c>
      <c r="R9" s="95">
        <v>2</v>
      </c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8" customHeight="1">
      <c r="A10" s="61"/>
      <c r="B10" s="473" t="str">
        <f>'Cash-flow PLAN'!$C$19</f>
        <v>ZPF</v>
      </c>
      <c r="C10" s="84" t="s">
        <v>93</v>
      </c>
      <c r="D10" s="84"/>
      <c r="E10" s="93">
        <v>0</v>
      </c>
      <c r="F10" s="94">
        <f>D10*E10</f>
        <v>0</v>
      </c>
      <c r="G10" s="96"/>
      <c r="H10" s="60"/>
      <c r="I10" s="87" t="str">
        <f>Rentroll!A4</f>
        <v>Myčka</v>
      </c>
      <c r="J10" s="88">
        <f>Rentroll!C4</f>
        <v>0</v>
      </c>
      <c r="K10" s="88" t="str">
        <f>Rentroll!B4</f>
        <v>pozemek</v>
      </c>
      <c r="L10" s="89">
        <f>Rentroll!F4</f>
        <v>0</v>
      </c>
      <c r="M10" s="89">
        <f>Rentroll!I4</f>
        <v>0</v>
      </c>
      <c r="N10" s="90">
        <f>Rentroll!G4+Rentroll!J4</f>
        <v>15000</v>
      </c>
      <c r="O10" s="60"/>
      <c r="P10" s="60"/>
      <c r="Q10" s="97" t="s">
        <v>98</v>
      </c>
      <c r="R10" s="98">
        <v>3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8" customHeight="1">
      <c r="A11" s="61"/>
      <c r="B11" s="473" t="str">
        <f>'Cash-flow PLAN'!$C$20</f>
        <v>Předakviziční analýza</v>
      </c>
      <c r="C11" s="84" t="s">
        <v>93</v>
      </c>
      <c r="D11" s="84"/>
      <c r="E11" s="93"/>
      <c r="F11" s="94"/>
      <c r="G11" s="96"/>
      <c r="H11" s="60"/>
      <c r="I11" s="87" t="str">
        <f>Rentroll!A5</f>
        <v>Pepco</v>
      </c>
      <c r="J11" s="88">
        <f>Rentroll!C5</f>
        <v>500</v>
      </c>
      <c r="K11" s="88" t="str">
        <f>Rentroll!B5</f>
        <v>full fit-out</v>
      </c>
      <c r="L11" s="89">
        <f>Rentroll!F5</f>
        <v>311.21999999999997</v>
      </c>
      <c r="M11" s="89">
        <f>Rentroll!I5</f>
        <v>45.36</v>
      </c>
      <c r="N11" s="90">
        <f>Rentroll!G5+Rentroll!J5</f>
        <v>178289.99999999997</v>
      </c>
      <c r="O11" s="60"/>
      <c r="P11" s="60"/>
      <c r="Q11" s="87" t="s">
        <v>99</v>
      </c>
      <c r="R11" s="95">
        <v>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8" customHeight="1">
      <c r="B12" s="473" t="str">
        <f>'Cash-flow PLAN'!$C$21</f>
        <v>Provize za nákup (INT)</v>
      </c>
      <c r="C12" s="84" t="s">
        <v>100</v>
      </c>
      <c r="D12" s="99">
        <v>0</v>
      </c>
      <c r="E12" s="93">
        <v>0</v>
      </c>
      <c r="F12" s="94">
        <f>F8*D12</f>
        <v>0</v>
      </c>
      <c r="G12" s="96"/>
      <c r="H12" s="60"/>
      <c r="I12" s="87" t="str">
        <f>Rentroll!A6</f>
        <v>Teta</v>
      </c>
      <c r="J12" s="88">
        <f>Rentroll!C6</f>
        <v>220.5</v>
      </c>
      <c r="K12" s="88" t="str">
        <f>Rentroll!B6</f>
        <v>full fit-out</v>
      </c>
      <c r="L12" s="89">
        <f>Rentroll!F6</f>
        <v>335.16</v>
      </c>
      <c r="M12" s="89">
        <f>Rentroll!I6</f>
        <v>37.799999999999997</v>
      </c>
      <c r="N12" s="90">
        <f>Rentroll!G6+Rentroll!J6</f>
        <v>82237.679999999993</v>
      </c>
      <c r="O12" s="60"/>
      <c r="P12" s="60"/>
      <c r="Q12" s="87" t="s">
        <v>101</v>
      </c>
      <c r="R12" s="95">
        <v>6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8" customHeight="1">
      <c r="B13" s="473" t="str">
        <f>'Cash-flow PLAN'!$C$22</f>
        <v>Provize za nákup (EXT)</v>
      </c>
      <c r="C13" s="84" t="s">
        <v>100</v>
      </c>
      <c r="D13" s="99">
        <v>0</v>
      </c>
      <c r="E13" s="93">
        <v>0</v>
      </c>
      <c r="F13" s="94">
        <f>F8*D13</f>
        <v>0</v>
      </c>
      <c r="G13" s="100"/>
      <c r="H13" s="60"/>
      <c r="I13" s="87" t="str">
        <f>Rentroll!A7</f>
        <v>Traficon</v>
      </c>
      <c r="J13" s="88">
        <f>Rentroll!C7</f>
        <v>49</v>
      </c>
      <c r="K13" s="88" t="str">
        <f>Rentroll!B7</f>
        <v>full fit-out</v>
      </c>
      <c r="L13" s="89">
        <f>Rentroll!F7</f>
        <v>1134</v>
      </c>
      <c r="M13" s="89">
        <f>Rentroll!I7</f>
        <v>37.799999999999997</v>
      </c>
      <c r="N13" s="90">
        <f>Rentroll!G7+Rentroll!J7</f>
        <v>57418.2</v>
      </c>
      <c r="O13" s="60"/>
      <c r="P13" s="60"/>
      <c r="Q13" s="101" t="s">
        <v>102</v>
      </c>
      <c r="R13" s="102">
        <v>0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8" customHeight="1">
      <c r="B14" s="103" t="s">
        <v>103</v>
      </c>
      <c r="C14" s="536">
        <f>SUM(F8:F13)</f>
        <v>19762378</v>
      </c>
      <c r="D14" s="589"/>
      <c r="E14" s="589"/>
      <c r="F14" s="590"/>
      <c r="G14" s="104"/>
      <c r="H14" s="60"/>
      <c r="I14" s="87" t="str">
        <f>Rentroll!A8</f>
        <v>Salon Beauty</v>
      </c>
      <c r="J14" s="88">
        <f>Rentroll!C8</f>
        <v>141.5</v>
      </c>
      <c r="K14" s="88" t="str">
        <f>Rentroll!B8</f>
        <v>full fit-out</v>
      </c>
      <c r="L14" s="89">
        <f>Rentroll!F8</f>
        <v>327.59999999999997</v>
      </c>
      <c r="M14" s="89">
        <f>Rentroll!I8</f>
        <v>37.799999999999997</v>
      </c>
      <c r="N14" s="90">
        <f>Rentroll!G8+Rentroll!J8</f>
        <v>51704.099999999991</v>
      </c>
      <c r="O14" s="60"/>
      <c r="P14" s="60"/>
      <c r="Q14" s="105" t="s">
        <v>104</v>
      </c>
      <c r="R14" s="106">
        <f>SUM(R7:R13)</f>
        <v>19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8" customHeight="1">
      <c r="A15" s="61"/>
      <c r="B15" s="107" t="s">
        <v>105</v>
      </c>
      <c r="C15" s="27"/>
      <c r="D15" s="27"/>
      <c r="E15" s="27"/>
      <c r="F15" s="108">
        <f>C14/$J$17</f>
        <v>9493.840315142199</v>
      </c>
      <c r="G15" s="104"/>
      <c r="H15" s="60"/>
      <c r="I15" s="87" t="str">
        <f>Rentroll!A9</f>
        <v>Z-Box</v>
      </c>
      <c r="J15" s="88">
        <f>Rentroll!C9</f>
        <v>1</v>
      </c>
      <c r="K15" s="88" t="str">
        <f>Rentroll!B9</f>
        <v>pozemek</v>
      </c>
      <c r="L15" s="89">
        <f>Rentroll!F9</f>
        <v>0</v>
      </c>
      <c r="M15" s="89">
        <f>Rentroll!I9</f>
        <v>0</v>
      </c>
      <c r="N15" s="90">
        <f>Rentroll!G9+Rentroll!J9</f>
        <v>4166.666666666667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8" customHeight="1">
      <c r="A16" s="61" t="s">
        <v>106</v>
      </c>
      <c r="B16" s="27"/>
      <c r="C16" s="27"/>
      <c r="D16" s="70"/>
      <c r="E16" s="72"/>
      <c r="F16" s="71"/>
      <c r="G16" s="104"/>
      <c r="H16" s="60"/>
      <c r="I16" s="87">
        <f>Rentroll!A10</f>
        <v>0</v>
      </c>
      <c r="J16" s="88">
        <f>Rentroll!C10</f>
        <v>0</v>
      </c>
      <c r="K16" s="88">
        <f>Rentroll!B10</f>
        <v>0</v>
      </c>
      <c r="L16" s="89">
        <f>Rentroll!F10</f>
        <v>0</v>
      </c>
      <c r="M16" s="89">
        <f>Rentroll!I10</f>
        <v>0</v>
      </c>
      <c r="N16" s="90">
        <f>Rentroll!G10+Rentroll!J10</f>
        <v>0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8" customHeight="1">
      <c r="A17" s="61"/>
      <c r="B17" s="537" t="str">
        <f>'Cash-flow PLAN'!C23</f>
        <v>B. Architecture &amp; Engineering</v>
      </c>
      <c r="C17" s="589"/>
      <c r="D17" s="589"/>
      <c r="E17" s="589"/>
      <c r="F17" s="590"/>
      <c r="G17" s="104"/>
      <c r="H17" s="60"/>
      <c r="I17" s="109" t="s">
        <v>107</v>
      </c>
      <c r="J17" s="110">
        <f>SUM(J8:J16)</f>
        <v>2081.6</v>
      </c>
      <c r="K17" s="111" t="s">
        <v>108</v>
      </c>
      <c r="L17" s="112">
        <f t="shared" ref="L17:M17" si="0">SUM(L8:L16)</f>
        <v>5985.9800000000005</v>
      </c>
      <c r="M17" s="113">
        <f t="shared" si="0"/>
        <v>697.75999999999988</v>
      </c>
      <c r="N17" s="114">
        <f>SUM(N8:N16)</f>
        <v>891330.88926666649</v>
      </c>
      <c r="O17" s="60"/>
      <c r="P17" s="60"/>
      <c r="Q17" s="538" t="s">
        <v>109</v>
      </c>
      <c r="R17" s="59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8" customHeight="1">
      <c r="A18" s="61"/>
      <c r="B18" s="115"/>
      <c r="C18" s="116" t="s">
        <v>84</v>
      </c>
      <c r="D18" s="77" t="s">
        <v>110</v>
      </c>
      <c r="E18" s="116" t="s">
        <v>111</v>
      </c>
      <c r="F18" s="117"/>
      <c r="G18" s="104"/>
      <c r="H18" s="60"/>
      <c r="I18" s="118" t="s">
        <v>112</v>
      </c>
      <c r="J18" s="539">
        <f>SUM(N8:N16)*12</f>
        <v>10695970.671199998</v>
      </c>
      <c r="K18" s="589"/>
      <c r="L18" s="589"/>
      <c r="M18" s="589"/>
      <c r="N18" s="590"/>
      <c r="O18" s="60"/>
      <c r="P18" s="60"/>
      <c r="Q18" s="119" t="s">
        <v>113</v>
      </c>
      <c r="R18" s="120">
        <v>0.09</v>
      </c>
      <c r="S18" s="60"/>
      <c r="V18" s="60"/>
      <c r="W18" s="60"/>
      <c r="X18" s="60"/>
      <c r="Y18" s="60"/>
      <c r="Z18" s="60"/>
      <c r="AA18" s="60"/>
      <c r="AB18" s="60"/>
    </row>
    <row r="19" spans="1:28" ht="18" customHeight="1">
      <c r="B19" s="121" t="str">
        <f>'Cash-flow PLAN'!C24</f>
        <v>Projekt , architekt</v>
      </c>
      <c r="C19" s="122">
        <v>1</v>
      </c>
      <c r="D19" s="123" t="s">
        <v>100</v>
      </c>
      <c r="E19" s="124"/>
      <c r="F19" s="125">
        <f>SUM(F20:F21)</f>
        <v>1325000</v>
      </c>
      <c r="G19" s="126"/>
      <c r="H19" s="60"/>
      <c r="I19" s="119" t="s">
        <v>114</v>
      </c>
      <c r="J19" s="127"/>
      <c r="K19" s="127"/>
      <c r="L19" s="127"/>
      <c r="M19" s="128">
        <v>39</v>
      </c>
      <c r="N19" s="129">
        <f>J17*M19*12</f>
        <v>974188.79999999993</v>
      </c>
      <c r="O19" s="60"/>
      <c r="P19" s="60"/>
      <c r="Q19" s="130" t="s">
        <v>115</v>
      </c>
      <c r="R19" s="131">
        <f>J18</f>
        <v>10695970.671199998</v>
      </c>
      <c r="S19" s="60"/>
      <c r="V19" s="60"/>
      <c r="W19" s="60"/>
      <c r="X19" s="60"/>
      <c r="Y19" s="60"/>
      <c r="Z19" s="60"/>
      <c r="AA19" s="60"/>
      <c r="AB19" s="60"/>
    </row>
    <row r="20" spans="1:28" ht="18" customHeight="1">
      <c r="A20" s="61"/>
      <c r="B20" s="474" t="s">
        <v>116</v>
      </c>
      <c r="C20" s="122">
        <v>1</v>
      </c>
      <c r="D20" s="123" t="s">
        <v>100</v>
      </c>
      <c r="E20" s="475"/>
      <c r="F20" s="476">
        <v>675000</v>
      </c>
      <c r="G20" s="74" t="s">
        <v>94</v>
      </c>
      <c r="H20" s="60"/>
      <c r="I20" s="132" t="s">
        <v>117</v>
      </c>
      <c r="J20" s="133"/>
      <c r="K20" s="133"/>
      <c r="L20" s="134"/>
      <c r="M20" s="135"/>
      <c r="N20" s="136">
        <v>7.0000000000000007E-2</v>
      </c>
      <c r="O20" s="60"/>
      <c r="P20" s="60"/>
      <c r="Q20" s="130" t="s">
        <v>118</v>
      </c>
      <c r="R20" s="131">
        <f>C23+C43+C51+C72</f>
        <v>89021103.790082648</v>
      </c>
      <c r="S20" s="60"/>
      <c r="V20" s="60"/>
      <c r="W20" s="60"/>
      <c r="X20" s="60"/>
      <c r="Y20" s="60"/>
      <c r="Z20" s="60"/>
      <c r="AA20" s="60"/>
      <c r="AB20" s="60"/>
    </row>
    <row r="21" spans="1:28" ht="18" customHeight="1">
      <c r="A21" s="61"/>
      <c r="B21" s="474" t="s">
        <v>119</v>
      </c>
      <c r="C21" s="122">
        <v>1</v>
      </c>
      <c r="D21" s="123" t="s">
        <v>100</v>
      </c>
      <c r="E21" s="477"/>
      <c r="F21" s="476">
        <v>650000</v>
      </c>
      <c r="G21" s="126" t="s">
        <v>94</v>
      </c>
      <c r="H21" s="60"/>
      <c r="I21" s="137" t="s">
        <v>120</v>
      </c>
      <c r="J21" s="138"/>
      <c r="K21" s="138"/>
      <c r="L21" s="139"/>
      <c r="M21" s="140">
        <v>5.0000000000000001E-3</v>
      </c>
      <c r="N21" s="478">
        <f>-J24*M21</f>
        <v>-694412.99079999968</v>
      </c>
      <c r="O21" s="60"/>
      <c r="P21" s="60"/>
      <c r="Q21" s="130" t="s">
        <v>121</v>
      </c>
      <c r="R21" s="141">
        <f>R19/R18</f>
        <v>118844118.56888887</v>
      </c>
      <c r="S21" s="60"/>
      <c r="V21" s="60"/>
      <c r="W21" s="60"/>
      <c r="X21" s="60"/>
      <c r="Y21" s="60"/>
      <c r="Z21" s="60"/>
      <c r="AA21" s="60"/>
      <c r="AB21" s="60"/>
    </row>
    <row r="22" spans="1:28" ht="18" customHeight="1">
      <c r="B22" s="142" t="str">
        <f>'Cash-flow PLAN'!C25</f>
        <v>Engineering</v>
      </c>
      <c r="C22" s="429">
        <v>1</v>
      </c>
      <c r="D22" s="479" t="s">
        <v>100</v>
      </c>
      <c r="E22" s="477"/>
      <c r="F22" s="480">
        <v>151260</v>
      </c>
      <c r="G22" s="143" t="s">
        <v>122</v>
      </c>
      <c r="H22" s="60"/>
      <c r="I22" s="144" t="s">
        <v>123</v>
      </c>
      <c r="J22" s="540">
        <f>0</f>
        <v>0</v>
      </c>
      <c r="K22" s="589"/>
      <c r="L22" s="589"/>
      <c r="M22" s="589"/>
      <c r="N22" s="590"/>
      <c r="O22" s="60"/>
      <c r="P22" s="60"/>
      <c r="Q22" s="145" t="s">
        <v>124</v>
      </c>
      <c r="R22" s="146">
        <f>R21-R20</f>
        <v>29823014.778806224</v>
      </c>
      <c r="S22" s="60"/>
      <c r="V22" s="60"/>
      <c r="W22" s="60"/>
      <c r="X22" s="60"/>
      <c r="Y22" s="60"/>
      <c r="Z22" s="60"/>
      <c r="AA22" s="60"/>
      <c r="AB22" s="60"/>
    </row>
    <row r="23" spans="1:28" ht="18" customHeight="1">
      <c r="B23" s="103" t="s">
        <v>103</v>
      </c>
      <c r="C23" s="536">
        <f>F19+F22</f>
        <v>1476260</v>
      </c>
      <c r="D23" s="589"/>
      <c r="E23" s="589"/>
      <c r="F23" s="590"/>
      <c r="G23" s="147"/>
      <c r="H23" s="60"/>
      <c r="I23" s="150" t="s">
        <v>125</v>
      </c>
      <c r="J23" s="541">
        <f>IF( J22&gt;0,1000000,0)</f>
        <v>0</v>
      </c>
      <c r="K23" s="591"/>
      <c r="L23" s="591"/>
      <c r="M23" s="591"/>
      <c r="N23" s="592"/>
      <c r="O23" s="148"/>
      <c r="P23" s="60"/>
      <c r="Q23" s="481" t="s">
        <v>126</v>
      </c>
      <c r="R23" s="149">
        <f>R21-R20-C104</f>
        <v>26394540.088806223</v>
      </c>
      <c r="S23" s="60"/>
      <c r="V23" s="60"/>
      <c r="W23" s="60"/>
      <c r="X23" s="60"/>
      <c r="Y23" s="60"/>
      <c r="Z23" s="60"/>
      <c r="AA23" s="60"/>
      <c r="AB23" s="60"/>
    </row>
    <row r="24" spans="1:28" ht="18" customHeight="1">
      <c r="A24" s="61"/>
      <c r="B24" s="107" t="s">
        <v>105</v>
      </c>
      <c r="C24" s="27"/>
      <c r="D24" s="27"/>
      <c r="E24" s="27"/>
      <c r="F24" s="108">
        <f>C23/$J$17</f>
        <v>709.19485011529594</v>
      </c>
      <c r="G24" s="147"/>
      <c r="H24" s="60"/>
      <c r="I24" s="150" t="s">
        <v>127</v>
      </c>
      <c r="J24" s="541">
        <f>(J18-N19)/N20</f>
        <v>138882598.15999994</v>
      </c>
      <c r="K24" s="591"/>
      <c r="L24" s="591"/>
      <c r="M24" s="591"/>
      <c r="N24" s="592"/>
      <c r="O24" s="60"/>
      <c r="P24" s="60"/>
      <c r="Q24" s="60"/>
      <c r="R24" s="60"/>
      <c r="S24" s="60"/>
      <c r="V24" s="60"/>
      <c r="W24" s="60"/>
      <c r="X24" s="60"/>
      <c r="Y24" s="60"/>
      <c r="Z24" s="60"/>
      <c r="AA24" s="60"/>
      <c r="AB24" s="60"/>
    </row>
    <row r="25" spans="1:28" ht="18" customHeight="1">
      <c r="G25" s="147"/>
      <c r="H25" s="60"/>
      <c r="I25" s="150" t="s">
        <v>128</v>
      </c>
      <c r="J25" s="539">
        <f>J24+J23</f>
        <v>138882598.15999994</v>
      </c>
      <c r="K25" s="589"/>
      <c r="L25" s="589"/>
      <c r="M25" s="589"/>
      <c r="N25" s="59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8" customHeight="1">
      <c r="A26" s="61" t="s">
        <v>129</v>
      </c>
      <c r="G26" s="147"/>
      <c r="H26" s="60"/>
      <c r="I26" s="60"/>
      <c r="J26" s="69"/>
      <c r="K26" s="69"/>
      <c r="L26" s="70"/>
      <c r="M26" s="72"/>
      <c r="N26" s="71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8" customHeight="1">
      <c r="B27" s="537" t="str">
        <f>'Cash-flow PLAN'!C26</f>
        <v>C. Constructions costs</v>
      </c>
      <c r="C27" s="589"/>
      <c r="D27" s="589"/>
      <c r="E27" s="589"/>
      <c r="F27" s="590"/>
      <c r="G27" s="147"/>
      <c r="H27" s="60"/>
      <c r="I27" s="60"/>
      <c r="J27" s="151"/>
      <c r="K27" s="69"/>
      <c r="L27" s="70"/>
      <c r="M27" s="72"/>
      <c r="N27" s="71"/>
      <c r="O27" s="60"/>
      <c r="P27" s="60"/>
      <c r="Q27" s="535" t="s">
        <v>130</v>
      </c>
      <c r="R27" s="59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95">
      <c r="B28" s="115"/>
      <c r="C28" s="116" t="s">
        <v>84</v>
      </c>
      <c r="D28" s="77" t="s">
        <v>110</v>
      </c>
      <c r="E28" s="116" t="s">
        <v>111</v>
      </c>
      <c r="F28" s="117"/>
      <c r="G28" s="147"/>
      <c r="H28" s="60"/>
      <c r="I28" s="152"/>
      <c r="J28" s="153"/>
      <c r="K28" s="153"/>
      <c r="L28" s="153"/>
      <c r="M28" s="153"/>
      <c r="N28" s="153"/>
      <c r="O28" s="60"/>
      <c r="P28" s="60"/>
      <c r="Q28" s="154" t="s">
        <v>131</v>
      </c>
      <c r="R28" s="155">
        <v>0.2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8" customHeight="1">
      <c r="A29" s="61"/>
      <c r="B29" s="156" t="str">
        <f>'Cash-flow PLAN'!C27</f>
        <v>Náklady na realizace stavby</v>
      </c>
      <c r="C29" s="122">
        <v>1</v>
      </c>
      <c r="D29" s="123" t="s">
        <v>85</v>
      </c>
      <c r="E29" s="85"/>
      <c r="F29" s="86">
        <v>58593172</v>
      </c>
      <c r="G29" s="143" t="s">
        <v>94</v>
      </c>
      <c r="H29" s="60"/>
      <c r="I29" s="153"/>
      <c r="J29" s="153"/>
      <c r="K29" s="153"/>
      <c r="L29" s="152"/>
      <c r="M29" s="153"/>
      <c r="N29" s="153"/>
      <c r="O29" s="60"/>
      <c r="P29" s="60"/>
      <c r="Q29" s="154" t="s">
        <v>132</v>
      </c>
      <c r="R29" s="157">
        <f>J18/N20*R28</f>
        <v>30559916.203428563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27" customHeight="1">
      <c r="A30" s="61"/>
      <c r="B30" s="158" t="s">
        <v>133</v>
      </c>
      <c r="C30" s="122"/>
      <c r="D30" s="123"/>
      <c r="E30" s="85"/>
      <c r="F30" s="86">
        <v>1500000</v>
      </c>
      <c r="G30" s="143" t="s">
        <v>94</v>
      </c>
      <c r="H30" s="60"/>
      <c r="I30" s="542" t="s">
        <v>134</v>
      </c>
      <c r="J30" s="593"/>
      <c r="K30" s="593"/>
      <c r="L30" s="594"/>
      <c r="M30" s="543">
        <f>'Cash-flow 04.02.2025'!AF113+F9+2640000-4500000</f>
        <v>47663335</v>
      </c>
      <c r="N30" s="594"/>
      <c r="O30" s="60"/>
      <c r="P30" s="60"/>
      <c r="Q30" s="119" t="s">
        <v>118</v>
      </c>
      <c r="R30" s="129">
        <f>C23+C43+C51+C72</f>
        <v>89021103.790082648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27" customHeight="1">
      <c r="A31" s="61"/>
      <c r="B31" s="158" t="s">
        <v>135</v>
      </c>
      <c r="C31" s="122">
        <v>1</v>
      </c>
      <c r="D31" s="123" t="s">
        <v>85</v>
      </c>
      <c r="E31" s="85">
        <v>26000</v>
      </c>
      <c r="F31" s="86">
        <f>E31*SUM(J11:J14)</f>
        <v>23686000</v>
      </c>
      <c r="G31" s="143" t="s">
        <v>122</v>
      </c>
      <c r="H31" s="60"/>
      <c r="I31" s="545" t="s">
        <v>136</v>
      </c>
      <c r="J31" s="593"/>
      <c r="K31" s="593"/>
      <c r="L31" s="594"/>
      <c r="M31" s="544">
        <f>8333333*0.11/365*'Cash-flow 04.02.2025'!CG27</f>
        <v>1386301.3144109589</v>
      </c>
      <c r="N31" s="594"/>
      <c r="O31" s="60"/>
      <c r="P31" s="60"/>
      <c r="Q31" s="159" t="s">
        <v>137</v>
      </c>
      <c r="R31" s="141" t="e">
        <f>J25+N21+#REF!+#REF!</f>
        <v>#REF!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8.95">
      <c r="A32" s="61"/>
      <c r="B32" s="160" t="s">
        <v>138</v>
      </c>
      <c r="C32" s="122">
        <v>1</v>
      </c>
      <c r="D32" s="123" t="s">
        <v>85</v>
      </c>
      <c r="E32" s="85"/>
      <c r="F32" s="86"/>
      <c r="G32" s="147"/>
      <c r="H32" s="60"/>
      <c r="I32" s="545" t="s">
        <v>139</v>
      </c>
      <c r="J32" s="593"/>
      <c r="K32" s="593"/>
      <c r="L32" s="594"/>
      <c r="M32" s="544">
        <f>'Cash-flow 04.02.2025'!AF115</f>
        <v>5258331.4628493153</v>
      </c>
      <c r="N32" s="594"/>
      <c r="O32" s="60"/>
      <c r="P32" s="60"/>
      <c r="Q32" s="161" t="s">
        <v>124</v>
      </c>
      <c r="R32" s="146" t="e">
        <f>R31-R30-R29</f>
        <v>#REF!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8" customHeight="1">
      <c r="A33" s="61"/>
      <c r="B33" s="160" t="s">
        <v>140</v>
      </c>
      <c r="C33" s="122">
        <v>1</v>
      </c>
      <c r="D33" s="123" t="s">
        <v>85</v>
      </c>
      <c r="E33" s="85"/>
      <c r="F33" s="86"/>
      <c r="G33" s="147"/>
      <c r="H33" s="60"/>
      <c r="I33" s="546" t="s">
        <v>141</v>
      </c>
      <c r="J33" s="593"/>
      <c r="K33" s="593"/>
      <c r="L33" s="594"/>
      <c r="M33" s="547">
        <f>M32+M31</f>
        <v>6644632.7772602737</v>
      </c>
      <c r="N33" s="594"/>
      <c r="O33" s="60"/>
      <c r="P33" s="60"/>
      <c r="Q33" s="162" t="s">
        <v>126</v>
      </c>
      <c r="R33" s="149" t="e">
        <f>R32-C104</f>
        <v>#REF!</v>
      </c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8" customHeight="1">
      <c r="A34" s="61"/>
      <c r="B34" s="160" t="s">
        <v>142</v>
      </c>
      <c r="C34" s="122">
        <v>1</v>
      </c>
      <c r="D34" s="123" t="s">
        <v>93</v>
      </c>
      <c r="E34" s="85"/>
      <c r="F34" s="86">
        <v>0</v>
      </c>
      <c r="G34" s="143" t="s">
        <v>122</v>
      </c>
      <c r="H34" s="60"/>
      <c r="I34" s="548" t="s">
        <v>143</v>
      </c>
      <c r="J34" s="593"/>
      <c r="K34" s="593"/>
      <c r="L34" s="594"/>
      <c r="M34" s="547">
        <f>'Cash-flow 04.02.2025'!AF119-M30-M33</f>
        <v>27203425.304988146</v>
      </c>
      <c r="N34" s="594"/>
      <c r="O34" s="60"/>
      <c r="P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8" customHeight="1">
      <c r="B35" s="121" t="str">
        <f>'Cash-flow PLAN'!C28</f>
        <v>Bourací práce</v>
      </c>
      <c r="C35" s="122">
        <v>1</v>
      </c>
      <c r="D35" s="123" t="s">
        <v>93</v>
      </c>
      <c r="E35" s="85"/>
      <c r="F35" s="86">
        <f>E35</f>
        <v>0</v>
      </c>
      <c r="G35" s="147"/>
      <c r="H35" s="60"/>
      <c r="I35" s="549" t="s">
        <v>144</v>
      </c>
      <c r="J35" s="593"/>
      <c r="K35" s="593"/>
      <c r="L35" s="594"/>
      <c r="M35" s="550">
        <f>M34+M33</f>
        <v>33848058.08224842</v>
      </c>
      <c r="N35" s="594"/>
      <c r="O35" s="60"/>
      <c r="P35" s="60"/>
      <c r="Q35" s="535" t="s">
        <v>145</v>
      </c>
      <c r="R35" s="59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8" customHeight="1">
      <c r="B36" s="121" t="s">
        <v>146</v>
      </c>
      <c r="C36" s="122">
        <v>1</v>
      </c>
      <c r="D36" s="163" t="s">
        <v>93</v>
      </c>
      <c r="E36" s="85"/>
      <c r="F36" s="164">
        <f>-50000</f>
        <v>-50000</v>
      </c>
      <c r="G36" s="71" t="s">
        <v>122</v>
      </c>
      <c r="H36" s="165"/>
      <c r="I36" s="551" t="s">
        <v>147</v>
      </c>
      <c r="J36" s="593"/>
      <c r="K36" s="593"/>
      <c r="L36" s="594"/>
      <c r="M36" s="552">
        <f>M35/M30</f>
        <v>0.7101487565284389</v>
      </c>
      <c r="N36" s="594"/>
      <c r="O36" s="60"/>
      <c r="P36" s="60"/>
      <c r="Q36" s="166" t="str">
        <f>B8</f>
        <v>Nákup nemovitosti/pozemků</v>
      </c>
      <c r="R36" s="167">
        <f>C14</f>
        <v>19762378</v>
      </c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8" customHeight="1">
      <c r="A37" s="61"/>
      <c r="B37" s="121" t="str">
        <f>'Cash-flow PLAN'!C30</f>
        <v>Náklady na inženýrské sítě</v>
      </c>
      <c r="C37" s="122">
        <v>1</v>
      </c>
      <c r="D37" s="123" t="s">
        <v>85</v>
      </c>
      <c r="E37" s="85">
        <v>170</v>
      </c>
      <c r="F37" s="86">
        <v>0</v>
      </c>
      <c r="G37" s="71" t="s">
        <v>122</v>
      </c>
      <c r="H37" s="165"/>
      <c r="I37" s="60"/>
      <c r="J37" s="153"/>
      <c r="K37" s="153"/>
      <c r="L37" s="153"/>
      <c r="M37" s="153"/>
      <c r="N37" s="153"/>
      <c r="O37" s="60"/>
      <c r="P37" s="60"/>
      <c r="Q37" s="154" t="s">
        <v>148</v>
      </c>
      <c r="R37" s="168">
        <v>0.25</v>
      </c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24.75" customHeight="1">
      <c r="A38" s="61"/>
      <c r="B38" s="121" t="str">
        <f>'Cash-flow PLAN'!C31</f>
        <v>Operativní náklady spojené s realizaci stavby</v>
      </c>
      <c r="C38" s="122">
        <v>1</v>
      </c>
      <c r="D38" s="169" t="s">
        <v>100</v>
      </c>
      <c r="E38" s="170"/>
      <c r="F38" s="86">
        <v>130000</v>
      </c>
      <c r="G38" s="71" t="s">
        <v>122</v>
      </c>
      <c r="H38" s="165"/>
      <c r="I38" s="153"/>
      <c r="J38" s="153"/>
      <c r="K38" s="153"/>
      <c r="L38" s="153"/>
      <c r="M38" s="153"/>
      <c r="N38" s="153"/>
      <c r="O38" s="60"/>
      <c r="P38" s="60"/>
      <c r="Q38" s="119" t="s">
        <v>149</v>
      </c>
      <c r="R38" s="171" t="e">
        <f>#REF!*R37</f>
        <v>#REF!</v>
      </c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8" customHeight="1">
      <c r="A39" s="61"/>
      <c r="B39" s="121" t="s">
        <v>150</v>
      </c>
      <c r="C39" s="429">
        <v>1</v>
      </c>
      <c r="D39" s="482" t="s">
        <v>100</v>
      </c>
      <c r="E39" s="483"/>
      <c r="F39" s="424">
        <f>-SUM('Cash-flow 04.02.2025'!I32)</f>
        <v>1081909</v>
      </c>
      <c r="G39" s="71" t="s">
        <v>94</v>
      </c>
      <c r="H39" s="60"/>
      <c r="I39" s="152"/>
      <c r="J39" s="153"/>
      <c r="K39" s="153"/>
      <c r="L39" s="153"/>
      <c r="M39" s="153"/>
      <c r="N39" s="153"/>
      <c r="O39" s="60"/>
      <c r="P39" s="60"/>
      <c r="Q39" s="172" t="str">
        <f>B17</f>
        <v>B. Architecture &amp; Engineering</v>
      </c>
      <c r="R39" s="146">
        <f>C23</f>
        <v>1476260</v>
      </c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8" customHeight="1">
      <c r="B40" s="142" t="s">
        <v>151</v>
      </c>
      <c r="C40" s="429">
        <v>1</v>
      </c>
      <c r="D40" s="482" t="s">
        <v>100</v>
      </c>
      <c r="E40" s="483"/>
      <c r="F40" s="424">
        <f>102000+261000+150000+1081909+305500+50000-F39</f>
        <v>868500</v>
      </c>
      <c r="G40" s="71" t="s">
        <v>122</v>
      </c>
      <c r="H40" s="60"/>
      <c r="I40" s="60"/>
      <c r="J40" s="153"/>
      <c r="K40" s="153"/>
      <c r="L40" s="153"/>
      <c r="M40" s="153"/>
      <c r="N40" s="153"/>
      <c r="O40" s="60"/>
      <c r="P40" s="60"/>
      <c r="Q40" s="162" t="s">
        <v>145</v>
      </c>
      <c r="R40" s="149" t="e">
        <f>R36+R38+R39</f>
        <v>#REF!</v>
      </c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8" customHeight="1">
      <c r="A41" s="61"/>
      <c r="B41" s="142" t="str">
        <f>'Cash-flow PLAN'!C33</f>
        <v>Rezerva</v>
      </c>
      <c r="C41" s="429">
        <v>1</v>
      </c>
      <c r="D41" s="482" t="s">
        <v>100</v>
      </c>
      <c r="E41" s="483">
        <v>0.1</v>
      </c>
      <c r="F41" s="424">
        <f>SUM(F31,F37:F38)*E41</f>
        <v>2381600</v>
      </c>
      <c r="G41" s="71" t="s">
        <v>122</v>
      </c>
      <c r="H41" s="60"/>
      <c r="I41" s="153"/>
      <c r="J41" s="153"/>
      <c r="K41" s="153"/>
      <c r="L41" s="153"/>
      <c r="M41" s="153"/>
      <c r="N41" s="153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8" customHeight="1">
      <c r="A42" s="61"/>
      <c r="B42" s="173" t="s">
        <v>152</v>
      </c>
      <c r="C42" s="174">
        <v>1</v>
      </c>
      <c r="D42" s="175" t="s">
        <v>100</v>
      </c>
      <c r="E42" s="176"/>
      <c r="F42" s="177">
        <f>-9100000</f>
        <v>-9100000</v>
      </c>
      <c r="G42" s="71" t="s">
        <v>94</v>
      </c>
      <c r="H42" s="60"/>
      <c r="I42" s="178"/>
      <c r="J42" s="153"/>
      <c r="K42" s="153"/>
      <c r="L42" s="153"/>
      <c r="M42" s="153"/>
      <c r="N42" s="153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8" customHeight="1">
      <c r="B43" s="484" t="s">
        <v>103</v>
      </c>
      <c r="C43" s="553">
        <f>SUM(F29:F42)</f>
        <v>79091181</v>
      </c>
      <c r="D43" s="591"/>
      <c r="E43" s="591"/>
      <c r="F43" s="592"/>
      <c r="G43" s="71"/>
      <c r="H43" s="60"/>
      <c r="I43" s="152"/>
      <c r="J43" s="153"/>
      <c r="K43" s="153"/>
      <c r="L43" s="153"/>
      <c r="M43" s="153"/>
      <c r="N43" s="153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8" customHeight="1">
      <c r="A44" s="61" t="s">
        <v>153</v>
      </c>
      <c r="B44" s="107" t="s">
        <v>105</v>
      </c>
      <c r="C44" s="27"/>
      <c r="D44" s="27"/>
      <c r="E44" s="27"/>
      <c r="F44" s="108">
        <f>C43/$J$17</f>
        <v>37995.379035357422</v>
      </c>
      <c r="G44" s="71"/>
      <c r="H44" s="60"/>
      <c r="I44" s="60"/>
      <c r="J44" s="153"/>
      <c r="K44" s="153"/>
      <c r="L44" s="153"/>
      <c r="M44" s="153"/>
      <c r="N44" s="153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8" customHeight="1">
      <c r="A45" s="61"/>
      <c r="G45" s="71"/>
      <c r="H45" s="60"/>
      <c r="I45" s="60"/>
      <c r="J45" s="153"/>
      <c r="K45" s="153"/>
      <c r="L45" s="153"/>
      <c r="M45" s="153"/>
      <c r="N45" s="153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8" customHeight="1">
      <c r="A46" s="61"/>
      <c r="G46" s="71"/>
      <c r="H46" s="60"/>
      <c r="I46" s="153"/>
      <c r="J46" s="153"/>
      <c r="K46" s="153"/>
      <c r="L46" s="153"/>
      <c r="M46" s="153"/>
      <c r="N46" s="153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8" customHeight="1">
      <c r="A47" s="61"/>
      <c r="B47" s="537" t="str">
        <f>'Cash-flow PLAN'!C34</f>
        <v>D. Tenant improvements</v>
      </c>
      <c r="C47" s="589"/>
      <c r="D47" s="589"/>
      <c r="E47" s="589"/>
      <c r="F47" s="590"/>
      <c r="G47" s="71"/>
      <c r="H47" s="60"/>
      <c r="I47" s="60"/>
      <c r="J47" s="153"/>
      <c r="K47" s="153"/>
      <c r="L47" s="153"/>
      <c r="M47" s="153"/>
      <c r="N47" s="153"/>
      <c r="O47" s="60"/>
      <c r="P47" s="60"/>
      <c r="Q47" s="534" t="s">
        <v>154</v>
      </c>
      <c r="R47" s="59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8" customHeight="1">
      <c r="B48" s="115"/>
      <c r="C48" s="116" t="s">
        <v>84</v>
      </c>
      <c r="D48" s="77" t="s">
        <v>110</v>
      </c>
      <c r="E48" s="116" t="s">
        <v>111</v>
      </c>
      <c r="F48" s="117"/>
      <c r="G48" s="71"/>
      <c r="H48" s="60"/>
      <c r="I48" s="153"/>
      <c r="J48" s="153"/>
      <c r="K48" s="153"/>
      <c r="L48" s="153"/>
      <c r="M48" s="153"/>
      <c r="N48" s="153"/>
      <c r="O48" s="60"/>
      <c r="P48" s="60"/>
      <c r="Q48" s="179" t="s">
        <v>155</v>
      </c>
      <c r="R48" s="180" t="s">
        <v>156</v>
      </c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8" customHeight="1">
      <c r="A49" s="61"/>
      <c r="B49" s="121" t="str">
        <f>'Cash-flow PLAN'!C35</f>
        <v>Tenant improvement</v>
      </c>
      <c r="C49" s="122">
        <v>1</v>
      </c>
      <c r="D49" s="123" t="s">
        <v>85</v>
      </c>
      <c r="E49" s="85">
        <v>11000</v>
      </c>
      <c r="F49" s="86">
        <f>28000000-F31</f>
        <v>4314000</v>
      </c>
      <c r="G49" s="71" t="s">
        <v>122</v>
      </c>
      <c r="H49" s="60"/>
      <c r="I49" s="153"/>
      <c r="J49" s="153"/>
      <c r="K49" s="153"/>
      <c r="L49" s="153"/>
      <c r="M49" s="153"/>
      <c r="N49" s="153"/>
      <c r="O49" s="60"/>
      <c r="P49" s="60"/>
      <c r="Q49" s="181" t="e">
        <f t="shared" ref="Q49:Q52" si="1">IF(($J$18/R49-$C$132+$J$23+#REF!+#REF!+$N$21)&gt;0,($J$18/R49-$C$132+$J$23+#REF!+#REF!+$N$21),0)</f>
        <v>#REF!</v>
      </c>
      <c r="R49" s="182">
        <f>N20</f>
        <v>7.0000000000000007E-2</v>
      </c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8" customHeight="1">
      <c r="A50" s="61"/>
      <c r="B50" s="121" t="str">
        <f>'Cash-flow PLAN'!C36</f>
        <v>Tenant contribution</v>
      </c>
      <c r="C50" s="429">
        <v>1</v>
      </c>
      <c r="D50" s="479" t="s">
        <v>93</v>
      </c>
      <c r="E50" s="485">
        <v>0</v>
      </c>
      <c r="F50" s="424">
        <f>F49*E50</f>
        <v>0</v>
      </c>
      <c r="G50" s="71"/>
      <c r="H50" s="60"/>
      <c r="I50" s="183"/>
      <c r="J50" s="153"/>
      <c r="K50" s="153"/>
      <c r="L50" s="153"/>
      <c r="M50" s="153"/>
      <c r="N50" s="153"/>
      <c r="O50" s="60"/>
      <c r="P50" s="60"/>
      <c r="Q50" s="181" t="e">
        <f t="shared" si="1"/>
        <v>#REF!</v>
      </c>
      <c r="R50" s="184">
        <f t="shared" ref="R50:R52" si="2">R49+0.5%</f>
        <v>7.5000000000000011E-2</v>
      </c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8" customHeight="1">
      <c r="A51" s="61"/>
      <c r="B51" s="103" t="s">
        <v>103</v>
      </c>
      <c r="C51" s="536">
        <f>SUM(F49:F50)</f>
        <v>4314000</v>
      </c>
      <c r="D51" s="589"/>
      <c r="E51" s="589"/>
      <c r="F51" s="590"/>
      <c r="G51" s="71"/>
      <c r="H51" s="60"/>
      <c r="I51" s="153"/>
      <c r="J51" s="153"/>
      <c r="K51" s="60"/>
      <c r="L51" s="60"/>
      <c r="M51" s="60"/>
      <c r="N51" s="60"/>
      <c r="O51" s="60"/>
      <c r="P51" s="60"/>
      <c r="Q51" s="181" t="e">
        <f t="shared" si="1"/>
        <v>#REF!</v>
      </c>
      <c r="R51" s="185">
        <f t="shared" si="2"/>
        <v>8.0000000000000016E-2</v>
      </c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8" customHeight="1">
      <c r="A52" s="61" t="s">
        <v>157</v>
      </c>
      <c r="B52" s="107" t="s">
        <v>105</v>
      </c>
      <c r="C52" s="186"/>
      <c r="D52" s="186"/>
      <c r="E52" s="186"/>
      <c r="F52" s="108">
        <f>C51/$J$17</f>
        <v>2072.444273635665</v>
      </c>
      <c r="G52" s="71"/>
      <c r="H52" s="60"/>
      <c r="I52" s="153"/>
      <c r="J52" s="153"/>
      <c r="K52" s="60"/>
      <c r="L52" s="60"/>
      <c r="M52" s="60"/>
      <c r="N52" s="60"/>
      <c r="O52" s="60"/>
      <c r="P52" s="60"/>
      <c r="Q52" s="181" t="e">
        <f t="shared" si="1"/>
        <v>#REF!</v>
      </c>
      <c r="R52" s="486">
        <f t="shared" si="2"/>
        <v>8.500000000000002E-2</v>
      </c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8" customHeight="1">
      <c r="A53" s="61"/>
      <c r="B53" s="60"/>
      <c r="C53" s="69"/>
      <c r="D53" s="70"/>
      <c r="E53" s="72"/>
      <c r="F53" s="71"/>
      <c r="G53" s="71"/>
      <c r="H53" s="60"/>
      <c r="I53" s="60"/>
      <c r="J53" s="60"/>
      <c r="K53" s="60"/>
      <c r="L53" s="60"/>
      <c r="M53" s="60"/>
      <c r="N53" s="60"/>
      <c r="O53" s="60"/>
      <c r="P53" s="60"/>
      <c r="Q53" s="187" t="e">
        <f>$J$18/R53-$C$132+#REF!+$N$21+$J$23</f>
        <v>#REF!</v>
      </c>
      <c r="R53" s="188" t="e">
        <f>J18/($C$132-#REF!-$N$21-#REF!-$J$23)</f>
        <v>#REF!</v>
      </c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8" customHeight="1">
      <c r="A54" s="61"/>
      <c r="B54" s="60"/>
      <c r="C54" s="69"/>
      <c r="D54" s="70"/>
      <c r="E54" s="72"/>
      <c r="F54" s="71"/>
      <c r="G54" s="71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9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8" customHeight="1">
      <c r="B55" s="537" t="str">
        <f>'Cash-flow PLAN'!C37</f>
        <v>E. Soft costs</v>
      </c>
      <c r="C55" s="589"/>
      <c r="D55" s="589"/>
      <c r="E55" s="589"/>
      <c r="F55" s="590"/>
      <c r="G55" s="71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8" customHeight="1">
      <c r="B56" s="115"/>
      <c r="C56" s="116" t="s">
        <v>84</v>
      </c>
      <c r="D56" s="77" t="s">
        <v>110</v>
      </c>
      <c r="E56" s="116" t="s">
        <v>111</v>
      </c>
      <c r="F56" s="117"/>
      <c r="G56" s="71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9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8" customHeight="1">
      <c r="A57" s="61"/>
      <c r="B57" s="121" t="str">
        <f>'Cash-flow PLAN'!C38</f>
        <v>Project management (Interní)</v>
      </c>
      <c r="C57" s="122">
        <v>1</v>
      </c>
      <c r="D57" s="123" t="s">
        <v>100</v>
      </c>
      <c r="E57" s="170">
        <f>F57/C43</f>
        <v>7.9654898565745275E-3</v>
      </c>
      <c r="F57" s="189">
        <v>630000</v>
      </c>
      <c r="G57" s="71" t="s">
        <v>94</v>
      </c>
      <c r="H57" s="60"/>
      <c r="I57" s="60"/>
      <c r="J57" s="60"/>
      <c r="K57" s="60"/>
      <c r="L57" s="60"/>
      <c r="M57" s="60"/>
      <c r="N57" s="60"/>
      <c r="O57" s="60"/>
      <c r="P57" s="60"/>
      <c r="Q57" s="534" t="s">
        <v>158</v>
      </c>
      <c r="R57" s="59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8" customHeight="1">
      <c r="A58" s="61"/>
      <c r="B58" s="121" t="str">
        <f>'Cash-flow PLAN'!C39</f>
        <v>Project management (Externí)</v>
      </c>
      <c r="C58" s="122">
        <v>1</v>
      </c>
      <c r="D58" s="123" t="s">
        <v>100</v>
      </c>
      <c r="E58" s="170">
        <f>F58/C43</f>
        <v>1.469822533058395E-2</v>
      </c>
      <c r="F58" s="125">
        <f>SUM(F59:F61)</f>
        <v>1162500</v>
      </c>
      <c r="G58" s="71" t="s">
        <v>94</v>
      </c>
      <c r="H58" s="60"/>
      <c r="I58" s="60"/>
      <c r="J58" s="60"/>
      <c r="K58" s="60"/>
      <c r="L58" s="60"/>
      <c r="M58" s="60"/>
      <c r="N58" s="60"/>
      <c r="O58" s="60"/>
      <c r="P58" s="60"/>
      <c r="Q58" s="179" t="s">
        <v>155</v>
      </c>
      <c r="R58" s="180" t="s">
        <v>159</v>
      </c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8" customHeight="1">
      <c r="A59" s="61"/>
      <c r="B59" s="190" t="s">
        <v>160</v>
      </c>
      <c r="C59" s="122">
        <v>1</v>
      </c>
      <c r="D59" s="123" t="s">
        <v>100</v>
      </c>
      <c r="E59" s="170">
        <v>0</v>
      </c>
      <c r="F59" s="555">
        <f>930000+232500</f>
        <v>1162500</v>
      </c>
      <c r="G59" s="71"/>
      <c r="H59" s="60"/>
      <c r="I59" s="60"/>
      <c r="J59" s="60"/>
      <c r="K59" s="60"/>
      <c r="L59" s="60"/>
      <c r="M59" s="60"/>
      <c r="N59" s="60"/>
      <c r="O59" s="60"/>
      <c r="P59" s="60"/>
      <c r="Q59" s="181" t="e">
        <f t="shared" ref="Q59:Q62" si="3">$J$25-$C$14-$C$23-$C$43*(1+R59)-$C$51-$C$72-$C$104+$N$21+#REF!+#REF!</f>
        <v>#REF!</v>
      </c>
      <c r="R59" s="182">
        <v>0</v>
      </c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8" customHeight="1">
      <c r="B60" s="190" t="s">
        <v>161</v>
      </c>
      <c r="C60" s="122">
        <v>1</v>
      </c>
      <c r="D60" s="123" t="s">
        <v>100</v>
      </c>
      <c r="E60" s="170">
        <v>0</v>
      </c>
      <c r="F60" s="595"/>
      <c r="G60" s="71"/>
      <c r="H60" s="60"/>
      <c r="I60" s="60"/>
      <c r="J60" s="60"/>
      <c r="K60" s="60"/>
      <c r="L60" s="60"/>
      <c r="M60" s="60"/>
      <c r="N60" s="60"/>
      <c r="O60" s="60"/>
      <c r="P60" s="60"/>
      <c r="Q60" s="181" t="e">
        <f t="shared" si="3"/>
        <v>#REF!</v>
      </c>
      <c r="R60" s="184">
        <v>0.1</v>
      </c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8" customHeight="1">
      <c r="A61" s="61"/>
      <c r="B61" s="190" t="s">
        <v>162</v>
      </c>
      <c r="C61" s="122">
        <v>1</v>
      </c>
      <c r="D61" s="123" t="s">
        <v>100</v>
      </c>
      <c r="E61" s="170">
        <v>0</v>
      </c>
      <c r="F61" s="596"/>
      <c r="G61" s="71"/>
      <c r="H61" s="60"/>
      <c r="I61" s="60"/>
      <c r="J61" s="60"/>
      <c r="K61" s="60"/>
      <c r="L61" s="60"/>
      <c r="M61" s="60"/>
      <c r="N61" s="60"/>
      <c r="O61" s="60"/>
      <c r="P61" s="60"/>
      <c r="Q61" s="181" t="e">
        <f t="shared" si="3"/>
        <v>#REF!</v>
      </c>
      <c r="R61" s="185">
        <v>0.25</v>
      </c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8" customHeight="1">
      <c r="A62" s="61"/>
      <c r="B62" s="121" t="str">
        <f>'Cash-flow PLAN'!C40</f>
        <v>Cost manager</v>
      </c>
      <c r="C62" s="122">
        <v>1</v>
      </c>
      <c r="D62" s="123" t="s">
        <v>100</v>
      </c>
      <c r="E62" s="170">
        <f>F62/C43</f>
        <v>1.0784514647720332E-2</v>
      </c>
      <c r="F62" s="125">
        <f>SUM(F63:F65)</f>
        <v>852960</v>
      </c>
      <c r="G62" s="71" t="s">
        <v>94</v>
      </c>
      <c r="H62" s="60"/>
      <c r="I62" s="60"/>
      <c r="J62" s="60"/>
      <c r="K62" s="60"/>
      <c r="L62" s="60"/>
      <c r="M62" s="60"/>
      <c r="N62" s="60"/>
      <c r="O62" s="60"/>
      <c r="P62" s="60"/>
      <c r="Q62" s="187" t="e">
        <f t="shared" si="3"/>
        <v>#REF!</v>
      </c>
      <c r="R62" s="191" t="e">
        <f>($J$25-$C$14-$C$23-$C$51-$C$72-$C$104+$N$21+#REF!+#REF!)/$C$43-1</f>
        <v>#REF!</v>
      </c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8" customHeight="1">
      <c r="A63" s="61"/>
      <c r="B63" s="190" t="str">
        <f>Params!F3</f>
        <v>cost management VŘ GP</v>
      </c>
      <c r="C63" s="122">
        <v>1</v>
      </c>
      <c r="D63" s="123" t="s">
        <v>100</v>
      </c>
      <c r="E63" s="170">
        <v>0</v>
      </c>
      <c r="F63" s="192"/>
      <c r="G63" s="71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8" customHeight="1">
      <c r="A64" s="61"/>
      <c r="B64" s="190" t="s">
        <v>163</v>
      </c>
      <c r="C64" s="122">
        <v>1</v>
      </c>
      <c r="D64" s="123" t="s">
        <v>100</v>
      </c>
      <c r="E64" s="170">
        <v>0</v>
      </c>
      <c r="F64" s="192">
        <v>690960</v>
      </c>
      <c r="G64" s="71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8" customHeight="1">
      <c r="A65" s="61"/>
      <c r="B65" s="190" t="str">
        <f>Params!H3</f>
        <v>realizace cost management controling/měsíc</v>
      </c>
      <c r="C65" s="122">
        <v>1</v>
      </c>
      <c r="D65" s="123" t="s">
        <v>100</v>
      </c>
      <c r="E65" s="170"/>
      <c r="F65" s="192">
        <f>IF(J17&lt;Params!B4,Params!H4*R12,
    IF(AND(J17&gt;=Params!B4, J17&lt;Params!B5),Params!H5*R12,
        IF(AND(J17&gt;=Params!B5, J17&lt;Params!B6),Params!H6*R12,
            IF(J17&gt;=Params!B6,Params!H7*R12, "False")
        )
    )
)</f>
        <v>162000</v>
      </c>
      <c r="G65" s="71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8" customHeight="1">
      <c r="A66" s="61" t="s">
        <v>164</v>
      </c>
      <c r="B66" s="121" t="str">
        <f>'Cash-flow PLAN'!C41</f>
        <v>Koordinátor BOZP</v>
      </c>
      <c r="C66" s="122">
        <v>1</v>
      </c>
      <c r="D66" s="123" t="s">
        <v>100</v>
      </c>
      <c r="E66" s="170">
        <f>F66/C43</f>
        <v>1.6780631964517004E-3</v>
      </c>
      <c r="F66" s="125">
        <f>IF(J17&lt;Params!B4, Params!I4*(R12),
    IF(AND(J17&gt;=Params!B4, J17&lt;Params!B5),Params!I5*(R12+1),
        IF(AND(J17&gt;=Params!B5, J17&lt;Params!B6),Params!I6*(R12+1),
            IF(J17&gt;=Params!B6,Params!I7*(R12+1), "False")
        )
    )
)</f>
        <v>132720</v>
      </c>
      <c r="G66" s="71" t="s">
        <v>94</v>
      </c>
      <c r="H66" s="60"/>
      <c r="I66" s="60"/>
      <c r="J66" s="60"/>
      <c r="K66" s="60"/>
      <c r="L66" s="60"/>
      <c r="M66" s="60"/>
      <c r="N66" s="60"/>
      <c r="O66" s="60"/>
      <c r="P66" s="60"/>
      <c r="Q66" s="534" t="s">
        <v>165</v>
      </c>
      <c r="R66" s="59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8" customHeight="1">
      <c r="A67" s="61"/>
      <c r="B67" s="121" t="str">
        <f>'Cash-flow PLAN'!C42</f>
        <v>Administrativní náklady</v>
      </c>
      <c r="C67" s="122">
        <v>1</v>
      </c>
      <c r="D67" s="123" t="s">
        <v>100</v>
      </c>
      <c r="E67" s="170">
        <f>F67/C43</f>
        <v>1.3011345027558751E-3</v>
      </c>
      <c r="F67" s="189">
        <f>-SUM('Cash-flow 04.02.2025'!H43:R43,'Cash-flow 04.02.2025'!H44:Q44)/1.21</f>
        <v>102908.26446280992</v>
      </c>
      <c r="G67" s="71" t="s">
        <v>94</v>
      </c>
      <c r="H67" s="60"/>
      <c r="I67" s="60"/>
      <c r="J67" s="60"/>
      <c r="K67" s="60"/>
      <c r="L67" s="60"/>
      <c r="M67" s="60"/>
      <c r="N67" s="60"/>
      <c r="O67" s="60"/>
      <c r="P67" s="60"/>
      <c r="Q67" s="179" t="s">
        <v>155</v>
      </c>
      <c r="R67" s="180" t="s">
        <v>166</v>
      </c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8" customHeight="1">
      <c r="A68" s="61"/>
      <c r="B68" s="121" t="str">
        <f>'Cash-flow PLAN'!C43</f>
        <v>Ostatní náklady</v>
      </c>
      <c r="C68" s="122">
        <v>1</v>
      </c>
      <c r="D68" s="169" t="s">
        <v>100</v>
      </c>
      <c r="E68" s="170">
        <v>2E-3</v>
      </c>
      <c r="F68" s="189">
        <f>-SUM('Cash-flow 04.02.2025'!H45:R45)/1.21</f>
        <v>188953.71900826448</v>
      </c>
      <c r="G68" s="71" t="s">
        <v>94</v>
      </c>
      <c r="H68" s="60"/>
      <c r="I68" s="60"/>
      <c r="J68" s="60"/>
      <c r="K68" s="69"/>
      <c r="L68" s="70"/>
      <c r="M68" s="72"/>
      <c r="N68" s="71"/>
      <c r="O68" s="60"/>
      <c r="P68" s="60"/>
      <c r="Q68" s="181" t="e">
        <f t="shared" ref="Q68:Q72" si="4">$J$25-$C$14-$C$23-$C$43-$C$51-$C$72+$N$21+#REF!+#REF!-$F$98-$F$102-$D$125*($E$100/12*(SUM($R$12:$R$13)+R68))</f>
        <v>#REF!</v>
      </c>
      <c r="R68" s="193">
        <v>0</v>
      </c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8" customHeight="1">
      <c r="A69" s="61"/>
      <c r="B69" s="121" t="str">
        <f>'Cash-flow PLAN'!C44</f>
        <v>Právní služby</v>
      </c>
      <c r="C69" s="122">
        <v>1</v>
      </c>
      <c r="D69" s="169" t="s">
        <v>167</v>
      </c>
      <c r="E69" s="170">
        <f>F69/C43</f>
        <v>1.2307972315089119E-3</v>
      </c>
      <c r="F69" s="189">
        <f>-SUM('Cash-flow 04.02.2025'!H46:Q46)/1.21</f>
        <v>97345.206611570247</v>
      </c>
      <c r="G69" s="71" t="s">
        <v>94</v>
      </c>
      <c r="H69" s="60"/>
      <c r="I69" s="60"/>
      <c r="J69" s="60"/>
      <c r="K69" s="69"/>
      <c r="L69" s="70"/>
      <c r="M69" s="72"/>
      <c r="N69" s="71"/>
      <c r="O69" s="60"/>
      <c r="P69" s="60"/>
      <c r="Q69" s="181" t="e">
        <f t="shared" si="4"/>
        <v>#REF!</v>
      </c>
      <c r="R69" s="193">
        <v>6</v>
      </c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8" customHeight="1">
      <c r="A70" s="61"/>
      <c r="B70" s="121" t="str">
        <f>'Cash-flow PLAN'!C45</f>
        <v>Marketing</v>
      </c>
      <c r="C70" s="122">
        <v>1</v>
      </c>
      <c r="D70" s="169" t="s">
        <v>100</v>
      </c>
      <c r="E70" s="170">
        <v>0</v>
      </c>
      <c r="F70" s="189">
        <f>$C$43*E70</f>
        <v>0</v>
      </c>
      <c r="G70" s="71" t="s">
        <v>94</v>
      </c>
      <c r="H70" s="60"/>
      <c r="I70" s="60"/>
      <c r="J70" s="69"/>
      <c r="K70" s="69"/>
      <c r="L70" s="70"/>
      <c r="M70" s="72"/>
      <c r="N70" s="71"/>
      <c r="O70" s="60"/>
      <c r="P70" s="60"/>
      <c r="Q70" s="181" t="e">
        <f t="shared" si="4"/>
        <v>#REF!</v>
      </c>
      <c r="R70" s="193">
        <v>12</v>
      </c>
      <c r="S70" s="60"/>
      <c r="T70" s="60"/>
      <c r="U70" s="60"/>
      <c r="V70" s="60"/>
      <c r="W70" s="60"/>
      <c r="X70" s="60"/>
      <c r="Y70" s="60"/>
      <c r="Z70" s="60"/>
      <c r="AA70" s="60"/>
    </row>
    <row r="71" spans="1:28" ht="18" customHeight="1">
      <c r="A71" s="61"/>
      <c r="B71" s="121" t="str">
        <f>'Cash-flow PLAN'!C46</f>
        <v>Letting fee</v>
      </c>
      <c r="C71" s="429">
        <v>1</v>
      </c>
      <c r="D71" s="482" t="s">
        <v>168</v>
      </c>
      <c r="E71" s="488">
        <v>0</v>
      </c>
      <c r="F71" s="489">
        <f>-SUM('Cash-flow 04.02.2025'!H48:R48)/1.21</f>
        <v>972275.60000000009</v>
      </c>
      <c r="G71" s="71" t="s">
        <v>94</v>
      </c>
      <c r="H71" s="60"/>
      <c r="I71" s="60"/>
      <c r="J71" s="69"/>
      <c r="K71" s="69"/>
      <c r="L71" s="70"/>
      <c r="M71" s="72"/>
      <c r="N71" s="71"/>
      <c r="O71" s="60"/>
      <c r="P71" s="60"/>
      <c r="Q71" s="181" t="e">
        <f t="shared" si="4"/>
        <v>#REF!</v>
      </c>
      <c r="R71" s="490">
        <v>24</v>
      </c>
      <c r="S71" s="60"/>
      <c r="T71" s="60"/>
      <c r="U71" s="60"/>
      <c r="V71" s="60"/>
      <c r="W71" s="60"/>
      <c r="X71" s="60"/>
      <c r="Y71" s="60"/>
    </row>
    <row r="72" spans="1:28" ht="18" customHeight="1">
      <c r="A72" s="61"/>
      <c r="B72" s="103" t="s">
        <v>103</v>
      </c>
      <c r="C72" s="536">
        <f>F57+F58+F62+F66+SUM(F67:F71)</f>
        <v>4139662.7900826447</v>
      </c>
      <c r="D72" s="589"/>
      <c r="E72" s="589"/>
      <c r="F72" s="590"/>
      <c r="G72" s="60"/>
      <c r="H72" s="60"/>
      <c r="I72" s="60"/>
      <c r="J72" s="69"/>
      <c r="K72" s="69"/>
      <c r="L72" s="70"/>
      <c r="M72" s="72"/>
      <c r="N72" s="71"/>
      <c r="O72" s="60"/>
      <c r="P72" s="60"/>
      <c r="Q72" s="187" t="e">
        <f t="shared" si="4"/>
        <v>#REF!</v>
      </c>
      <c r="R72" s="194" t="e">
        <f>(($J$25-$C$14-$C$23-$C$43-$C$51-$C$72+$N$21+#REF!-$F$98-$F$102)/D125/E100*12)-SUM($R$12:$R$13)</f>
        <v>#REF!</v>
      </c>
      <c r="S72" s="60"/>
      <c r="T72" s="60"/>
      <c r="U72" s="60"/>
      <c r="V72" s="60"/>
      <c r="W72" s="60"/>
      <c r="X72" s="60"/>
      <c r="Y72" s="60"/>
    </row>
    <row r="73" spans="1:28" ht="18" customHeight="1">
      <c r="A73" s="61"/>
      <c r="B73" s="107" t="s">
        <v>105</v>
      </c>
      <c r="C73" s="186"/>
      <c r="D73" s="186"/>
      <c r="E73" s="186"/>
      <c r="F73" s="108">
        <f>C72/$J$17</f>
        <v>1988.6927315923544</v>
      </c>
      <c r="G73" s="60"/>
      <c r="H73" s="60"/>
      <c r="I73" s="60"/>
      <c r="J73" s="69"/>
      <c r="K73" s="69"/>
      <c r="L73" s="70"/>
      <c r="M73" s="72"/>
      <c r="N73" s="71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8" ht="18" customHeight="1">
      <c r="A74" s="61"/>
      <c r="B74" s="60"/>
      <c r="C74" s="69"/>
      <c r="D74" s="70"/>
      <c r="E74" s="72"/>
      <c r="F74" s="71"/>
      <c r="G74" s="60"/>
      <c r="H74" s="60"/>
      <c r="I74" s="60"/>
      <c r="J74" s="69"/>
      <c r="K74" s="69"/>
      <c r="L74" s="70"/>
      <c r="M74" s="72"/>
      <c r="N74" s="71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8" ht="18" customHeight="1">
      <c r="A75" s="61"/>
      <c r="B75" s="60"/>
      <c r="C75" s="69"/>
      <c r="D75" s="70"/>
      <c r="E75" s="72"/>
      <c r="F75" s="71"/>
      <c r="G75" s="60"/>
      <c r="H75" s="60"/>
      <c r="I75" s="60"/>
      <c r="J75" s="69"/>
      <c r="K75" s="69"/>
      <c r="L75" s="70"/>
      <c r="M75" s="72"/>
      <c r="N75" s="71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8" ht="18" customHeight="1">
      <c r="A76" s="61"/>
      <c r="B76" s="537" t="s">
        <v>169</v>
      </c>
      <c r="C76" s="589"/>
      <c r="D76" s="589"/>
      <c r="E76" s="589"/>
      <c r="F76" s="590"/>
      <c r="G76" s="71"/>
      <c r="H76" s="60"/>
      <c r="I76" s="60"/>
      <c r="J76" s="69"/>
      <c r="K76" s="69"/>
      <c r="L76" s="70"/>
      <c r="M76" s="72"/>
      <c r="N76" s="71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8" customHeight="1">
      <c r="A77" s="61"/>
      <c r="B77" s="491"/>
      <c r="C77" s="195" t="s">
        <v>84</v>
      </c>
      <c r="D77" s="195" t="s">
        <v>110</v>
      </c>
      <c r="E77" s="196" t="s">
        <v>111</v>
      </c>
      <c r="F77" s="492"/>
      <c r="G77" s="71"/>
      <c r="H77" s="60"/>
      <c r="I77" s="60"/>
      <c r="J77" s="69"/>
      <c r="K77" s="69"/>
      <c r="L77" s="70"/>
      <c r="M77" s="72"/>
      <c r="N77" s="71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8" customHeight="1">
      <c r="A78" s="61"/>
      <c r="B78" s="197" t="s">
        <v>170</v>
      </c>
      <c r="C78" s="198">
        <v>1</v>
      </c>
      <c r="D78" s="199" t="s">
        <v>100</v>
      </c>
      <c r="E78" s="200">
        <v>2.5000000000000001E-2</v>
      </c>
      <c r="F78" s="201">
        <f>E78*SUM(F31:F38,F41,C51)</f>
        <v>761540</v>
      </c>
      <c r="G78" s="71" t="s">
        <v>94</v>
      </c>
      <c r="H78" s="60"/>
      <c r="I78" s="60">
        <f>F78*1.21</f>
        <v>921463.4</v>
      </c>
      <c r="J78" s="69"/>
      <c r="K78" s="69">
        <f>F78</f>
        <v>761540</v>
      </c>
      <c r="L78" s="70"/>
      <c r="M78" s="72"/>
      <c r="N78" s="71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8" customHeight="1">
      <c r="A79" s="61"/>
      <c r="B79" s="197" t="s">
        <v>171</v>
      </c>
      <c r="C79" s="198">
        <v>1</v>
      </c>
      <c r="D79" s="199" t="s">
        <v>100</v>
      </c>
      <c r="E79" s="200"/>
      <c r="F79" s="202">
        <f>F82</f>
        <v>919800</v>
      </c>
      <c r="G79" s="71" t="s">
        <v>94</v>
      </c>
      <c r="H79" s="60"/>
      <c r="I79" s="60">
        <v>30000</v>
      </c>
      <c r="J79" s="69"/>
      <c r="K79" s="69">
        <v>30000</v>
      </c>
      <c r="L79" s="70"/>
      <c r="M79" s="72"/>
      <c r="N79" s="71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8" customHeight="1">
      <c r="A80" s="61"/>
      <c r="B80" s="203" t="s">
        <v>160</v>
      </c>
      <c r="C80" s="198">
        <v>1</v>
      </c>
      <c r="D80" s="199" t="s">
        <v>100</v>
      </c>
      <c r="E80" s="493"/>
      <c r="F80" s="494"/>
      <c r="G80" s="71"/>
      <c r="H80" s="60"/>
      <c r="I80" s="60">
        <f>I79*6</f>
        <v>180000</v>
      </c>
      <c r="J80" s="69"/>
      <c r="K80" s="69">
        <f>K79*6</f>
        <v>180000</v>
      </c>
      <c r="L80" s="70"/>
      <c r="M80" s="72"/>
      <c r="N80" s="71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8" customHeight="1">
      <c r="A81" s="61"/>
      <c r="B81" s="203" t="s">
        <v>161</v>
      </c>
      <c r="C81" s="198">
        <v>1</v>
      </c>
      <c r="D81" s="199" t="s">
        <v>100</v>
      </c>
      <c r="E81" s="493"/>
      <c r="F81" s="494"/>
      <c r="G81" s="71"/>
      <c r="H81" s="60"/>
      <c r="I81" s="60">
        <f>I78-I80</f>
        <v>741463.4</v>
      </c>
      <c r="J81" s="69"/>
      <c r="K81" s="69">
        <f>K78-K80</f>
        <v>581540</v>
      </c>
      <c r="L81" s="70"/>
      <c r="M81" s="72"/>
      <c r="N81" s="71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8" customHeight="1">
      <c r="A82" s="61"/>
      <c r="B82" s="203" t="s">
        <v>162</v>
      </c>
      <c r="C82" s="198">
        <v>1</v>
      </c>
      <c r="D82" s="199" t="s">
        <v>100</v>
      </c>
      <c r="E82" s="493"/>
      <c r="F82" s="494">
        <v>919800</v>
      </c>
      <c r="G82" s="71"/>
      <c r="H82" s="60"/>
      <c r="I82" s="204">
        <f>F82+I81</f>
        <v>1661263.4</v>
      </c>
      <c r="J82" s="69"/>
      <c r="K82" s="69">
        <f>F82+K81</f>
        <v>1501340</v>
      </c>
      <c r="L82" s="70"/>
      <c r="M82" s="72"/>
      <c r="N82" s="71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8" customHeight="1">
      <c r="A83" s="61"/>
      <c r="B83" s="197" t="s">
        <v>172</v>
      </c>
      <c r="C83" s="198">
        <v>1</v>
      </c>
      <c r="D83" s="199" t="s">
        <v>100</v>
      </c>
      <c r="E83" s="200"/>
      <c r="F83" s="202"/>
      <c r="G83" s="71"/>
      <c r="H83" s="60"/>
      <c r="I83" s="60"/>
      <c r="J83" s="69"/>
      <c r="K83" s="69"/>
      <c r="L83" s="70"/>
      <c r="M83" s="72"/>
      <c r="N83" s="71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8" customHeight="1">
      <c r="A84" s="61"/>
      <c r="B84" s="203" t="s">
        <v>173</v>
      </c>
      <c r="C84" s="198">
        <v>1</v>
      </c>
      <c r="D84" s="199" t="s">
        <v>100</v>
      </c>
      <c r="E84" s="493"/>
      <c r="F84" s="494"/>
      <c r="G84" s="71"/>
      <c r="H84" s="60"/>
      <c r="I84" s="204">
        <f>F78*1.21+F79</f>
        <v>1841263.4</v>
      </c>
      <c r="J84" s="69"/>
      <c r="K84" s="69"/>
      <c r="L84" s="70"/>
      <c r="M84" s="72"/>
      <c r="N84" s="71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8" customHeight="1">
      <c r="A85" s="61"/>
      <c r="B85" s="203" t="s">
        <v>174</v>
      </c>
      <c r="C85" s="198">
        <v>1</v>
      </c>
      <c r="D85" s="199" t="s">
        <v>100</v>
      </c>
      <c r="E85" s="493"/>
      <c r="F85" s="494"/>
      <c r="G85" s="71"/>
      <c r="H85" s="60"/>
      <c r="I85" s="204">
        <f>I84-30000*6</f>
        <v>1661263.4</v>
      </c>
      <c r="J85" s="69"/>
      <c r="K85" s="69"/>
      <c r="L85" s="70"/>
      <c r="M85" s="72"/>
      <c r="N85" s="71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8" customHeight="1">
      <c r="A86" s="61"/>
      <c r="B86" s="203" t="s">
        <v>175</v>
      </c>
      <c r="C86" s="198">
        <v>1</v>
      </c>
      <c r="D86" s="199" t="s">
        <v>100</v>
      </c>
      <c r="E86" s="493"/>
      <c r="F86" s="494"/>
      <c r="G86" s="71"/>
      <c r="H86" s="60"/>
      <c r="I86" s="60"/>
      <c r="J86" s="69"/>
      <c r="K86" s="69"/>
      <c r="L86" s="70"/>
      <c r="M86" s="72"/>
      <c r="N86" s="71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8" customHeight="1">
      <c r="A87" s="61"/>
      <c r="B87" s="197" t="s">
        <v>176</v>
      </c>
      <c r="C87" s="198">
        <v>1</v>
      </c>
      <c r="D87" s="199" t="s">
        <v>100</v>
      </c>
      <c r="E87" s="200"/>
      <c r="F87" s="202"/>
      <c r="G87" s="71" t="s">
        <v>94</v>
      </c>
      <c r="H87" s="60"/>
      <c r="I87" s="204">
        <f>F78+F79</f>
        <v>1681340</v>
      </c>
      <c r="J87" s="69"/>
      <c r="K87" s="69"/>
      <c r="L87" s="70"/>
      <c r="M87" s="72"/>
      <c r="N87" s="71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8" customHeight="1">
      <c r="A88" s="61"/>
      <c r="B88" s="197" t="s">
        <v>177</v>
      </c>
      <c r="C88" s="198">
        <v>1</v>
      </c>
      <c r="D88" s="199" t="s">
        <v>100</v>
      </c>
      <c r="E88" s="200"/>
      <c r="F88" s="201">
        <f>10000*11+3000*25</f>
        <v>185000</v>
      </c>
      <c r="G88" s="71" t="s">
        <v>122</v>
      </c>
      <c r="H88" s="60"/>
      <c r="I88" s="204">
        <f>I87-180000</f>
        <v>1501340</v>
      </c>
      <c r="J88" s="69"/>
      <c r="K88" s="69"/>
      <c r="L88" s="70"/>
      <c r="M88" s="72"/>
      <c r="N88" s="71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8" customHeight="1">
      <c r="A89" s="61"/>
      <c r="B89" s="197" t="s">
        <v>178</v>
      </c>
      <c r="C89" s="198">
        <v>1</v>
      </c>
      <c r="D89" s="205" t="s">
        <v>100</v>
      </c>
      <c r="E89" s="200"/>
      <c r="F89" s="201">
        <f>-SUM('Cash-flow 04.02.2025'!R45:AF45)/1.21</f>
        <v>148500</v>
      </c>
      <c r="G89" s="71" t="s">
        <v>122</v>
      </c>
      <c r="H89" s="60"/>
      <c r="I89" s="204">
        <f>I88-F79</f>
        <v>581540</v>
      </c>
      <c r="J89" s="69"/>
      <c r="K89" s="69"/>
      <c r="L89" s="70"/>
      <c r="M89" s="72"/>
      <c r="N89" s="71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8" customHeight="1">
      <c r="A90" s="61"/>
      <c r="B90" s="197" t="s">
        <v>179</v>
      </c>
      <c r="C90" s="198">
        <v>1</v>
      </c>
      <c r="D90" s="205" t="s">
        <v>167</v>
      </c>
      <c r="E90" s="200"/>
      <c r="F90" s="201">
        <v>0</v>
      </c>
      <c r="G90" s="71"/>
      <c r="H90" s="60"/>
      <c r="I90" s="204">
        <f>I89+180000</f>
        <v>761540</v>
      </c>
      <c r="J90" s="69"/>
      <c r="K90" s="69"/>
      <c r="L90" s="70"/>
      <c r="M90" s="72"/>
      <c r="N90" s="71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8" customHeight="1">
      <c r="A91" s="61"/>
      <c r="B91" s="197" t="s">
        <v>180</v>
      </c>
      <c r="C91" s="198">
        <v>1</v>
      </c>
      <c r="D91" s="205" t="s">
        <v>100</v>
      </c>
      <c r="E91" s="200"/>
      <c r="F91" s="201">
        <v>180000</v>
      </c>
      <c r="G91" s="71" t="s">
        <v>122</v>
      </c>
      <c r="H91" s="60"/>
      <c r="I91" s="60"/>
      <c r="J91" s="69"/>
      <c r="K91" s="69"/>
      <c r="L91" s="70"/>
      <c r="M91" s="72"/>
      <c r="N91" s="71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8" customHeight="1">
      <c r="A92" s="61"/>
      <c r="B92" s="197" t="s">
        <v>181</v>
      </c>
      <c r="C92" s="495">
        <v>1</v>
      </c>
      <c r="D92" s="496" t="s">
        <v>168</v>
      </c>
      <c r="E92" s="497">
        <v>2</v>
      </c>
      <c r="F92" s="498">
        <f>E92*SUM(N9:N14)</f>
        <v>777299.95999999985</v>
      </c>
      <c r="G92" s="71" t="s">
        <v>122</v>
      </c>
      <c r="H92" s="60"/>
      <c r="I92" s="204">
        <f>F92-696599</f>
        <v>80700.959999999846</v>
      </c>
      <c r="J92" s="69"/>
      <c r="K92" s="69"/>
      <c r="L92" s="70"/>
      <c r="M92" s="72"/>
      <c r="N92" s="71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8" customHeight="1">
      <c r="A93" s="61"/>
      <c r="B93" s="103" t="s">
        <v>103</v>
      </c>
      <c r="C93" s="554">
        <f>F78+F79+F83+F87+SUM(F88:F92)</f>
        <v>2972139.96</v>
      </c>
      <c r="D93" s="589"/>
      <c r="E93" s="589"/>
      <c r="F93" s="590"/>
      <c r="G93" s="71"/>
      <c r="H93" s="60"/>
      <c r="I93" s="60"/>
      <c r="J93" s="69"/>
      <c r="K93" s="69"/>
      <c r="L93" s="70"/>
      <c r="M93" s="72"/>
      <c r="N93" s="71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8" customHeight="1">
      <c r="A94" s="61"/>
      <c r="B94" s="60"/>
      <c r="C94" s="69"/>
      <c r="D94" s="70"/>
      <c r="E94" s="72"/>
      <c r="F94" s="71"/>
      <c r="G94" s="71"/>
      <c r="H94" s="60"/>
      <c r="I94" s="60"/>
      <c r="J94" s="69"/>
      <c r="K94" s="69"/>
      <c r="L94" s="70"/>
      <c r="M94" s="72"/>
      <c r="N94" s="71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8" customHeight="1">
      <c r="A95" s="61"/>
      <c r="B95" s="60"/>
      <c r="C95" s="69"/>
      <c r="D95" s="70"/>
      <c r="E95" s="72"/>
      <c r="F95" s="71"/>
      <c r="G95" s="71"/>
      <c r="H95" s="60"/>
      <c r="I95" s="60"/>
      <c r="J95" s="69"/>
      <c r="K95" s="69"/>
      <c r="L95" s="70"/>
      <c r="M95" s="72"/>
      <c r="N95" s="71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8" customHeight="1">
      <c r="A96" s="61"/>
      <c r="B96" s="537" t="s">
        <v>182</v>
      </c>
      <c r="C96" s="589"/>
      <c r="D96" s="589"/>
      <c r="E96" s="589"/>
      <c r="F96" s="590"/>
      <c r="G96" s="71"/>
      <c r="H96" s="60"/>
      <c r="I96" s="60"/>
      <c r="J96" s="69"/>
      <c r="K96" s="69"/>
      <c r="L96" s="70"/>
      <c r="M96" s="72"/>
      <c r="N96" s="71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8" customHeight="1">
      <c r="A97" s="61"/>
      <c r="B97" s="115"/>
      <c r="C97" s="116" t="s">
        <v>84</v>
      </c>
      <c r="D97" s="77" t="s">
        <v>110</v>
      </c>
      <c r="E97" s="116" t="s">
        <v>111</v>
      </c>
      <c r="F97" s="117"/>
      <c r="G97" s="71"/>
      <c r="H97" s="60"/>
      <c r="I97" s="60"/>
      <c r="J97" s="69"/>
      <c r="K97" s="69"/>
      <c r="L97" s="70"/>
      <c r="M97" s="72"/>
      <c r="N97" s="71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8" customHeight="1">
      <c r="A98" s="61"/>
      <c r="B98" s="121" t="s">
        <v>183</v>
      </c>
      <c r="C98" s="122">
        <v>1</v>
      </c>
      <c r="D98" s="123" t="s">
        <v>100</v>
      </c>
      <c r="E98" s="170"/>
      <c r="F98" s="86">
        <v>100000</v>
      </c>
      <c r="G98" s="71" t="s">
        <v>94</v>
      </c>
      <c r="H98" s="60"/>
      <c r="I98" s="60"/>
      <c r="J98" s="69"/>
      <c r="K98" s="69"/>
      <c r="L98" s="70"/>
      <c r="M98" s="72"/>
      <c r="N98" s="71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8" customHeight="1">
      <c r="A99" s="61"/>
      <c r="B99" s="121" t="str">
        <f>'Cash-flow PLAN'!C49</f>
        <v>Poplatek za přístav</v>
      </c>
      <c r="C99" s="122">
        <v>1</v>
      </c>
      <c r="D99" s="123" t="s">
        <v>100</v>
      </c>
      <c r="E99" s="170">
        <v>5.0000000000000001E-3</v>
      </c>
      <c r="F99" s="86"/>
      <c r="G99" s="71"/>
      <c r="H99" s="60"/>
      <c r="I99" s="60"/>
      <c r="J99" s="69"/>
      <c r="K99" s="69"/>
      <c r="L99" s="70"/>
      <c r="M99" s="72"/>
      <c r="N99" s="71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8" customHeight="1">
      <c r="A100" s="61"/>
      <c r="B100" s="121" t="s">
        <v>184</v>
      </c>
      <c r="C100" s="122">
        <v>1</v>
      </c>
      <c r="D100" s="123" t="s">
        <v>185</v>
      </c>
      <c r="E100" s="170"/>
      <c r="F100" s="86">
        <f>-SUM('Cash-flow 04.02.2025'!M62:R62)</f>
        <v>1031193.8549999999</v>
      </c>
      <c r="G100" s="71" t="s">
        <v>94</v>
      </c>
      <c r="H100" s="60"/>
      <c r="I100" s="60"/>
      <c r="J100" s="69"/>
      <c r="K100" s="69"/>
      <c r="L100" s="70"/>
      <c r="M100" s="72"/>
      <c r="N100" s="71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8" customHeight="1">
      <c r="A101" s="61"/>
      <c r="B101" s="206" t="s">
        <v>186</v>
      </c>
      <c r="C101" s="207">
        <v>1</v>
      </c>
      <c r="D101" s="208" t="s">
        <v>185</v>
      </c>
      <c r="E101" s="209">
        <v>5.1499999999999997E-2</v>
      </c>
      <c r="F101" s="480">
        <f>-SUM(' Cash-flow'!S62:AB62)</f>
        <v>2272364.6</v>
      </c>
      <c r="G101" s="71" t="s">
        <v>122</v>
      </c>
      <c r="H101" s="60"/>
      <c r="I101" s="60"/>
      <c r="J101" s="69"/>
      <c r="K101" s="69"/>
      <c r="L101" s="70"/>
      <c r="M101" s="72"/>
      <c r="N101" s="71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8" customHeight="1">
      <c r="A102" s="61"/>
      <c r="B102" s="121" t="str">
        <f>'Cash-flow PLAN'!C51</f>
        <v>Bankovní poplatky</v>
      </c>
      <c r="C102" s="122">
        <v>1</v>
      </c>
      <c r="D102" s="482" t="s">
        <v>93</v>
      </c>
      <c r="E102" s="85">
        <v>2000</v>
      </c>
      <c r="F102" s="424">
        <f>-SUM('Cash-flow 04.02.2025'!H53:R53)</f>
        <v>24916.235000000001</v>
      </c>
      <c r="G102" s="71" t="s">
        <v>94</v>
      </c>
      <c r="H102" s="60"/>
      <c r="I102" s="60"/>
      <c r="J102" s="69"/>
      <c r="K102" s="69"/>
      <c r="L102" s="70"/>
      <c r="M102" s="72"/>
      <c r="N102" s="71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8" customHeight="1">
      <c r="A103" s="61"/>
      <c r="B103" s="121" t="str">
        <f>'Cash-flow PLAN'!C52</f>
        <v>Daně</v>
      </c>
      <c r="C103" s="429">
        <v>1</v>
      </c>
      <c r="D103" s="482" t="s">
        <v>93</v>
      </c>
      <c r="E103" s="430">
        <v>0</v>
      </c>
      <c r="F103" s="424">
        <f>E103</f>
        <v>0</v>
      </c>
      <c r="G103" s="71"/>
      <c r="H103" s="60"/>
      <c r="I103" s="60"/>
      <c r="J103" s="69"/>
      <c r="K103" s="69"/>
      <c r="L103" s="70"/>
      <c r="M103" s="72"/>
      <c r="N103" s="71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8" customHeight="1">
      <c r="A104" s="61"/>
      <c r="B104" s="103" t="s">
        <v>103</v>
      </c>
      <c r="C104" s="536">
        <f>SUM(F98:F103)</f>
        <v>3428474.69</v>
      </c>
      <c r="D104" s="589"/>
      <c r="E104" s="589"/>
      <c r="F104" s="590"/>
      <c r="G104" s="71"/>
      <c r="H104" s="60"/>
      <c r="I104" s="153"/>
      <c r="J104" s="69"/>
      <c r="K104" s="69"/>
      <c r="L104" s="70"/>
      <c r="M104" s="72"/>
      <c r="N104" s="71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8" customHeight="1">
      <c r="A105" s="61"/>
      <c r="B105" s="107" t="s">
        <v>105</v>
      </c>
      <c r="C105" s="186"/>
      <c r="D105" s="186"/>
      <c r="E105" s="186"/>
      <c r="F105" s="108">
        <f>C104/$J$17</f>
        <v>1647.0381869715604</v>
      </c>
      <c r="G105" s="71"/>
      <c r="H105" s="60"/>
      <c r="I105" s="60"/>
      <c r="J105" s="69"/>
      <c r="K105" s="69"/>
      <c r="L105" s="70"/>
      <c r="M105" s="72"/>
      <c r="N105" s="71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8" customHeight="1">
      <c r="A106" s="61"/>
      <c r="B106" s="60"/>
      <c r="C106" s="69"/>
      <c r="D106" s="70"/>
      <c r="E106" s="72"/>
      <c r="F106" s="71"/>
      <c r="G106" s="71"/>
      <c r="H106" s="60"/>
      <c r="I106" s="60"/>
      <c r="J106" s="69"/>
      <c r="K106" s="69"/>
      <c r="L106" s="70"/>
      <c r="M106" s="72"/>
      <c r="N106" s="71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8" customHeight="1">
      <c r="A107" s="61"/>
      <c r="B107" s="60"/>
      <c r="C107" s="69"/>
      <c r="D107" s="70"/>
      <c r="E107" s="72"/>
      <c r="F107" s="71"/>
      <c r="G107" s="71"/>
      <c r="H107" s="60"/>
      <c r="I107" s="60"/>
      <c r="J107" s="69"/>
      <c r="K107" s="69"/>
      <c r="L107" s="70"/>
      <c r="M107" s="72"/>
      <c r="N107" s="71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8" customHeight="1">
      <c r="A108" s="61"/>
      <c r="B108" s="537" t="s">
        <v>187</v>
      </c>
      <c r="C108" s="589"/>
      <c r="D108" s="589"/>
      <c r="E108" s="589"/>
      <c r="F108" s="590"/>
      <c r="G108" s="71"/>
      <c r="H108" s="60"/>
      <c r="I108" s="60"/>
      <c r="J108" s="69"/>
      <c r="K108" s="69"/>
      <c r="L108" s="70"/>
      <c r="M108" s="72"/>
      <c r="N108" s="71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8" customHeight="1">
      <c r="A109" s="61"/>
      <c r="B109" s="115"/>
      <c r="C109" s="116" t="s">
        <v>84</v>
      </c>
      <c r="D109" s="77" t="s">
        <v>110</v>
      </c>
      <c r="E109" s="116" t="s">
        <v>111</v>
      </c>
      <c r="F109" s="117"/>
      <c r="G109" s="71"/>
      <c r="H109" s="60"/>
      <c r="I109" s="60"/>
      <c r="J109" s="69"/>
      <c r="K109" s="69"/>
      <c r="L109" s="70"/>
      <c r="M109" s="72"/>
      <c r="N109" s="71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8" customHeight="1">
      <c r="A110" s="61"/>
      <c r="B110" s="121" t="s">
        <v>183</v>
      </c>
      <c r="C110" s="122">
        <v>1</v>
      </c>
      <c r="D110" s="123" t="s">
        <v>100</v>
      </c>
      <c r="E110" s="170"/>
      <c r="F110" s="86">
        <v>60000</v>
      </c>
      <c r="G110" s="71" t="s">
        <v>122</v>
      </c>
      <c r="H110" s="60"/>
      <c r="I110" s="60"/>
      <c r="J110" s="69"/>
      <c r="K110" s="69"/>
      <c r="L110" s="70"/>
      <c r="M110" s="72"/>
      <c r="N110" s="71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8" customHeight="1">
      <c r="A111" s="61"/>
      <c r="B111" s="121" t="s">
        <v>188</v>
      </c>
      <c r="C111" s="122">
        <v>1</v>
      </c>
      <c r="D111" s="123" t="s">
        <v>100</v>
      </c>
      <c r="E111" s="170"/>
      <c r="F111" s="86">
        <v>80000</v>
      </c>
      <c r="G111" s="71" t="s">
        <v>122</v>
      </c>
      <c r="H111" s="60"/>
      <c r="I111" s="60"/>
      <c r="J111" s="69"/>
      <c r="K111" s="69"/>
      <c r="L111" s="70"/>
      <c r="M111" s="72"/>
      <c r="N111" s="71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8" customHeight="1">
      <c r="A112" s="61"/>
      <c r="B112" s="121" t="s">
        <v>184</v>
      </c>
      <c r="C112" s="122">
        <v>1</v>
      </c>
      <c r="D112" s="123" t="s">
        <v>185</v>
      </c>
      <c r="E112" s="170">
        <v>5.8799999999999998E-2</v>
      </c>
      <c r="F112" s="86">
        <f>-SUM(' Cash-flow'!V61:AB61)</f>
        <v>627779.0969</v>
      </c>
      <c r="G112" s="71" t="s">
        <v>122</v>
      </c>
      <c r="H112" s="60"/>
      <c r="I112" s="60"/>
      <c r="J112" s="69"/>
      <c r="K112" s="69"/>
      <c r="L112" s="70"/>
      <c r="M112" s="72"/>
      <c r="N112" s="71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8" customHeight="1">
      <c r="A113" s="61"/>
      <c r="B113" s="121" t="s">
        <v>186</v>
      </c>
      <c r="C113" s="122">
        <v>1</v>
      </c>
      <c r="D113" s="123" t="s">
        <v>185</v>
      </c>
      <c r="E113" s="210"/>
      <c r="F113" s="424">
        <v>0</v>
      </c>
      <c r="G113" s="71"/>
      <c r="H113" s="60"/>
      <c r="I113" s="60"/>
      <c r="J113" s="69"/>
      <c r="K113" s="69"/>
      <c r="L113" s="70"/>
      <c r="M113" s="72"/>
      <c r="N113" s="71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8" customHeight="1">
      <c r="A114" s="61"/>
      <c r="B114" s="121" t="s">
        <v>189</v>
      </c>
      <c r="C114" s="122">
        <v>1</v>
      </c>
      <c r="D114" s="482" t="s">
        <v>93</v>
      </c>
      <c r="E114" s="85"/>
      <c r="F114" s="424">
        <f>-SUM('Cash-flow 04.02.2025'!S53:AF53)</f>
        <v>18063.780000000002</v>
      </c>
      <c r="G114" s="71" t="s">
        <v>122</v>
      </c>
      <c r="H114" s="60"/>
      <c r="I114" s="60"/>
      <c r="J114" s="69"/>
      <c r="K114" s="69"/>
      <c r="L114" s="70"/>
      <c r="M114" s="72"/>
      <c r="N114" s="71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8" customHeight="1">
      <c r="A115" s="61"/>
      <c r="B115" s="121" t="s">
        <v>190</v>
      </c>
      <c r="C115" s="429">
        <v>1</v>
      </c>
      <c r="D115" s="482" t="s">
        <v>93</v>
      </c>
      <c r="E115" s="430"/>
      <c r="F115" s="424">
        <v>0</v>
      </c>
      <c r="G115" s="71"/>
      <c r="H115" s="60"/>
      <c r="I115" s="60"/>
      <c r="J115" s="69"/>
      <c r="K115" s="69"/>
      <c r="L115" s="70"/>
      <c r="M115" s="72"/>
      <c r="N115" s="71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8" customHeight="1">
      <c r="A116" s="61"/>
      <c r="B116" s="103" t="s">
        <v>103</v>
      </c>
      <c r="C116" s="536">
        <f>SUM(F110:F115)</f>
        <v>785842.87690000003</v>
      </c>
      <c r="D116" s="589"/>
      <c r="E116" s="589"/>
      <c r="F116" s="590"/>
      <c r="G116" s="71"/>
      <c r="H116" s="60"/>
      <c r="I116" s="60"/>
      <c r="J116" s="69"/>
      <c r="K116" s="69"/>
      <c r="L116" s="70"/>
      <c r="M116" s="72"/>
      <c r="N116" s="71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8" customHeight="1">
      <c r="A117" s="61"/>
      <c r="B117" s="60"/>
      <c r="C117" s="69"/>
      <c r="D117" s="70"/>
      <c r="E117" s="72"/>
      <c r="F117" s="71"/>
      <c r="G117" s="71"/>
      <c r="H117" s="60"/>
      <c r="I117" s="60"/>
      <c r="J117" s="69"/>
      <c r="K117" s="69"/>
      <c r="L117" s="70"/>
      <c r="M117" s="72"/>
      <c r="N117" s="71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8" customHeight="1">
      <c r="A118" s="61"/>
      <c r="B118" s="60"/>
      <c r="C118" s="69"/>
      <c r="D118" s="70"/>
      <c r="E118" s="72"/>
      <c r="F118" s="71"/>
      <c r="G118" s="71"/>
      <c r="H118" s="60"/>
      <c r="I118" s="60"/>
      <c r="J118" s="69"/>
      <c r="K118" s="69"/>
      <c r="L118" s="70"/>
      <c r="M118" s="72"/>
      <c r="N118" s="71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8" customHeight="1">
      <c r="A119" s="61"/>
      <c r="B119" s="60"/>
      <c r="C119" s="69"/>
      <c r="D119" s="70"/>
      <c r="E119" s="72"/>
      <c r="F119" s="71"/>
      <c r="G119" s="71"/>
      <c r="H119" s="60"/>
      <c r="I119" s="60"/>
      <c r="J119" s="69"/>
      <c r="K119" s="69"/>
      <c r="L119" s="70"/>
      <c r="M119" s="72"/>
      <c r="N119" s="71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8" customHeight="1">
      <c r="A120" s="61"/>
      <c r="B120" s="60"/>
      <c r="C120" s="69"/>
      <c r="D120" s="70"/>
      <c r="E120" s="72"/>
      <c r="F120" s="71"/>
      <c r="G120" s="71"/>
      <c r="H120" s="60"/>
      <c r="I120" s="60"/>
      <c r="J120" s="69"/>
      <c r="K120" s="69"/>
      <c r="L120" s="70"/>
      <c r="M120" s="72"/>
      <c r="N120" s="71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8" customHeight="1">
      <c r="A121" s="61"/>
      <c r="B121" s="60"/>
      <c r="C121" s="69"/>
      <c r="D121" s="70"/>
      <c r="E121" s="72"/>
      <c r="F121" s="71"/>
      <c r="G121" s="71"/>
      <c r="H121" s="60"/>
      <c r="I121" s="60"/>
      <c r="J121" s="69"/>
      <c r="K121" s="69"/>
      <c r="L121" s="70"/>
      <c r="M121" s="72"/>
      <c r="N121" s="71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8" customHeight="1">
      <c r="A122" s="61"/>
      <c r="B122" s="60"/>
      <c r="C122" s="69"/>
      <c r="D122" s="70"/>
      <c r="E122" s="72"/>
      <c r="F122" s="71"/>
      <c r="G122" s="71"/>
      <c r="H122" s="60"/>
      <c r="I122" s="60"/>
      <c r="J122" s="69"/>
      <c r="K122" s="69"/>
      <c r="L122" s="70"/>
      <c r="M122" s="72"/>
      <c r="N122" s="71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8" customHeight="1">
      <c r="A123" s="61"/>
      <c r="B123" s="60"/>
      <c r="C123" s="69"/>
      <c r="D123" s="70"/>
      <c r="E123" s="72"/>
      <c r="F123" s="71"/>
      <c r="G123" s="71"/>
      <c r="H123" s="60"/>
      <c r="I123" s="60"/>
      <c r="J123" s="69"/>
      <c r="K123" s="69"/>
      <c r="L123" s="70"/>
      <c r="M123" s="72"/>
      <c r="N123" s="71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8" customHeight="1">
      <c r="A124" s="61"/>
      <c r="B124" s="211" t="s">
        <v>191</v>
      </c>
      <c r="C124" s="212"/>
      <c r="D124" s="213"/>
      <c r="E124" s="214"/>
      <c r="F124" s="215"/>
      <c r="G124" s="71"/>
      <c r="H124" s="60"/>
      <c r="I124" s="60"/>
      <c r="J124" s="69"/>
      <c r="K124" s="69"/>
      <c r="L124" s="70"/>
      <c r="M124" s="72"/>
      <c r="N124" s="71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8" customHeight="1">
      <c r="A125" s="61"/>
      <c r="B125" s="499" t="s">
        <v>192</v>
      </c>
      <c r="C125" s="216"/>
      <c r="D125" s="500">
        <f>(C14+C23+C43+C51+C72+C93)*C127</f>
        <v>72641154.137553722</v>
      </c>
      <c r="E125" s="71"/>
      <c r="F125" s="60"/>
      <c r="G125" s="71"/>
      <c r="H125" s="60"/>
      <c r="I125" s="60"/>
      <c r="J125" s="69"/>
      <c r="K125" s="69"/>
      <c r="L125" s="70"/>
      <c r="M125" s="72"/>
      <c r="N125" s="71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8" customHeight="1">
      <c r="A126" s="61"/>
      <c r="B126" s="499" t="s">
        <v>193</v>
      </c>
      <c r="C126" s="216"/>
      <c r="D126" s="500">
        <f>(F98+F100)</f>
        <v>1131193.855</v>
      </c>
      <c r="E126" s="71"/>
      <c r="F126" s="60"/>
      <c r="G126" s="71"/>
      <c r="H126" s="60"/>
      <c r="I126" s="60"/>
      <c r="J126" s="69"/>
      <c r="K126" s="69"/>
      <c r="L126" s="70"/>
      <c r="M126" s="72"/>
      <c r="N126" s="71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8" customHeight="1">
      <c r="A127" s="61"/>
      <c r="B127" s="501" t="s">
        <v>194</v>
      </c>
      <c r="C127" s="217">
        <v>0.65</v>
      </c>
      <c r="D127" s="502">
        <f>SUM(D125:D126)</f>
        <v>73772347.992553726</v>
      </c>
      <c r="E127" s="71"/>
      <c r="F127" s="60"/>
      <c r="G127" s="71"/>
      <c r="H127" s="60"/>
      <c r="I127" s="60"/>
      <c r="J127" s="69"/>
      <c r="K127" s="69"/>
      <c r="L127" s="70"/>
      <c r="M127" s="72"/>
      <c r="N127" s="71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8" customHeight="1">
      <c r="A128" s="61"/>
      <c r="B128" s="501" t="s">
        <v>195</v>
      </c>
      <c r="C128" s="217">
        <f>100%-C127</f>
        <v>0.35</v>
      </c>
      <c r="D128" s="503">
        <f>C132-D127</f>
        <v>42197591.324428916</v>
      </c>
      <c r="E128" s="71"/>
      <c r="F128" s="60"/>
      <c r="G128" s="71"/>
      <c r="H128" s="60"/>
      <c r="I128" s="60"/>
      <c r="J128" s="69"/>
      <c r="K128" s="69"/>
      <c r="L128" s="70"/>
      <c r="M128" s="72"/>
      <c r="N128" s="71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8" customHeight="1">
      <c r="A129" s="61"/>
      <c r="B129" s="218" t="s">
        <v>196</v>
      </c>
      <c r="C129" s="219">
        <v>1</v>
      </c>
      <c r="D129" s="504">
        <f>C132</f>
        <v>115969939.31698264</v>
      </c>
      <c r="E129" s="71"/>
      <c r="F129" s="60"/>
      <c r="G129" s="71"/>
      <c r="H129" s="60"/>
      <c r="I129" s="60"/>
      <c r="J129" s="69"/>
      <c r="K129" s="69"/>
      <c r="L129" s="70"/>
      <c r="M129" s="72"/>
      <c r="N129" s="71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8" customHeight="1">
      <c r="A130" s="61"/>
      <c r="B130" s="60"/>
      <c r="C130" s="69"/>
      <c r="D130" s="70"/>
      <c r="E130" s="72"/>
      <c r="F130" s="71"/>
      <c r="G130" s="71"/>
      <c r="H130" s="60"/>
      <c r="I130" s="60"/>
      <c r="J130" s="69"/>
      <c r="K130" s="69"/>
      <c r="L130" s="70"/>
      <c r="M130" s="72"/>
      <c r="N130" s="71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8" customHeight="1">
      <c r="A131" s="61"/>
      <c r="B131" s="60"/>
      <c r="C131" s="69"/>
      <c r="D131" s="70"/>
      <c r="E131" s="72"/>
      <c r="F131" s="71"/>
      <c r="G131" s="71"/>
      <c r="H131" s="60"/>
      <c r="I131" s="60"/>
      <c r="J131" s="69"/>
      <c r="K131" s="69"/>
      <c r="L131" s="70"/>
      <c r="M131" s="72"/>
      <c r="N131" s="71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8" customHeight="1">
      <c r="A132" s="61"/>
      <c r="B132" s="220" t="s">
        <v>197</v>
      </c>
      <c r="C132" s="556">
        <f>C14+C23+C43+C51+C72+C93+C104+C116</f>
        <v>115969939.31698264</v>
      </c>
      <c r="D132" s="589"/>
      <c r="E132" s="589"/>
      <c r="F132" s="590"/>
      <c r="G132" s="71"/>
      <c r="H132" s="60"/>
      <c r="I132" s="60"/>
      <c r="J132" s="69"/>
      <c r="K132" s="69"/>
      <c r="L132" s="70"/>
      <c r="M132" s="72"/>
      <c r="N132" s="71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8" customHeight="1">
      <c r="A133" s="61"/>
      <c r="B133" s="60"/>
      <c r="C133" s="69"/>
      <c r="D133" s="70"/>
      <c r="E133" s="72"/>
      <c r="F133" s="71"/>
      <c r="G133" s="71"/>
      <c r="H133" s="60"/>
      <c r="I133" s="60"/>
      <c r="J133" s="69"/>
      <c r="K133" s="69"/>
      <c r="L133" s="70"/>
      <c r="M133" s="72"/>
      <c r="N133" s="71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8" customHeight="1">
      <c r="A134" s="61"/>
      <c r="B134" s="221" t="s">
        <v>198</v>
      </c>
      <c r="C134" s="557">
        <f>C132/$J$17</f>
        <v>55711.923192247617</v>
      </c>
      <c r="D134" s="589"/>
      <c r="E134" s="589"/>
      <c r="F134" s="590"/>
      <c r="G134" s="71"/>
      <c r="H134" s="60"/>
      <c r="I134" s="60"/>
      <c r="J134" s="69"/>
      <c r="K134" s="69"/>
      <c r="L134" s="70"/>
      <c r="M134" s="72"/>
      <c r="N134" s="71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8" customHeight="1">
      <c r="A135" s="61"/>
      <c r="B135" s="60"/>
      <c r="C135" s="69"/>
      <c r="D135" s="70"/>
      <c r="E135" s="72"/>
      <c r="F135" s="71"/>
      <c r="G135" s="71"/>
      <c r="H135" s="60"/>
      <c r="I135" s="60"/>
      <c r="J135" s="69"/>
      <c r="K135" s="69"/>
      <c r="L135" s="70"/>
      <c r="M135" s="72"/>
      <c r="N135" s="71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8" customHeight="1">
      <c r="A136" s="61"/>
      <c r="B136" s="60"/>
      <c r="C136" s="69"/>
      <c r="D136" s="70"/>
      <c r="E136" s="72"/>
      <c r="F136" s="71"/>
      <c r="G136" s="71"/>
      <c r="H136" s="60"/>
      <c r="I136" s="60"/>
      <c r="J136" s="69"/>
      <c r="K136" s="69"/>
      <c r="L136" s="70"/>
      <c r="M136" s="72"/>
      <c r="N136" s="71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8" customHeight="1">
      <c r="A137" s="61"/>
      <c r="B137" s="60"/>
      <c r="C137" s="69"/>
      <c r="D137" s="70"/>
      <c r="E137" s="72"/>
      <c r="F137" s="71"/>
      <c r="G137" s="71"/>
      <c r="H137" s="60"/>
      <c r="I137" s="60"/>
      <c r="J137" s="69"/>
      <c r="K137" s="69"/>
      <c r="L137" s="70"/>
      <c r="M137" s="72"/>
      <c r="N137" s="71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8" customHeight="1">
      <c r="A138" s="61"/>
      <c r="B138" s="60"/>
      <c r="C138" s="69"/>
      <c r="D138" s="70"/>
      <c r="E138" s="72"/>
      <c r="F138" s="71"/>
      <c r="G138" s="71"/>
      <c r="H138" s="60"/>
      <c r="I138" s="60"/>
      <c r="J138" s="69"/>
      <c r="K138" s="69"/>
      <c r="L138" s="70"/>
      <c r="M138" s="72"/>
      <c r="N138" s="71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8" customHeight="1">
      <c r="A139" s="61"/>
      <c r="B139" s="60"/>
      <c r="C139" s="69"/>
      <c r="D139" s="70"/>
      <c r="E139" s="72"/>
      <c r="F139" s="71"/>
      <c r="G139" s="71"/>
      <c r="H139" s="60"/>
      <c r="I139" s="60"/>
      <c r="J139" s="69"/>
      <c r="K139" s="69"/>
      <c r="L139" s="70"/>
      <c r="M139" s="72"/>
      <c r="N139" s="71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8" customHeight="1">
      <c r="A140" s="61"/>
      <c r="B140" s="60"/>
      <c r="C140" s="69"/>
      <c r="D140" s="70"/>
      <c r="E140" s="72"/>
      <c r="F140" s="71"/>
      <c r="G140" s="71"/>
      <c r="H140" s="60"/>
      <c r="I140" s="60"/>
      <c r="J140" s="69"/>
      <c r="K140" s="69"/>
      <c r="L140" s="70"/>
      <c r="M140" s="72"/>
      <c r="N140" s="71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8" customHeight="1">
      <c r="A141" s="61"/>
      <c r="B141" s="60"/>
      <c r="C141" s="69"/>
      <c r="D141" s="70"/>
      <c r="E141" s="72"/>
      <c r="F141" s="71"/>
      <c r="G141" s="71"/>
      <c r="H141" s="60"/>
      <c r="I141" s="60"/>
      <c r="J141" s="69"/>
      <c r="K141" s="69"/>
      <c r="L141" s="70"/>
      <c r="M141" s="72"/>
      <c r="N141" s="71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8" customHeight="1">
      <c r="A142" s="61"/>
      <c r="B142" s="60"/>
      <c r="C142" s="69"/>
      <c r="D142" s="70"/>
      <c r="E142" s="72"/>
      <c r="F142" s="71"/>
      <c r="G142" s="71"/>
      <c r="H142" s="60"/>
      <c r="I142" s="60"/>
      <c r="J142" s="69"/>
      <c r="K142" s="69"/>
      <c r="L142" s="70"/>
      <c r="M142" s="72"/>
      <c r="N142" s="71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8" customHeight="1">
      <c r="A143" s="61"/>
      <c r="B143" s="60"/>
      <c r="C143" s="69"/>
      <c r="D143" s="70"/>
      <c r="E143" s="72"/>
      <c r="F143" s="71"/>
      <c r="G143" s="71"/>
      <c r="H143" s="60"/>
      <c r="I143" s="60"/>
      <c r="J143" s="69"/>
      <c r="K143" s="69"/>
      <c r="L143" s="70"/>
      <c r="M143" s="72"/>
      <c r="N143" s="71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8" customHeight="1">
      <c r="A144" s="61"/>
      <c r="B144" s="60"/>
      <c r="C144" s="69"/>
      <c r="D144" s="70"/>
      <c r="E144" s="72"/>
      <c r="F144" s="71"/>
      <c r="G144" s="71"/>
      <c r="H144" s="60"/>
      <c r="I144" s="60"/>
      <c r="J144" s="69"/>
      <c r="K144" s="69"/>
      <c r="L144" s="70"/>
      <c r="M144" s="72"/>
      <c r="N144" s="71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8" customHeight="1">
      <c r="A145" s="61"/>
      <c r="B145" s="60"/>
      <c r="C145" s="69"/>
      <c r="D145" s="70"/>
      <c r="E145" s="72"/>
      <c r="F145" s="71"/>
      <c r="G145" s="71"/>
      <c r="H145" s="60"/>
      <c r="I145" s="60"/>
      <c r="J145" s="69"/>
      <c r="K145" s="69"/>
      <c r="L145" s="70"/>
      <c r="M145" s="72"/>
      <c r="N145" s="71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8" customHeight="1">
      <c r="A146" s="61"/>
      <c r="B146" s="60"/>
      <c r="C146" s="69"/>
      <c r="D146" s="70"/>
      <c r="E146" s="72"/>
      <c r="F146" s="71"/>
      <c r="G146" s="71"/>
      <c r="H146" s="60"/>
      <c r="I146" s="60"/>
      <c r="J146" s="69"/>
      <c r="K146" s="69"/>
      <c r="L146" s="70"/>
      <c r="M146" s="72"/>
      <c r="N146" s="71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8" customHeight="1">
      <c r="A147" s="61"/>
      <c r="B147" s="60"/>
      <c r="C147" s="69"/>
      <c r="D147" s="70"/>
      <c r="E147" s="72"/>
      <c r="F147" s="71"/>
      <c r="G147" s="71"/>
      <c r="H147" s="60"/>
      <c r="I147" s="60"/>
      <c r="J147" s="69"/>
      <c r="K147" s="69"/>
      <c r="L147" s="70"/>
      <c r="M147" s="72"/>
      <c r="N147" s="71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8" customHeight="1">
      <c r="A148" s="61"/>
      <c r="B148" s="60"/>
      <c r="C148" s="69"/>
      <c r="D148" s="70"/>
      <c r="E148" s="72"/>
      <c r="F148" s="71"/>
      <c r="G148" s="71"/>
      <c r="H148" s="60"/>
      <c r="I148" s="60"/>
      <c r="J148" s="69"/>
      <c r="K148" s="69"/>
      <c r="L148" s="70"/>
      <c r="M148" s="72"/>
      <c r="N148" s="71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8" customHeight="1">
      <c r="A149" s="61"/>
      <c r="B149" s="60"/>
      <c r="C149" s="69"/>
      <c r="D149" s="70"/>
      <c r="E149" s="72"/>
      <c r="F149" s="71"/>
      <c r="G149" s="71"/>
      <c r="H149" s="60"/>
      <c r="I149" s="60"/>
      <c r="J149" s="69"/>
      <c r="K149" s="69"/>
      <c r="L149" s="70"/>
      <c r="M149" s="72"/>
      <c r="N149" s="71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8" customHeight="1">
      <c r="A150" s="61"/>
      <c r="B150" s="60"/>
      <c r="C150" s="69"/>
      <c r="D150" s="70"/>
      <c r="E150" s="72"/>
      <c r="F150" s="71"/>
      <c r="G150" s="71"/>
      <c r="H150" s="60"/>
      <c r="I150" s="60"/>
      <c r="J150" s="69"/>
      <c r="K150" s="69"/>
      <c r="L150" s="70"/>
      <c r="M150" s="72"/>
      <c r="N150" s="71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8" customHeight="1">
      <c r="A151" s="61"/>
      <c r="B151" s="60"/>
      <c r="C151" s="69"/>
      <c r="D151" s="70"/>
      <c r="E151" s="72"/>
      <c r="F151" s="71"/>
      <c r="G151" s="71"/>
      <c r="H151" s="60"/>
      <c r="I151" s="60"/>
      <c r="J151" s="69"/>
      <c r="K151" s="69"/>
      <c r="L151" s="70"/>
      <c r="M151" s="72"/>
      <c r="N151" s="71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8" customHeight="1">
      <c r="A152" s="61"/>
      <c r="B152" s="60"/>
      <c r="C152" s="69"/>
      <c r="D152" s="70"/>
      <c r="E152" s="72"/>
      <c r="F152" s="71"/>
      <c r="G152" s="71"/>
      <c r="H152" s="60"/>
      <c r="I152" s="60"/>
      <c r="J152" s="69"/>
      <c r="K152" s="69"/>
      <c r="L152" s="70"/>
      <c r="M152" s="72"/>
      <c r="N152" s="71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8" customHeight="1">
      <c r="A153" s="61"/>
      <c r="B153" s="60"/>
      <c r="C153" s="69"/>
      <c r="D153" s="70"/>
      <c r="E153" s="72"/>
      <c r="F153" s="71"/>
      <c r="G153" s="71"/>
      <c r="H153" s="60"/>
      <c r="I153" s="60"/>
      <c r="J153" s="69"/>
      <c r="K153" s="69"/>
      <c r="L153" s="70"/>
      <c r="M153" s="72"/>
      <c r="N153" s="71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8" customHeight="1">
      <c r="A154" s="61"/>
      <c r="B154" s="60"/>
      <c r="C154" s="69"/>
      <c r="D154" s="70"/>
      <c r="E154" s="72"/>
      <c r="F154" s="71"/>
      <c r="G154" s="71"/>
      <c r="H154" s="60"/>
      <c r="I154" s="60"/>
      <c r="J154" s="69"/>
      <c r="K154" s="69"/>
      <c r="L154" s="70"/>
      <c r="M154" s="72"/>
      <c r="N154" s="71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8" customHeight="1">
      <c r="A155" s="61"/>
      <c r="B155" s="60"/>
      <c r="C155" s="69"/>
      <c r="D155" s="70"/>
      <c r="E155" s="72"/>
      <c r="F155" s="71"/>
      <c r="G155" s="71"/>
      <c r="H155" s="60"/>
      <c r="I155" s="60"/>
      <c r="J155" s="69"/>
      <c r="K155" s="69"/>
      <c r="L155" s="70"/>
      <c r="M155" s="72"/>
      <c r="N155" s="71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8" customHeight="1">
      <c r="A156" s="61"/>
      <c r="B156" s="60"/>
      <c r="C156" s="69"/>
      <c r="D156" s="70"/>
      <c r="E156" s="72"/>
      <c r="F156" s="71"/>
      <c r="G156" s="71"/>
      <c r="H156" s="60"/>
      <c r="I156" s="60"/>
      <c r="J156" s="69"/>
      <c r="K156" s="69"/>
      <c r="L156" s="70"/>
      <c r="M156" s="72"/>
      <c r="N156" s="71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8" customHeight="1">
      <c r="A157" s="61"/>
      <c r="B157" s="60"/>
      <c r="C157" s="69"/>
      <c r="D157" s="70"/>
      <c r="E157" s="72"/>
      <c r="F157" s="71"/>
      <c r="G157" s="71"/>
      <c r="H157" s="60"/>
      <c r="I157" s="60"/>
      <c r="J157" s="69"/>
      <c r="K157" s="69"/>
      <c r="L157" s="70"/>
      <c r="M157" s="72"/>
      <c r="N157" s="71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8" customHeight="1">
      <c r="A158" s="61"/>
      <c r="B158" s="60"/>
      <c r="C158" s="69"/>
      <c r="D158" s="70"/>
      <c r="E158" s="72"/>
      <c r="F158" s="71"/>
      <c r="G158" s="71"/>
      <c r="H158" s="60"/>
      <c r="I158" s="60"/>
      <c r="J158" s="69"/>
      <c r="K158" s="69"/>
      <c r="L158" s="70"/>
      <c r="M158" s="72"/>
      <c r="N158" s="71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8" customHeight="1">
      <c r="A159" s="61"/>
      <c r="B159" s="60"/>
      <c r="C159" s="69"/>
      <c r="D159" s="70"/>
      <c r="E159" s="72"/>
      <c r="F159" s="71"/>
      <c r="G159" s="71"/>
      <c r="H159" s="60"/>
      <c r="I159" s="60"/>
      <c r="J159" s="69"/>
      <c r="K159" s="69"/>
      <c r="L159" s="70"/>
      <c r="M159" s="72"/>
      <c r="N159" s="71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8" customHeight="1">
      <c r="A160" s="61"/>
      <c r="B160" s="60"/>
      <c r="C160" s="69"/>
      <c r="D160" s="70"/>
      <c r="E160" s="72"/>
      <c r="F160" s="71"/>
      <c r="G160" s="71"/>
      <c r="H160" s="60"/>
      <c r="I160" s="60"/>
      <c r="J160" s="69"/>
      <c r="K160" s="69"/>
      <c r="L160" s="70"/>
      <c r="M160" s="72"/>
      <c r="N160" s="71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8" customHeight="1">
      <c r="A161" s="61"/>
      <c r="B161" s="60"/>
      <c r="C161" s="69"/>
      <c r="D161" s="70"/>
      <c r="E161" s="72"/>
      <c r="F161" s="71"/>
      <c r="G161" s="71"/>
      <c r="H161" s="60"/>
      <c r="I161" s="60"/>
      <c r="J161" s="69"/>
      <c r="K161" s="69"/>
      <c r="L161" s="70"/>
      <c r="M161" s="72"/>
      <c r="N161" s="71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8" customHeight="1">
      <c r="A162" s="61"/>
      <c r="B162" s="60"/>
      <c r="C162" s="69"/>
      <c r="D162" s="70"/>
      <c r="E162" s="72"/>
      <c r="F162" s="71"/>
      <c r="G162" s="71"/>
      <c r="H162" s="60"/>
      <c r="I162" s="60"/>
      <c r="J162" s="69"/>
      <c r="K162" s="69"/>
      <c r="L162" s="70"/>
      <c r="M162" s="72"/>
      <c r="N162" s="71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8" customHeight="1">
      <c r="A163" s="61"/>
      <c r="B163" s="60"/>
      <c r="C163" s="69"/>
      <c r="D163" s="70"/>
      <c r="E163" s="72"/>
      <c r="F163" s="71"/>
      <c r="G163" s="71"/>
      <c r="H163" s="60"/>
      <c r="I163" s="60"/>
      <c r="J163" s="69"/>
      <c r="K163" s="69"/>
      <c r="L163" s="70"/>
      <c r="M163" s="72"/>
      <c r="N163" s="71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8" customHeight="1">
      <c r="A164" s="61"/>
      <c r="B164" s="60"/>
      <c r="C164" s="69"/>
      <c r="D164" s="70"/>
      <c r="E164" s="72"/>
      <c r="F164" s="71"/>
      <c r="G164" s="71"/>
      <c r="H164" s="60"/>
      <c r="I164" s="60"/>
      <c r="J164" s="69"/>
      <c r="K164" s="69"/>
      <c r="L164" s="70"/>
      <c r="M164" s="72"/>
      <c r="N164" s="71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8" customHeight="1">
      <c r="A165" s="61"/>
      <c r="B165" s="60"/>
      <c r="C165" s="69"/>
      <c r="D165" s="70"/>
      <c r="E165" s="72"/>
      <c r="F165" s="71"/>
      <c r="G165" s="71"/>
      <c r="H165" s="60"/>
      <c r="I165" s="60"/>
      <c r="J165" s="69"/>
      <c r="K165" s="69"/>
      <c r="L165" s="70"/>
      <c r="M165" s="72"/>
      <c r="N165" s="71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8" customHeight="1">
      <c r="A166" s="61"/>
      <c r="B166" s="60"/>
      <c r="C166" s="69"/>
      <c r="D166" s="70"/>
      <c r="E166" s="72"/>
      <c r="F166" s="71"/>
      <c r="G166" s="71"/>
      <c r="H166" s="60"/>
      <c r="I166" s="60"/>
      <c r="J166" s="69"/>
      <c r="K166" s="69"/>
      <c r="L166" s="70"/>
      <c r="M166" s="72"/>
      <c r="N166" s="71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8" customHeight="1">
      <c r="A167" s="61"/>
      <c r="B167" s="60"/>
      <c r="C167" s="69"/>
      <c r="D167" s="70"/>
      <c r="E167" s="72"/>
      <c r="F167" s="71"/>
      <c r="G167" s="71"/>
      <c r="H167" s="60"/>
      <c r="I167" s="60"/>
      <c r="J167" s="69"/>
      <c r="K167" s="69"/>
      <c r="L167" s="70"/>
      <c r="M167" s="72"/>
      <c r="N167" s="71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8" customHeight="1">
      <c r="A168" s="61"/>
      <c r="B168" s="60"/>
      <c r="C168" s="69"/>
      <c r="D168" s="70"/>
      <c r="E168" s="72"/>
      <c r="F168" s="71"/>
      <c r="G168" s="71"/>
      <c r="H168" s="60"/>
      <c r="I168" s="60"/>
      <c r="J168" s="69"/>
      <c r="K168" s="69"/>
      <c r="L168" s="70"/>
      <c r="M168" s="72"/>
      <c r="N168" s="71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8" customHeight="1">
      <c r="A169" s="61"/>
      <c r="B169" s="60"/>
      <c r="C169" s="69"/>
      <c r="D169" s="70"/>
      <c r="E169" s="72"/>
      <c r="F169" s="71"/>
      <c r="G169" s="71"/>
      <c r="H169" s="60"/>
      <c r="I169" s="60"/>
      <c r="J169" s="69"/>
      <c r="K169" s="69"/>
      <c r="L169" s="70"/>
      <c r="M169" s="72"/>
      <c r="N169" s="71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8" customHeight="1">
      <c r="A170" s="61"/>
      <c r="B170" s="60"/>
      <c r="C170" s="69"/>
      <c r="D170" s="70"/>
      <c r="E170" s="72"/>
      <c r="F170" s="71"/>
      <c r="G170" s="71"/>
      <c r="H170" s="60"/>
      <c r="I170" s="60"/>
      <c r="J170" s="69"/>
      <c r="K170" s="69"/>
      <c r="L170" s="70"/>
      <c r="M170" s="72"/>
      <c r="N170" s="71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8" customHeight="1">
      <c r="A171" s="61"/>
      <c r="B171" s="60"/>
      <c r="C171" s="69"/>
      <c r="D171" s="70"/>
      <c r="E171" s="72"/>
      <c r="F171" s="71"/>
      <c r="G171" s="71"/>
      <c r="H171" s="60"/>
      <c r="I171" s="60"/>
      <c r="J171" s="69"/>
      <c r="K171" s="69"/>
      <c r="L171" s="70"/>
      <c r="M171" s="72"/>
      <c r="N171" s="71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8" customHeight="1">
      <c r="A172" s="61"/>
      <c r="B172" s="60"/>
      <c r="C172" s="69"/>
      <c r="D172" s="70"/>
      <c r="E172" s="72"/>
      <c r="F172" s="71"/>
      <c r="G172" s="71"/>
      <c r="H172" s="60"/>
      <c r="I172" s="60"/>
      <c r="J172" s="69"/>
      <c r="K172" s="69"/>
      <c r="L172" s="70"/>
      <c r="M172" s="72"/>
      <c r="N172" s="71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8" customHeight="1">
      <c r="A173" s="61"/>
      <c r="B173" s="60"/>
      <c r="C173" s="69"/>
      <c r="D173" s="70"/>
      <c r="E173" s="72"/>
      <c r="F173" s="71"/>
      <c r="G173" s="71"/>
      <c r="H173" s="60"/>
      <c r="I173" s="60"/>
      <c r="J173" s="69"/>
      <c r="K173" s="69"/>
      <c r="L173" s="70"/>
      <c r="M173" s="72"/>
      <c r="N173" s="71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8" customHeight="1">
      <c r="A174" s="61"/>
      <c r="B174" s="60"/>
      <c r="C174" s="69"/>
      <c r="D174" s="70"/>
      <c r="E174" s="72"/>
      <c r="F174" s="71"/>
      <c r="G174" s="71"/>
      <c r="H174" s="60"/>
      <c r="I174" s="60"/>
      <c r="J174" s="69"/>
      <c r="K174" s="69"/>
      <c r="L174" s="70"/>
      <c r="M174" s="72"/>
      <c r="N174" s="71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8" customHeight="1">
      <c r="A175" s="61"/>
      <c r="B175" s="60"/>
      <c r="C175" s="69"/>
      <c r="D175" s="70"/>
      <c r="E175" s="72"/>
      <c r="F175" s="71"/>
      <c r="G175" s="71"/>
      <c r="H175" s="60"/>
      <c r="I175" s="60"/>
      <c r="J175" s="69"/>
      <c r="K175" s="69"/>
      <c r="L175" s="70"/>
      <c r="M175" s="72"/>
      <c r="N175" s="71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8" customHeight="1">
      <c r="A176" s="61"/>
      <c r="B176" s="60"/>
      <c r="C176" s="69"/>
      <c r="D176" s="70"/>
      <c r="E176" s="72"/>
      <c r="F176" s="71"/>
      <c r="G176" s="71"/>
      <c r="H176" s="60"/>
      <c r="I176" s="60"/>
      <c r="J176" s="69"/>
      <c r="K176" s="69"/>
      <c r="L176" s="70"/>
      <c r="M176" s="72"/>
      <c r="N176" s="71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8" customHeight="1">
      <c r="A177" s="61"/>
      <c r="B177" s="60"/>
      <c r="C177" s="69"/>
      <c r="D177" s="70"/>
      <c r="E177" s="72"/>
      <c r="F177" s="71"/>
      <c r="G177" s="71"/>
      <c r="H177" s="60"/>
      <c r="I177" s="60"/>
      <c r="J177" s="69"/>
      <c r="K177" s="69"/>
      <c r="L177" s="70"/>
      <c r="M177" s="72"/>
      <c r="N177" s="71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8" customHeight="1">
      <c r="A178" s="61"/>
      <c r="B178" s="60"/>
      <c r="C178" s="69"/>
      <c r="D178" s="70"/>
      <c r="E178" s="72"/>
      <c r="F178" s="71"/>
      <c r="G178" s="71"/>
      <c r="H178" s="60"/>
      <c r="I178" s="60"/>
      <c r="J178" s="69"/>
      <c r="K178" s="69"/>
      <c r="L178" s="70"/>
      <c r="M178" s="72"/>
      <c r="N178" s="71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8" customHeight="1">
      <c r="A179" s="61"/>
      <c r="B179" s="60"/>
      <c r="C179" s="69"/>
      <c r="D179" s="70"/>
      <c r="E179" s="72"/>
      <c r="F179" s="71"/>
      <c r="G179" s="71"/>
      <c r="H179" s="60"/>
      <c r="I179" s="60"/>
      <c r="J179" s="69"/>
      <c r="K179" s="69"/>
      <c r="L179" s="70"/>
      <c r="M179" s="72"/>
      <c r="N179" s="71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8" customHeight="1">
      <c r="A180" s="61"/>
      <c r="B180" s="60"/>
      <c r="C180" s="69"/>
      <c r="D180" s="70"/>
      <c r="E180" s="72"/>
      <c r="F180" s="71"/>
      <c r="G180" s="71"/>
      <c r="H180" s="60"/>
      <c r="I180" s="60"/>
      <c r="J180" s="69"/>
      <c r="K180" s="69"/>
      <c r="L180" s="70"/>
      <c r="M180" s="72"/>
      <c r="N180" s="71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8" customHeight="1">
      <c r="A181" s="61"/>
      <c r="B181" s="60"/>
      <c r="C181" s="69"/>
      <c r="D181" s="70"/>
      <c r="E181" s="72"/>
      <c r="F181" s="71"/>
      <c r="G181" s="71"/>
      <c r="H181" s="60"/>
      <c r="I181" s="60"/>
      <c r="J181" s="69"/>
      <c r="K181" s="69"/>
      <c r="L181" s="70"/>
      <c r="M181" s="72"/>
      <c r="N181" s="71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8" customHeight="1">
      <c r="A182" s="61"/>
      <c r="B182" s="60"/>
      <c r="C182" s="69"/>
      <c r="D182" s="70"/>
      <c r="E182" s="72"/>
      <c r="F182" s="71"/>
      <c r="G182" s="71"/>
      <c r="H182" s="60"/>
      <c r="I182" s="60"/>
      <c r="J182" s="69"/>
      <c r="K182" s="69"/>
      <c r="L182" s="70"/>
      <c r="M182" s="72"/>
      <c r="N182" s="71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8" customHeight="1">
      <c r="A183" s="61"/>
      <c r="B183" s="60"/>
      <c r="C183" s="69"/>
      <c r="D183" s="70"/>
      <c r="E183" s="72"/>
      <c r="F183" s="71"/>
      <c r="G183" s="71"/>
      <c r="H183" s="60"/>
      <c r="I183" s="60"/>
      <c r="J183" s="69"/>
      <c r="K183" s="69"/>
      <c r="L183" s="70"/>
      <c r="M183" s="72"/>
      <c r="N183" s="71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8" customHeight="1">
      <c r="A184" s="61"/>
      <c r="B184" s="60"/>
      <c r="C184" s="69"/>
      <c r="D184" s="70"/>
      <c r="E184" s="72"/>
      <c r="F184" s="71"/>
      <c r="G184" s="71"/>
      <c r="H184" s="60"/>
      <c r="I184" s="60"/>
      <c r="J184" s="69"/>
      <c r="K184" s="69"/>
      <c r="L184" s="70"/>
      <c r="M184" s="72"/>
      <c r="N184" s="71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8" customHeight="1">
      <c r="A185" s="61"/>
      <c r="B185" s="60"/>
      <c r="C185" s="69"/>
      <c r="D185" s="70"/>
      <c r="E185" s="72"/>
      <c r="F185" s="71"/>
      <c r="G185" s="71"/>
      <c r="H185" s="60"/>
      <c r="I185" s="60"/>
      <c r="J185" s="69"/>
      <c r="K185" s="69"/>
      <c r="L185" s="70"/>
      <c r="M185" s="72"/>
      <c r="N185" s="71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8" customHeight="1">
      <c r="A186" s="61"/>
      <c r="B186" s="60"/>
      <c r="C186" s="69"/>
      <c r="D186" s="70"/>
      <c r="E186" s="72"/>
      <c r="F186" s="71"/>
      <c r="G186" s="71"/>
      <c r="H186" s="60"/>
      <c r="I186" s="60"/>
      <c r="J186" s="69"/>
      <c r="K186" s="69"/>
      <c r="L186" s="70"/>
      <c r="M186" s="72"/>
      <c r="N186" s="71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8" customHeight="1">
      <c r="A187" s="61"/>
      <c r="B187" s="60"/>
      <c r="C187" s="69"/>
      <c r="D187" s="70"/>
      <c r="E187" s="72"/>
      <c r="F187" s="71"/>
      <c r="G187" s="71"/>
      <c r="H187" s="60"/>
      <c r="I187" s="60"/>
      <c r="J187" s="69"/>
      <c r="K187" s="69"/>
      <c r="L187" s="70"/>
      <c r="M187" s="72"/>
      <c r="N187" s="71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8" customHeight="1">
      <c r="A188" s="61"/>
      <c r="B188" s="60"/>
      <c r="C188" s="69"/>
      <c r="D188" s="70"/>
      <c r="E188" s="72"/>
      <c r="F188" s="71"/>
      <c r="G188" s="71"/>
      <c r="H188" s="60"/>
      <c r="I188" s="60"/>
      <c r="J188" s="69"/>
      <c r="K188" s="69"/>
      <c r="L188" s="70"/>
      <c r="M188" s="72"/>
      <c r="N188" s="71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8" customHeight="1">
      <c r="A189" s="61"/>
      <c r="B189" s="60"/>
      <c r="C189" s="69"/>
      <c r="D189" s="70"/>
      <c r="E189" s="72"/>
      <c r="F189" s="71"/>
      <c r="G189" s="71"/>
      <c r="H189" s="60"/>
      <c r="I189" s="60"/>
      <c r="J189" s="69"/>
      <c r="K189" s="69"/>
      <c r="L189" s="70"/>
      <c r="M189" s="72"/>
      <c r="N189" s="71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8" customHeight="1">
      <c r="A190" s="61"/>
      <c r="B190" s="60"/>
      <c r="C190" s="69"/>
      <c r="D190" s="70"/>
      <c r="E190" s="72"/>
      <c r="F190" s="71"/>
      <c r="G190" s="71"/>
      <c r="H190" s="60"/>
      <c r="I190" s="60"/>
      <c r="J190" s="69"/>
      <c r="K190" s="69"/>
      <c r="L190" s="70"/>
      <c r="M190" s="72"/>
      <c r="N190" s="71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8" customHeight="1">
      <c r="A191" s="61"/>
      <c r="B191" s="60"/>
      <c r="C191" s="69"/>
      <c r="D191" s="70"/>
      <c r="E191" s="72"/>
      <c r="F191" s="71"/>
      <c r="G191" s="71"/>
      <c r="H191" s="60"/>
      <c r="I191" s="60"/>
      <c r="J191" s="69"/>
      <c r="K191" s="69"/>
      <c r="L191" s="70"/>
      <c r="M191" s="72"/>
      <c r="N191" s="71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8" customHeight="1">
      <c r="A192" s="61"/>
      <c r="B192" s="60"/>
      <c r="C192" s="69"/>
      <c r="D192" s="70"/>
      <c r="E192" s="72"/>
      <c r="F192" s="71"/>
      <c r="G192" s="71"/>
      <c r="H192" s="60"/>
      <c r="I192" s="60"/>
      <c r="J192" s="69"/>
      <c r="K192" s="69"/>
      <c r="L192" s="70"/>
      <c r="M192" s="72"/>
      <c r="N192" s="71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8" customHeight="1">
      <c r="A193" s="61"/>
      <c r="B193" s="60"/>
      <c r="C193" s="69"/>
      <c r="D193" s="70"/>
      <c r="E193" s="72"/>
      <c r="F193" s="71"/>
      <c r="G193" s="71"/>
      <c r="H193" s="60"/>
      <c r="I193" s="60"/>
      <c r="J193" s="69"/>
      <c r="K193" s="69"/>
      <c r="L193" s="70"/>
      <c r="M193" s="72"/>
      <c r="N193" s="71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8" customHeight="1">
      <c r="A194" s="61"/>
      <c r="B194" s="60"/>
      <c r="C194" s="69"/>
      <c r="D194" s="70"/>
      <c r="E194" s="72"/>
      <c r="F194" s="71"/>
      <c r="G194" s="71"/>
      <c r="H194" s="60"/>
      <c r="I194" s="60"/>
      <c r="J194" s="69"/>
      <c r="K194" s="69"/>
      <c r="L194" s="70"/>
      <c r="M194" s="72"/>
      <c r="N194" s="71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8" customHeight="1">
      <c r="A195" s="61"/>
      <c r="B195" s="60"/>
      <c r="C195" s="69"/>
      <c r="D195" s="70"/>
      <c r="E195" s="72"/>
      <c r="F195" s="71"/>
      <c r="G195" s="71"/>
      <c r="H195" s="60"/>
      <c r="I195" s="60"/>
      <c r="J195" s="69"/>
      <c r="K195" s="69"/>
      <c r="L195" s="70"/>
      <c r="M195" s="72"/>
      <c r="N195" s="71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8" customHeight="1">
      <c r="A196" s="61"/>
      <c r="B196" s="60"/>
      <c r="C196" s="69"/>
      <c r="D196" s="70"/>
      <c r="E196" s="72"/>
      <c r="F196" s="71"/>
      <c r="G196" s="71"/>
      <c r="H196" s="60"/>
      <c r="I196" s="60"/>
      <c r="J196" s="69"/>
      <c r="K196" s="69"/>
      <c r="L196" s="70"/>
      <c r="M196" s="72"/>
      <c r="N196" s="71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8" customHeight="1">
      <c r="A197" s="61"/>
      <c r="B197" s="60"/>
      <c r="C197" s="69"/>
      <c r="D197" s="70"/>
      <c r="E197" s="72"/>
      <c r="F197" s="71"/>
      <c r="G197" s="71"/>
      <c r="H197" s="60"/>
      <c r="I197" s="60"/>
      <c r="J197" s="69"/>
      <c r="K197" s="69"/>
      <c r="L197" s="70"/>
      <c r="M197" s="72"/>
      <c r="N197" s="71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8" customHeight="1">
      <c r="A198" s="61"/>
      <c r="B198" s="60"/>
      <c r="C198" s="69"/>
      <c r="D198" s="70"/>
      <c r="E198" s="72"/>
      <c r="F198" s="71"/>
      <c r="G198" s="71"/>
      <c r="H198" s="60"/>
      <c r="I198" s="60"/>
      <c r="J198" s="69"/>
      <c r="K198" s="69"/>
      <c r="L198" s="70"/>
      <c r="M198" s="72"/>
      <c r="N198" s="71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8" customHeight="1">
      <c r="A199" s="61"/>
      <c r="B199" s="60"/>
      <c r="C199" s="69"/>
      <c r="D199" s="70"/>
      <c r="E199" s="72"/>
      <c r="F199" s="71"/>
      <c r="G199" s="71"/>
      <c r="H199" s="60"/>
      <c r="I199" s="60"/>
      <c r="J199" s="69"/>
      <c r="K199" s="69"/>
      <c r="L199" s="70"/>
      <c r="M199" s="72"/>
      <c r="N199" s="71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8" customHeight="1">
      <c r="A200" s="61"/>
      <c r="B200" s="60"/>
      <c r="C200" s="69"/>
      <c r="D200" s="70"/>
      <c r="E200" s="72"/>
      <c r="F200" s="71"/>
      <c r="G200" s="71"/>
      <c r="H200" s="60"/>
      <c r="I200" s="60"/>
      <c r="J200" s="69"/>
      <c r="K200" s="69"/>
      <c r="L200" s="70"/>
      <c r="M200" s="72"/>
      <c r="N200" s="71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8" customHeight="1">
      <c r="A201" s="61"/>
      <c r="B201" s="60"/>
      <c r="C201" s="69"/>
      <c r="D201" s="70"/>
      <c r="E201" s="72"/>
      <c r="F201" s="71"/>
      <c r="G201" s="71"/>
      <c r="H201" s="60"/>
      <c r="I201" s="60"/>
      <c r="J201" s="69"/>
      <c r="K201" s="69"/>
      <c r="L201" s="70"/>
      <c r="M201" s="72"/>
      <c r="N201" s="71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8" customHeight="1">
      <c r="A202" s="61"/>
      <c r="B202" s="60"/>
      <c r="C202" s="69"/>
      <c r="D202" s="70"/>
      <c r="E202" s="72"/>
      <c r="F202" s="71"/>
      <c r="G202" s="71"/>
      <c r="H202" s="60"/>
      <c r="I202" s="60"/>
      <c r="J202" s="69"/>
      <c r="K202" s="69"/>
      <c r="L202" s="70"/>
      <c r="M202" s="72"/>
      <c r="N202" s="71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8" customHeight="1">
      <c r="A203" s="61"/>
      <c r="B203" s="60"/>
      <c r="C203" s="69"/>
      <c r="D203" s="70"/>
      <c r="E203" s="72"/>
      <c r="F203" s="71"/>
      <c r="G203" s="71"/>
      <c r="H203" s="60"/>
      <c r="I203" s="60"/>
      <c r="J203" s="69"/>
      <c r="K203" s="69"/>
      <c r="L203" s="70"/>
      <c r="M203" s="72"/>
      <c r="N203" s="71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8" customHeight="1">
      <c r="A204" s="61"/>
      <c r="B204" s="60"/>
      <c r="C204" s="69"/>
      <c r="D204" s="70"/>
      <c r="E204" s="72"/>
      <c r="F204" s="71"/>
      <c r="G204" s="71"/>
      <c r="H204" s="60"/>
      <c r="I204" s="60"/>
      <c r="J204" s="69"/>
      <c r="K204" s="69"/>
      <c r="L204" s="70"/>
      <c r="M204" s="72"/>
      <c r="N204" s="71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8" customHeight="1">
      <c r="A205" s="61"/>
      <c r="B205" s="60"/>
      <c r="C205" s="69"/>
      <c r="D205" s="70"/>
      <c r="E205" s="72"/>
      <c r="F205" s="71"/>
      <c r="G205" s="71"/>
      <c r="H205" s="60"/>
      <c r="I205" s="60"/>
      <c r="J205" s="69"/>
      <c r="K205" s="69"/>
      <c r="L205" s="70"/>
      <c r="M205" s="72"/>
      <c r="N205" s="71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8" customHeight="1">
      <c r="A206" s="61"/>
      <c r="B206" s="60"/>
      <c r="C206" s="69"/>
      <c r="D206" s="70"/>
      <c r="E206" s="72"/>
      <c r="F206" s="71"/>
      <c r="G206" s="71"/>
      <c r="H206" s="60"/>
      <c r="I206" s="60"/>
      <c r="J206" s="69"/>
      <c r="K206" s="69"/>
      <c r="L206" s="70"/>
      <c r="M206" s="72"/>
      <c r="N206" s="71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8" customHeight="1">
      <c r="A207" s="61"/>
      <c r="B207" s="60"/>
      <c r="C207" s="69"/>
      <c r="D207" s="70"/>
      <c r="E207" s="72"/>
      <c r="F207" s="71"/>
      <c r="G207" s="71"/>
      <c r="H207" s="60"/>
      <c r="I207" s="60"/>
      <c r="J207" s="69"/>
      <c r="K207" s="69"/>
      <c r="L207" s="70"/>
      <c r="M207" s="72"/>
      <c r="N207" s="71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8" customHeight="1">
      <c r="A208" s="61"/>
      <c r="B208" s="60"/>
      <c r="C208" s="69"/>
      <c r="D208" s="70"/>
      <c r="E208" s="72"/>
      <c r="F208" s="71"/>
      <c r="G208" s="71"/>
      <c r="H208" s="60"/>
      <c r="I208" s="60"/>
      <c r="J208" s="69"/>
      <c r="K208" s="69"/>
      <c r="L208" s="70"/>
      <c r="M208" s="72"/>
      <c r="N208" s="71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8" customHeight="1">
      <c r="A209" s="61"/>
      <c r="B209" s="60"/>
      <c r="C209" s="69"/>
      <c r="D209" s="70"/>
      <c r="E209" s="72"/>
      <c r="F209" s="71"/>
      <c r="G209" s="71"/>
      <c r="H209" s="60"/>
      <c r="I209" s="60"/>
      <c r="J209" s="69"/>
      <c r="K209" s="69"/>
      <c r="L209" s="70"/>
      <c r="M209" s="72"/>
      <c r="N209" s="71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8" customHeight="1">
      <c r="A210" s="61"/>
      <c r="B210" s="60"/>
      <c r="C210" s="69"/>
      <c r="D210" s="70"/>
      <c r="E210" s="72"/>
      <c r="F210" s="71"/>
      <c r="G210" s="71"/>
      <c r="H210" s="60"/>
      <c r="I210" s="60"/>
      <c r="J210" s="69"/>
      <c r="K210" s="69"/>
      <c r="L210" s="70"/>
      <c r="M210" s="72"/>
      <c r="N210" s="71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8" customHeight="1">
      <c r="A211" s="61"/>
      <c r="B211" s="60"/>
      <c r="C211" s="69"/>
      <c r="D211" s="70"/>
      <c r="E211" s="72"/>
      <c r="F211" s="71"/>
      <c r="G211" s="71"/>
      <c r="H211" s="60"/>
      <c r="I211" s="60"/>
      <c r="J211" s="69"/>
      <c r="K211" s="69"/>
      <c r="L211" s="70"/>
      <c r="M211" s="72"/>
      <c r="N211" s="71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8" customHeight="1">
      <c r="A212" s="61"/>
      <c r="B212" s="60"/>
      <c r="C212" s="69"/>
      <c r="D212" s="70"/>
      <c r="E212" s="72"/>
      <c r="F212" s="71"/>
      <c r="G212" s="71"/>
      <c r="H212" s="60"/>
      <c r="I212" s="60"/>
      <c r="J212" s="69"/>
      <c r="K212" s="69"/>
      <c r="L212" s="70"/>
      <c r="M212" s="72"/>
      <c r="N212" s="71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8" customHeight="1">
      <c r="A213" s="61"/>
      <c r="B213" s="60"/>
      <c r="C213" s="69"/>
      <c r="D213" s="70"/>
      <c r="E213" s="72"/>
      <c r="F213" s="71"/>
      <c r="G213" s="71"/>
      <c r="H213" s="60"/>
      <c r="I213" s="60"/>
      <c r="J213" s="69"/>
      <c r="K213" s="69"/>
      <c r="L213" s="70"/>
      <c r="M213" s="72"/>
      <c r="N213" s="71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8" customHeight="1">
      <c r="A214" s="61"/>
      <c r="B214" s="60"/>
      <c r="C214" s="69"/>
      <c r="D214" s="70"/>
      <c r="E214" s="72"/>
      <c r="F214" s="71"/>
      <c r="G214" s="71"/>
      <c r="H214" s="60"/>
      <c r="I214" s="60"/>
      <c r="J214" s="69"/>
      <c r="K214" s="69"/>
      <c r="L214" s="70"/>
      <c r="M214" s="72"/>
      <c r="N214" s="71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8" customHeight="1">
      <c r="A215" s="61"/>
      <c r="B215" s="60"/>
      <c r="C215" s="69"/>
      <c r="D215" s="70"/>
      <c r="E215" s="72"/>
      <c r="F215" s="71"/>
      <c r="G215" s="71"/>
      <c r="H215" s="60"/>
      <c r="I215" s="60"/>
      <c r="J215" s="69"/>
      <c r="K215" s="69"/>
      <c r="L215" s="70"/>
      <c r="M215" s="72"/>
      <c r="N215" s="71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8" customHeight="1">
      <c r="A216" s="61"/>
      <c r="B216" s="60"/>
      <c r="C216" s="69"/>
      <c r="D216" s="70"/>
      <c r="E216" s="72"/>
      <c r="F216" s="71"/>
      <c r="G216" s="71"/>
      <c r="H216" s="60"/>
      <c r="I216" s="60"/>
      <c r="J216" s="69"/>
      <c r="K216" s="69"/>
      <c r="L216" s="70"/>
      <c r="M216" s="72"/>
      <c r="N216" s="71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8" customHeight="1">
      <c r="A217" s="61"/>
      <c r="B217" s="60"/>
      <c r="C217" s="69"/>
      <c r="D217" s="70"/>
      <c r="E217" s="72"/>
      <c r="F217" s="71"/>
      <c r="G217" s="71"/>
      <c r="H217" s="60"/>
      <c r="I217" s="60"/>
      <c r="J217" s="69"/>
      <c r="K217" s="69"/>
      <c r="L217" s="70"/>
      <c r="M217" s="72"/>
      <c r="N217" s="71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8" customHeight="1">
      <c r="A218" s="61"/>
      <c r="B218" s="60"/>
      <c r="C218" s="69"/>
      <c r="D218" s="70"/>
      <c r="E218" s="72"/>
      <c r="F218" s="71"/>
      <c r="G218" s="71"/>
      <c r="H218" s="60"/>
      <c r="I218" s="60"/>
      <c r="J218" s="69"/>
      <c r="K218" s="69"/>
      <c r="L218" s="70"/>
      <c r="M218" s="72"/>
      <c r="N218" s="71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8" customHeight="1">
      <c r="A219" s="61"/>
      <c r="B219" s="60"/>
      <c r="C219" s="69"/>
      <c r="D219" s="70"/>
      <c r="E219" s="72"/>
      <c r="F219" s="71"/>
      <c r="G219" s="71"/>
      <c r="H219" s="60"/>
      <c r="I219" s="60"/>
      <c r="J219" s="69"/>
      <c r="K219" s="69"/>
      <c r="L219" s="70"/>
      <c r="M219" s="72"/>
      <c r="N219" s="71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8" customHeight="1">
      <c r="A220" s="61"/>
      <c r="B220" s="60"/>
      <c r="C220" s="69"/>
      <c r="D220" s="70"/>
      <c r="E220" s="72"/>
      <c r="F220" s="71"/>
      <c r="G220" s="71"/>
      <c r="H220" s="60"/>
      <c r="I220" s="60"/>
      <c r="J220" s="69"/>
      <c r="K220" s="69"/>
      <c r="L220" s="70"/>
      <c r="M220" s="72"/>
      <c r="N220" s="71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8" customHeight="1">
      <c r="A221" s="61"/>
      <c r="B221" s="60"/>
      <c r="C221" s="69"/>
      <c r="D221" s="70"/>
      <c r="E221" s="72"/>
      <c r="F221" s="71"/>
      <c r="G221" s="71"/>
      <c r="H221" s="60"/>
      <c r="I221" s="60"/>
      <c r="J221" s="69"/>
      <c r="K221" s="69"/>
      <c r="L221" s="70"/>
      <c r="M221" s="72"/>
      <c r="N221" s="71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8" customHeight="1">
      <c r="A222" s="61"/>
      <c r="B222" s="60"/>
      <c r="C222" s="69"/>
      <c r="D222" s="70"/>
      <c r="E222" s="72"/>
      <c r="F222" s="71"/>
      <c r="G222" s="71"/>
      <c r="H222" s="60"/>
      <c r="I222" s="60"/>
      <c r="J222" s="69"/>
      <c r="K222" s="69"/>
      <c r="L222" s="70"/>
      <c r="M222" s="72"/>
      <c r="N222" s="71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8" customHeight="1">
      <c r="A223" s="61"/>
      <c r="B223" s="60"/>
      <c r="C223" s="69"/>
      <c r="D223" s="70"/>
      <c r="E223" s="72"/>
      <c r="F223" s="71"/>
      <c r="G223" s="71"/>
      <c r="H223" s="60"/>
      <c r="I223" s="60"/>
      <c r="J223" s="69"/>
      <c r="K223" s="69"/>
      <c r="L223" s="70"/>
      <c r="M223" s="72"/>
      <c r="N223" s="71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8" customHeight="1">
      <c r="A224" s="61"/>
      <c r="B224" s="60"/>
      <c r="C224" s="69"/>
      <c r="D224" s="70"/>
      <c r="E224" s="72"/>
      <c r="F224" s="71"/>
      <c r="G224" s="71"/>
      <c r="H224" s="60"/>
      <c r="I224" s="60"/>
      <c r="J224" s="69"/>
      <c r="K224" s="69"/>
      <c r="L224" s="70"/>
      <c r="M224" s="72"/>
      <c r="N224" s="71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8" customHeight="1">
      <c r="A225" s="61"/>
      <c r="B225" s="60"/>
      <c r="C225" s="69"/>
      <c r="D225" s="70"/>
      <c r="E225" s="72"/>
      <c r="F225" s="71"/>
      <c r="G225" s="71"/>
      <c r="H225" s="60"/>
      <c r="I225" s="60"/>
      <c r="J225" s="69"/>
      <c r="K225" s="69"/>
      <c r="L225" s="70"/>
      <c r="M225" s="72"/>
      <c r="N225" s="71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8" customHeight="1">
      <c r="A226" s="61"/>
      <c r="B226" s="60"/>
      <c r="C226" s="69"/>
      <c r="D226" s="70"/>
      <c r="E226" s="72"/>
      <c r="F226" s="71"/>
      <c r="G226" s="71"/>
      <c r="H226" s="60"/>
      <c r="I226" s="60"/>
      <c r="J226" s="69"/>
      <c r="K226" s="69"/>
      <c r="L226" s="70"/>
      <c r="M226" s="72"/>
      <c r="N226" s="71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ht="18" customHeight="1">
      <c r="A227" s="61"/>
      <c r="B227" s="60"/>
      <c r="C227" s="69"/>
      <c r="D227" s="70"/>
      <c r="E227" s="72"/>
      <c r="F227" s="71"/>
      <c r="G227" s="71"/>
      <c r="H227" s="60"/>
      <c r="I227" s="60"/>
      <c r="J227" s="69"/>
      <c r="K227" s="69"/>
      <c r="L227" s="70"/>
      <c r="M227" s="72"/>
      <c r="N227" s="71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ht="18" customHeight="1">
      <c r="A228" s="61"/>
      <c r="B228" s="60"/>
      <c r="C228" s="69"/>
      <c r="D228" s="70"/>
      <c r="E228" s="72"/>
      <c r="F228" s="71"/>
      <c r="G228" s="71"/>
      <c r="H228" s="60"/>
      <c r="I228" s="60"/>
      <c r="J228" s="69"/>
      <c r="K228" s="69"/>
      <c r="L228" s="70"/>
      <c r="M228" s="72"/>
      <c r="N228" s="71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</row>
    <row r="229" spans="1:28" ht="18" customHeight="1">
      <c r="A229" s="61"/>
      <c r="B229" s="60"/>
      <c r="C229" s="69"/>
      <c r="D229" s="70"/>
      <c r="E229" s="72"/>
      <c r="F229" s="71"/>
      <c r="G229" s="71"/>
      <c r="H229" s="60"/>
      <c r="I229" s="60"/>
      <c r="J229" s="69"/>
      <c r="K229" s="69"/>
      <c r="L229" s="70"/>
      <c r="M229" s="72"/>
      <c r="N229" s="71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</row>
    <row r="230" spans="1:28" ht="18" customHeight="1">
      <c r="A230" s="61"/>
      <c r="B230" s="60"/>
      <c r="C230" s="69"/>
      <c r="D230" s="70"/>
      <c r="E230" s="72"/>
      <c r="F230" s="71"/>
      <c r="G230" s="71"/>
      <c r="H230" s="60"/>
      <c r="I230" s="60"/>
      <c r="J230" s="69"/>
      <c r="K230" s="69"/>
      <c r="L230" s="70"/>
      <c r="M230" s="72"/>
      <c r="N230" s="71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</row>
    <row r="231" spans="1:28" ht="18" customHeight="1">
      <c r="A231" s="61"/>
      <c r="B231" s="60"/>
      <c r="C231" s="69"/>
      <c r="D231" s="70"/>
      <c r="E231" s="72"/>
      <c r="F231" s="71"/>
      <c r="G231" s="71"/>
      <c r="H231" s="60"/>
      <c r="I231" s="60"/>
      <c r="J231" s="69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</row>
    <row r="232" spans="1:28" ht="18" customHeight="1">
      <c r="A232" s="61"/>
      <c r="B232" s="60"/>
      <c r="C232" s="69"/>
      <c r="D232" s="70"/>
      <c r="E232" s="72"/>
      <c r="F232" s="71"/>
      <c r="G232" s="71"/>
      <c r="H232" s="60"/>
      <c r="I232" s="60"/>
      <c r="J232" s="69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</row>
    <row r="233" spans="1:28" ht="18" customHeight="1">
      <c r="A233" s="61"/>
      <c r="B233" s="60"/>
      <c r="C233" s="69"/>
      <c r="D233" s="70"/>
      <c r="E233" s="72"/>
      <c r="F233" s="71"/>
      <c r="G233" s="71"/>
      <c r="H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</row>
    <row r="234" spans="1:28" ht="18" customHeight="1">
      <c r="A234" s="61"/>
      <c r="B234" s="60"/>
      <c r="C234" s="69"/>
      <c r="D234" s="70"/>
      <c r="E234" s="72"/>
      <c r="F234" s="71"/>
      <c r="G234" s="71"/>
      <c r="H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</row>
    <row r="235" spans="1:28" ht="18" customHeight="1">
      <c r="A235" s="61"/>
      <c r="B235" s="60"/>
      <c r="C235" s="69"/>
      <c r="D235" s="70"/>
      <c r="E235" s="72"/>
      <c r="F235" s="71"/>
      <c r="G235" s="71"/>
      <c r="H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</row>
    <row r="236" spans="1:28" ht="18" customHeight="1">
      <c r="A236" s="61"/>
      <c r="B236" s="60"/>
      <c r="C236" s="69"/>
      <c r="D236" s="70"/>
      <c r="E236" s="72"/>
      <c r="F236" s="71"/>
      <c r="G236" s="71"/>
      <c r="H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</row>
    <row r="237" spans="1:28" ht="18" customHeight="1">
      <c r="A237" s="61"/>
      <c r="B237" s="60"/>
      <c r="C237" s="69"/>
      <c r="D237" s="70"/>
      <c r="E237" s="72"/>
      <c r="F237" s="71"/>
      <c r="G237" s="71"/>
      <c r="H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</row>
    <row r="238" spans="1:28" ht="18" customHeight="1">
      <c r="A238" s="61"/>
      <c r="B238" s="60"/>
      <c r="C238" s="69"/>
      <c r="D238" s="70"/>
      <c r="E238" s="72"/>
      <c r="F238" s="71"/>
      <c r="G238" s="71"/>
      <c r="H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</row>
    <row r="239" spans="1:28" ht="18" customHeight="1">
      <c r="A239" s="61"/>
      <c r="B239" s="60"/>
      <c r="C239" s="69"/>
      <c r="D239" s="70"/>
      <c r="E239" s="72"/>
      <c r="F239" s="71"/>
      <c r="G239" s="71"/>
      <c r="H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</row>
    <row r="240" spans="1:28" ht="18" customHeight="1">
      <c r="A240" s="61"/>
      <c r="B240" s="60"/>
      <c r="C240" s="69"/>
      <c r="D240" s="70"/>
      <c r="E240" s="72"/>
      <c r="F240" s="71"/>
      <c r="G240" s="71"/>
      <c r="H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</row>
    <row r="241" spans="1:28" ht="18" customHeight="1">
      <c r="A241" s="61"/>
      <c r="B241" s="60"/>
      <c r="C241" s="69"/>
      <c r="D241" s="70"/>
      <c r="E241" s="72"/>
      <c r="F241" s="71"/>
      <c r="G241" s="71"/>
      <c r="H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</row>
    <row r="242" spans="1:28" ht="18" customHeight="1">
      <c r="A242" s="61"/>
      <c r="B242" s="60"/>
      <c r="C242" s="69"/>
      <c r="D242" s="70"/>
      <c r="E242" s="72"/>
      <c r="F242" s="71"/>
      <c r="G242" s="71"/>
      <c r="H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</row>
    <row r="243" spans="1:28" ht="18" customHeight="1">
      <c r="A243" s="61"/>
      <c r="B243" s="60"/>
      <c r="C243" s="69"/>
      <c r="D243" s="70"/>
      <c r="E243" s="72"/>
      <c r="F243" s="71"/>
      <c r="G243" s="71"/>
      <c r="H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</row>
    <row r="244" spans="1:28" ht="18" customHeight="1">
      <c r="A244" s="61"/>
      <c r="B244" s="60"/>
      <c r="C244" s="69"/>
      <c r="D244" s="70"/>
      <c r="E244" s="72"/>
      <c r="F244" s="71"/>
      <c r="G244" s="71"/>
      <c r="H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</row>
    <row r="245" spans="1:28" ht="18" customHeight="1">
      <c r="A245" s="61"/>
      <c r="B245" s="60"/>
      <c r="C245" s="69"/>
      <c r="D245" s="70"/>
      <c r="E245" s="72"/>
      <c r="F245" s="71"/>
      <c r="G245" s="71"/>
      <c r="H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</row>
    <row r="246" spans="1:28" ht="15.75" customHeight="1">
      <c r="B246" s="60"/>
      <c r="C246" s="69"/>
      <c r="D246" s="70"/>
      <c r="E246" s="72"/>
      <c r="F246" s="71"/>
      <c r="Q246" s="60"/>
      <c r="R246" s="60"/>
    </row>
    <row r="247" spans="1:28" ht="15.75" customHeight="1">
      <c r="B247" s="60"/>
      <c r="C247" s="69"/>
      <c r="D247" s="70"/>
      <c r="E247" s="72"/>
      <c r="F247" s="71"/>
      <c r="Q247" s="60"/>
      <c r="R247" s="60"/>
    </row>
    <row r="248" spans="1:28" ht="15.75" customHeight="1">
      <c r="B248" s="60"/>
      <c r="C248" s="69"/>
      <c r="D248" s="70"/>
      <c r="E248" s="72"/>
      <c r="F248" s="71"/>
      <c r="Q248" s="60"/>
      <c r="R248" s="60"/>
    </row>
    <row r="249" spans="1:28" ht="15.75" customHeight="1">
      <c r="B249" s="60"/>
      <c r="C249" s="69"/>
      <c r="D249" s="70"/>
      <c r="E249" s="72"/>
      <c r="F249" s="71"/>
      <c r="Q249" s="60"/>
      <c r="R249" s="60"/>
    </row>
    <row r="250" spans="1:28" ht="15.75" customHeight="1">
      <c r="B250" s="60"/>
      <c r="C250" s="69"/>
      <c r="D250" s="70"/>
      <c r="E250" s="72"/>
      <c r="F250" s="71"/>
      <c r="Q250" s="60"/>
      <c r="R250" s="60"/>
    </row>
    <row r="251" spans="1:28" ht="15.75" customHeight="1">
      <c r="B251" s="60"/>
      <c r="C251" s="69"/>
      <c r="D251" s="70"/>
      <c r="E251" s="72"/>
      <c r="F251" s="71"/>
      <c r="Q251" s="60"/>
      <c r="R251" s="60"/>
    </row>
    <row r="252" spans="1:28" ht="15.75" customHeight="1">
      <c r="B252" s="60"/>
      <c r="C252" s="69"/>
      <c r="D252" s="70"/>
      <c r="E252" s="72"/>
      <c r="F252" s="71"/>
      <c r="Q252" s="60"/>
      <c r="R252" s="60"/>
    </row>
    <row r="253" spans="1:28" ht="15.75" customHeight="1">
      <c r="B253" s="60"/>
      <c r="C253" s="69"/>
      <c r="D253" s="70"/>
      <c r="E253" s="72"/>
      <c r="F253" s="71"/>
    </row>
    <row r="254" spans="1:28" ht="15.75" customHeight="1">
      <c r="B254" s="60"/>
      <c r="C254" s="69"/>
      <c r="D254" s="70"/>
      <c r="E254" s="72"/>
      <c r="F254" s="71"/>
    </row>
    <row r="255" spans="1:28" ht="15.75" customHeight="1">
      <c r="B255" s="60"/>
      <c r="C255" s="69"/>
      <c r="D255" s="70"/>
      <c r="E255" s="72"/>
      <c r="F255" s="71"/>
    </row>
    <row r="256" spans="1:28" ht="15.75" customHeight="1">
      <c r="B256" s="60"/>
      <c r="C256" s="69"/>
      <c r="D256" s="70"/>
      <c r="E256" s="72"/>
      <c r="F256" s="71"/>
    </row>
    <row r="257" spans="2:6" ht="15.75" customHeight="1">
      <c r="B257" s="60"/>
      <c r="C257" s="69"/>
      <c r="D257" s="70"/>
      <c r="E257" s="72"/>
      <c r="F257" s="71"/>
    </row>
    <row r="258" spans="2:6" ht="15.75" customHeight="1">
      <c r="B258" s="60"/>
      <c r="C258" s="69"/>
      <c r="D258" s="70"/>
      <c r="E258" s="72"/>
      <c r="F258" s="71"/>
    </row>
    <row r="259" spans="2:6" ht="15.75" customHeight="1">
      <c r="B259" s="60"/>
      <c r="C259" s="69"/>
      <c r="D259" s="70"/>
      <c r="E259" s="72"/>
      <c r="F259" s="71"/>
    </row>
    <row r="260" spans="2:6" ht="15.75" customHeight="1">
      <c r="B260" s="60"/>
      <c r="C260" s="69"/>
      <c r="D260" s="70"/>
      <c r="E260" s="72"/>
      <c r="F260" s="71"/>
    </row>
    <row r="261" spans="2:6" ht="15.75" customHeight="1">
      <c r="B261" s="60"/>
      <c r="C261" s="69"/>
      <c r="D261" s="70"/>
      <c r="E261" s="72"/>
      <c r="F261" s="71"/>
    </row>
    <row r="262" spans="2:6" ht="15.75" customHeight="1">
      <c r="B262" s="60"/>
      <c r="C262" s="69"/>
      <c r="D262" s="70"/>
      <c r="E262" s="72"/>
      <c r="F262" s="71"/>
    </row>
    <row r="263" spans="2:6" ht="15.75" customHeight="1">
      <c r="B263" s="60"/>
      <c r="C263" s="69"/>
      <c r="D263" s="70"/>
      <c r="E263" s="72"/>
      <c r="F263" s="71"/>
    </row>
    <row r="264" spans="2:6" ht="15.75" customHeight="1">
      <c r="B264" s="60"/>
      <c r="C264" s="69"/>
      <c r="D264" s="70"/>
      <c r="E264" s="72"/>
      <c r="F264" s="71"/>
    </row>
    <row r="265" spans="2:6" ht="15.75" customHeight="1">
      <c r="B265" s="60"/>
      <c r="C265" s="69"/>
      <c r="D265" s="70"/>
      <c r="E265" s="72"/>
      <c r="F265" s="71"/>
    </row>
    <row r="266" spans="2:6" ht="15.75" customHeight="1">
      <c r="B266" s="60"/>
      <c r="C266" s="69"/>
      <c r="D266" s="70"/>
      <c r="E266" s="72"/>
      <c r="F266" s="71"/>
    </row>
    <row r="267" spans="2:6" ht="15.75" customHeight="1">
      <c r="B267" s="60"/>
      <c r="C267" s="69"/>
      <c r="D267" s="70"/>
      <c r="E267" s="72"/>
      <c r="F267" s="71"/>
    </row>
    <row r="268" spans="2:6" ht="15.75" customHeight="1">
      <c r="B268" s="60"/>
      <c r="C268" s="69"/>
      <c r="D268" s="70"/>
      <c r="E268" s="72"/>
      <c r="F268" s="71"/>
    </row>
    <row r="269" spans="2:6" ht="15.75" customHeight="1">
      <c r="B269" s="60"/>
      <c r="C269" s="69"/>
      <c r="D269" s="70"/>
      <c r="E269" s="72"/>
      <c r="F269" s="71"/>
    </row>
    <row r="270" spans="2:6" ht="15.75" customHeight="1">
      <c r="B270" s="60"/>
      <c r="C270" s="69"/>
      <c r="D270" s="70"/>
      <c r="E270" s="72"/>
      <c r="F270" s="71"/>
    </row>
    <row r="271" spans="2:6" ht="15.75" customHeight="1">
      <c r="B271" s="60"/>
      <c r="C271" s="69"/>
      <c r="D271" s="70"/>
      <c r="E271" s="72"/>
      <c r="F271" s="71"/>
    </row>
    <row r="272" spans="2:6" ht="15.75" customHeight="1">
      <c r="B272" s="60"/>
      <c r="C272" s="69"/>
      <c r="D272" s="70"/>
      <c r="E272" s="72"/>
      <c r="F272" s="71"/>
    </row>
    <row r="273" spans="2:6" ht="15.75" customHeight="1">
      <c r="B273" s="60"/>
      <c r="C273" s="69"/>
      <c r="D273" s="70"/>
      <c r="E273" s="72"/>
      <c r="F273" s="71"/>
    </row>
    <row r="274" spans="2:6" ht="15.75" customHeight="1">
      <c r="B274" s="60"/>
      <c r="C274" s="69"/>
      <c r="D274" s="70"/>
      <c r="E274" s="72"/>
      <c r="F274" s="71"/>
    </row>
    <row r="275" spans="2:6" ht="15.75" customHeight="1">
      <c r="B275" s="60"/>
      <c r="C275" s="69"/>
      <c r="D275" s="70"/>
      <c r="E275" s="72"/>
      <c r="F275" s="71"/>
    </row>
    <row r="276" spans="2:6" ht="15.75" customHeight="1">
      <c r="B276" s="60"/>
      <c r="C276" s="69"/>
      <c r="D276" s="70"/>
      <c r="E276" s="72"/>
      <c r="F276" s="71"/>
    </row>
    <row r="277" spans="2:6" ht="15.75" customHeight="1">
      <c r="B277" s="60"/>
      <c r="C277" s="69"/>
      <c r="D277" s="70"/>
      <c r="E277" s="72"/>
      <c r="F277" s="71"/>
    </row>
    <row r="278" spans="2:6" ht="15.75" customHeight="1">
      <c r="B278" s="60"/>
      <c r="C278" s="69"/>
      <c r="D278" s="70"/>
      <c r="E278" s="72"/>
      <c r="F278" s="71"/>
    </row>
    <row r="279" spans="2:6" ht="15.75" customHeight="1">
      <c r="B279" s="60"/>
      <c r="C279" s="69"/>
      <c r="D279" s="70"/>
      <c r="E279" s="72"/>
      <c r="F279" s="71"/>
    </row>
    <row r="280" spans="2:6" ht="15.75" customHeight="1">
      <c r="B280" s="60"/>
      <c r="C280" s="69"/>
      <c r="D280" s="70"/>
      <c r="E280" s="72"/>
      <c r="F280" s="71"/>
    </row>
    <row r="281" spans="2:6" ht="15.75" customHeight="1">
      <c r="B281" s="60"/>
      <c r="C281" s="69"/>
      <c r="D281" s="70"/>
      <c r="E281" s="72"/>
      <c r="F281" s="71"/>
    </row>
    <row r="282" spans="2:6" ht="15.75" customHeight="1">
      <c r="B282" s="60"/>
      <c r="C282" s="69"/>
      <c r="D282" s="70"/>
      <c r="E282" s="72"/>
      <c r="F282" s="71"/>
    </row>
    <row r="283" spans="2:6" ht="15.75" customHeight="1">
      <c r="B283" s="60"/>
      <c r="C283" s="69"/>
      <c r="D283" s="70"/>
      <c r="E283" s="72"/>
      <c r="F283" s="71"/>
    </row>
    <row r="284" spans="2:6" ht="15.75" customHeight="1">
      <c r="B284" s="60"/>
      <c r="C284" s="69"/>
      <c r="D284" s="70"/>
      <c r="E284" s="72"/>
      <c r="F284" s="71"/>
    </row>
    <row r="285" spans="2:6" ht="15.75" customHeight="1">
      <c r="B285" s="60"/>
      <c r="C285" s="69"/>
      <c r="D285" s="70"/>
      <c r="E285" s="72"/>
      <c r="F285" s="71"/>
    </row>
    <row r="286" spans="2:6" ht="15.75" customHeight="1">
      <c r="B286" s="60"/>
      <c r="C286" s="69"/>
      <c r="D286" s="70"/>
      <c r="E286" s="72"/>
      <c r="F286" s="71"/>
    </row>
    <row r="287" spans="2:6" ht="15.75" customHeight="1">
      <c r="B287" s="60"/>
      <c r="C287" s="69"/>
      <c r="D287" s="70"/>
      <c r="E287" s="72"/>
      <c r="F287" s="71"/>
    </row>
    <row r="288" spans="2:6" ht="15.75" customHeight="1">
      <c r="B288" s="60"/>
      <c r="C288" s="69"/>
      <c r="D288" s="70"/>
      <c r="E288" s="72"/>
      <c r="F288" s="71"/>
    </row>
    <row r="289" spans="2:6" ht="15.75" customHeight="1">
      <c r="B289" s="60"/>
      <c r="C289" s="69"/>
      <c r="D289" s="70"/>
      <c r="E289" s="72"/>
      <c r="F289" s="71"/>
    </row>
    <row r="290" spans="2:6" ht="15.75" customHeight="1">
      <c r="B290" s="60"/>
      <c r="C290" s="69"/>
      <c r="D290" s="70"/>
      <c r="E290" s="72"/>
      <c r="F290" s="71"/>
    </row>
    <row r="291" spans="2:6" ht="15.75" customHeight="1">
      <c r="B291" s="60"/>
      <c r="C291" s="69"/>
      <c r="D291" s="70"/>
      <c r="E291" s="72"/>
      <c r="F291" s="71"/>
    </row>
    <row r="292" spans="2:6" ht="15.75" customHeight="1">
      <c r="B292" s="60"/>
      <c r="C292" s="69"/>
      <c r="D292" s="70"/>
      <c r="E292" s="72"/>
      <c r="F292" s="71"/>
    </row>
    <row r="293" spans="2:6" ht="15.75" customHeight="1">
      <c r="B293" s="60"/>
      <c r="C293" s="69"/>
      <c r="D293" s="70"/>
      <c r="E293" s="72"/>
      <c r="F293" s="71"/>
    </row>
    <row r="294" spans="2:6" ht="15.75" customHeight="1">
      <c r="B294" s="60"/>
      <c r="C294" s="69"/>
      <c r="D294" s="70"/>
      <c r="E294" s="72"/>
      <c r="F294" s="71"/>
    </row>
    <row r="295" spans="2:6" ht="15.75" customHeight="1">
      <c r="B295" s="60"/>
      <c r="C295" s="69"/>
      <c r="D295" s="70"/>
      <c r="E295" s="72"/>
      <c r="F295" s="71"/>
    </row>
    <row r="296" spans="2:6" ht="15.75" customHeight="1">
      <c r="B296" s="60"/>
      <c r="C296" s="69"/>
      <c r="D296" s="70"/>
      <c r="E296" s="72"/>
      <c r="F296" s="71"/>
    </row>
    <row r="297" spans="2:6" ht="15.75" customHeight="1">
      <c r="B297" s="60"/>
      <c r="C297" s="69"/>
      <c r="D297" s="70"/>
      <c r="E297" s="72"/>
      <c r="F297" s="71"/>
    </row>
    <row r="298" spans="2:6" ht="15.75" customHeight="1">
      <c r="B298" s="60"/>
      <c r="C298" s="69"/>
      <c r="D298" s="70"/>
      <c r="E298" s="72"/>
      <c r="F298" s="71"/>
    </row>
    <row r="299" spans="2:6" ht="15.75" customHeight="1">
      <c r="B299" s="60"/>
      <c r="C299" s="69"/>
      <c r="D299" s="70"/>
      <c r="E299" s="72"/>
      <c r="F299" s="71"/>
    </row>
    <row r="300" spans="2:6" ht="15.75" customHeight="1">
      <c r="B300" s="60"/>
      <c r="C300" s="69"/>
      <c r="D300" s="70"/>
      <c r="E300" s="72"/>
      <c r="F300" s="71"/>
    </row>
    <row r="301" spans="2:6" ht="15.75" customHeight="1">
      <c r="B301" s="60"/>
      <c r="C301" s="69"/>
      <c r="D301" s="70"/>
      <c r="E301" s="72"/>
      <c r="F301" s="71"/>
    </row>
    <row r="302" spans="2:6" ht="15.75" customHeight="1">
      <c r="B302" s="60"/>
      <c r="C302" s="69"/>
      <c r="D302" s="70"/>
      <c r="E302" s="72"/>
      <c r="F302" s="71"/>
    </row>
    <row r="303" spans="2:6" ht="15.75" customHeight="1">
      <c r="B303" s="60"/>
      <c r="C303" s="69"/>
      <c r="D303" s="70"/>
      <c r="E303" s="72"/>
      <c r="F303" s="71"/>
    </row>
    <row r="304" spans="2:6" ht="15.75" customHeight="1">
      <c r="B304" s="60"/>
      <c r="C304" s="69"/>
      <c r="D304" s="70"/>
      <c r="E304" s="72"/>
      <c r="F304" s="71"/>
    </row>
    <row r="305" spans="2:6" ht="15.75" customHeight="1">
      <c r="B305" s="60"/>
      <c r="C305" s="69"/>
      <c r="D305" s="70"/>
      <c r="E305" s="72"/>
      <c r="F305" s="71"/>
    </row>
    <row r="306" spans="2:6" ht="15.75" customHeight="1">
      <c r="B306" s="60"/>
      <c r="C306" s="69"/>
      <c r="D306" s="70"/>
      <c r="E306" s="72"/>
      <c r="F306" s="71"/>
    </row>
    <row r="307" spans="2:6" ht="15.75" customHeight="1">
      <c r="B307" s="60"/>
      <c r="C307" s="69"/>
      <c r="D307" s="70"/>
      <c r="E307" s="72"/>
      <c r="F307" s="71"/>
    </row>
    <row r="308" spans="2:6" ht="15.75" customHeight="1"/>
    <row r="309" spans="2:6" ht="15.75" customHeight="1"/>
    <row r="310" spans="2:6" ht="15.75" customHeight="1"/>
    <row r="311" spans="2:6" ht="15.75" customHeight="1"/>
    <row r="312" spans="2:6" ht="15.75" customHeight="1"/>
    <row r="313" spans="2:6" ht="15.75" customHeight="1"/>
    <row r="314" spans="2:6" ht="15.75" customHeight="1"/>
    <row r="315" spans="2:6" ht="15.75" customHeight="1"/>
    <row r="316" spans="2:6" ht="15.75" customHeight="1"/>
    <row r="317" spans="2:6" ht="15.75" customHeight="1"/>
    <row r="318" spans="2:6" ht="15.75" customHeight="1"/>
    <row r="319" spans="2:6" ht="15.75" customHeight="1"/>
    <row r="320" spans="2:6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50">
    <mergeCell ref="C104:F104"/>
    <mergeCell ref="B108:F108"/>
    <mergeCell ref="C116:F116"/>
    <mergeCell ref="C132:F132"/>
    <mergeCell ref="C134:F134"/>
    <mergeCell ref="C43:F43"/>
    <mergeCell ref="Q47:R47"/>
    <mergeCell ref="C72:F72"/>
    <mergeCell ref="C93:F93"/>
    <mergeCell ref="B96:F96"/>
    <mergeCell ref="B47:F47"/>
    <mergeCell ref="C51:F51"/>
    <mergeCell ref="B55:F55"/>
    <mergeCell ref="Q57:R57"/>
    <mergeCell ref="F59:F61"/>
    <mergeCell ref="Q66:R66"/>
    <mergeCell ref="B76:F76"/>
    <mergeCell ref="I35:L35"/>
    <mergeCell ref="M35:N35"/>
    <mergeCell ref="Q35:R35"/>
    <mergeCell ref="I36:L36"/>
    <mergeCell ref="M36:N36"/>
    <mergeCell ref="I32:L32"/>
    <mergeCell ref="M32:N32"/>
    <mergeCell ref="I33:L33"/>
    <mergeCell ref="M33:N33"/>
    <mergeCell ref="I34:L34"/>
    <mergeCell ref="M34:N34"/>
    <mergeCell ref="Q27:R27"/>
    <mergeCell ref="I30:L30"/>
    <mergeCell ref="M30:N30"/>
    <mergeCell ref="M31:N31"/>
    <mergeCell ref="I31:L31"/>
    <mergeCell ref="C23:F23"/>
    <mergeCell ref="J23:N23"/>
    <mergeCell ref="J24:N24"/>
    <mergeCell ref="J25:N25"/>
    <mergeCell ref="B27:F27"/>
    <mergeCell ref="C14:F14"/>
    <mergeCell ref="B17:F17"/>
    <mergeCell ref="Q17:R17"/>
    <mergeCell ref="J18:N18"/>
    <mergeCell ref="J22:N22"/>
    <mergeCell ref="B1:N1"/>
    <mergeCell ref="B4:F4"/>
    <mergeCell ref="I4:N4"/>
    <mergeCell ref="Q4:R4"/>
    <mergeCell ref="B6:F6"/>
    <mergeCell ref="I6:N6"/>
    <mergeCell ref="Q6:R6"/>
  </mergeCells>
  <conditionalFormatting sqref="B2">
    <cfRule type="notContainsBlanks" dxfId="38" priority="4">
      <formula>LEN(TRIM(B2))&gt;0</formula>
    </cfRule>
  </conditionalFormatting>
  <conditionalFormatting sqref="J26:L42 I28:I42 M28:M42">
    <cfRule type="cellIs" dxfId="37" priority="1" operator="lessThan">
      <formula>0</formula>
    </cfRule>
  </conditionalFormatting>
  <conditionalFormatting sqref="J22:N22">
    <cfRule type="notContainsBlanks" dxfId="36" priority="5">
      <formula>LEN(TRIM(J22))&gt;0</formula>
    </cfRule>
  </conditionalFormatting>
  <conditionalFormatting sqref="R16 R20:R26 U22:U24 R28:R34">
    <cfRule type="cellIs" dxfId="35" priority="2" operator="lessThan">
      <formula>0</formula>
    </cfRule>
  </conditionalFormatting>
  <conditionalFormatting sqref="R36:R42">
    <cfRule type="cellIs" dxfId="34" priority="3" operator="lessThan">
      <formula>0</formula>
    </cfRule>
  </conditionalFormatting>
  <pageMargins left="0.70866141732283472" right="0.70866141732283472" top="0.78740157480314965" bottom="0.78740157480314965" header="0" footer="0"/>
  <pageSetup paperSize="9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00"/>
    <outlinePr summaryBelow="0" summaryRight="0"/>
  </sheetPr>
  <dimension ref="A1:EH209"/>
  <sheetViews>
    <sheetView workbookViewId="0">
      <pane xSplit="3" ySplit="4" topLeftCell="D5" activePane="bottomRight" state="frozen"/>
      <selection pane="bottomRight" activeCell="D5" sqref="D5"/>
      <selection pane="bottomLeft" activeCell="A5" sqref="A5"/>
      <selection pane="topRight" activeCell="D1" sqref="D1"/>
    </sheetView>
  </sheetViews>
  <sheetFormatPr defaultColWidth="12.625" defaultRowHeight="15" customHeight="1" outlineLevelRow="2" outlineLevelCol="2"/>
  <cols>
    <col min="1" max="1" width="2.375" customWidth="1"/>
    <col min="3" max="3" width="40.125" customWidth="1"/>
    <col min="4" max="4" width="12.625" outlineLevel="1"/>
    <col min="5" max="5" width="10.875" customWidth="1" outlineLevel="1"/>
    <col min="6" max="16" width="10.875" customWidth="1" outlineLevel="2"/>
    <col min="17" max="17" width="10.875" customWidth="1" outlineLevel="1"/>
    <col min="18" max="20" width="10.875" customWidth="1" outlineLevel="2"/>
    <col min="21" max="21" width="9.125" customWidth="1" outlineLevel="2"/>
    <col min="22" max="26" width="12.625" customWidth="1" outlineLevel="2"/>
    <col min="27" max="28" width="13.125" customWidth="1" outlineLevel="2"/>
    <col min="29" max="29" width="10.625" customWidth="1" outlineLevel="1"/>
    <col min="30" max="32" width="10.625" customWidth="1" outlineLevel="2"/>
    <col min="33" max="33" width="6.5" customWidth="1" outlineLevel="2"/>
    <col min="34" max="34" width="9.625" customWidth="1" outlineLevel="2"/>
    <col min="35" max="40" width="6.5" customWidth="1" outlineLevel="2"/>
    <col min="41" max="41" width="6.5" customWidth="1" outlineLevel="1" collapsed="1"/>
    <col min="42" max="52" width="6.5" hidden="1" customWidth="1" outlineLevel="2"/>
    <col min="53" max="53" width="6.5" customWidth="1" outlineLevel="1" collapsed="1"/>
    <col min="54" max="64" width="6.5" hidden="1" customWidth="1" outlineLevel="2"/>
    <col min="65" max="65" width="6.5" customWidth="1" outlineLevel="1" collapsed="1"/>
    <col min="66" max="76" width="6.5" hidden="1" customWidth="1" outlineLevel="2"/>
    <col min="79" max="79" width="12.625" collapsed="1"/>
    <col min="80" max="82" width="12.625" hidden="1" outlineLevel="1"/>
  </cols>
  <sheetData>
    <row r="1" spans="1:138" ht="26.1">
      <c r="A1" s="222"/>
      <c r="B1" s="223" t="s">
        <v>199</v>
      </c>
      <c r="C1" s="224">
        <v>45688</v>
      </c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</row>
    <row r="2" spans="1:138">
      <c r="A2" s="505"/>
      <c r="B2" s="567" t="s">
        <v>200</v>
      </c>
      <c r="C2" s="597"/>
      <c r="D2" s="505"/>
      <c r="E2" s="559">
        <v>45292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9"/>
      <c r="Q2" s="558">
        <v>2025</v>
      </c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9"/>
      <c r="AC2" s="558">
        <v>2026</v>
      </c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9"/>
      <c r="AO2" s="559">
        <v>46388</v>
      </c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9"/>
      <c r="BA2" s="559">
        <v>46753</v>
      </c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9"/>
      <c r="BM2" s="559">
        <v>47119</v>
      </c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9"/>
      <c r="BY2" s="560" t="s">
        <v>201</v>
      </c>
      <c r="BZ2" s="597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</row>
    <row r="3" spans="1:138">
      <c r="A3" s="505"/>
      <c r="B3" s="588"/>
      <c r="C3" s="597"/>
      <c r="D3" s="505"/>
      <c r="E3" s="226" t="str">
        <f>IFERROR(VLOOKUP(TEXT(E4,"mm.yyyy"),HMG!$B$2:$C$1001, 2, FALSE),"")</f>
        <v>zapis KS</v>
      </c>
      <c r="F3" s="226" t="str">
        <f>IFERROR(VLOOKUP(TEXT(F4,"mm.yyyy"),HMG!$B$2:$C$1001, 2, FALSE),"")</f>
        <v/>
      </c>
      <c r="G3" s="226" t="str">
        <f>IFERROR(VLOOKUP(TEXT(G4,"mm.yyyy"),HMG!$B$2:$C$1001, 2, FALSE),"")</f>
        <v/>
      </c>
      <c r="H3" s="226" t="str">
        <f>IFERROR(VLOOKUP(TEXT(H4,"mm.yyyy"),HMG!$B$2:$C$1001, 2, FALSE),"")</f>
        <v/>
      </c>
      <c r="I3" s="226" t="str">
        <f>IFERROR(VLOOKUP(TEXT(I4,"mm.yyyy"),HMG!$B$2:$C$1001, 2, FALSE),"")</f>
        <v/>
      </c>
      <c r="J3" s="226" t="str">
        <f>IFERROR(VLOOKUP(TEXT(J4,"mm.yyyy"),HMG!$B$2:$C$1001, 2, FALSE),"")</f>
        <v/>
      </c>
      <c r="K3" s="226" t="str">
        <f>IFERROR(VLOOKUP(TEXT(K4,"mm.yyyy"),HMG!$B$2:$C$1001, 2, FALSE),"")</f>
        <v/>
      </c>
      <c r="L3" s="226" t="str">
        <f>IFERROR(VLOOKUP(TEXT(L4,"mm.yyyy"),HMG!$B$2:$C$1001, 2, FALSE),"")</f>
        <v/>
      </c>
      <c r="M3" s="226" t="str">
        <f>IFERROR(VLOOKUP(TEXT(M4,"mm.yyyy"),HMG!$B$2:$C$1001, 2, FALSE),"")</f>
        <v/>
      </c>
      <c r="N3" s="226" t="str">
        <f>IFERROR(VLOOKUP(TEXT(N4,"mm.yyyy"),HMG!$B$2:$C$1001, 2, FALSE),"")</f>
        <v/>
      </c>
      <c r="O3" s="226" t="str">
        <f>IFERROR(VLOOKUP(TEXT(O4,"mm.yyyy"),HMG!$B$2:$C$1001, 2, FALSE),"")</f>
        <v/>
      </c>
      <c r="P3" s="226" t="str">
        <f>IFERROR(VLOOKUP(TEXT(P4,"mm.yyyy"),HMG!$B$2:$C$1001, 2, FALSE),"")</f>
        <v/>
      </c>
      <c r="Q3" s="226" t="str">
        <f>IFERROR(VLOOKUP(TEXT(Q4,"mm.yyyy"),HMG!$B$2:$C$1001, 2, FALSE),"")</f>
        <v>zapis KS</v>
      </c>
      <c r="R3" s="226" t="str">
        <f>IFERROR(VLOOKUP(TEXT(R4,"mm.yyyy"),HMG!$B$2:$C$1001, 2, FALSE),"")</f>
        <v/>
      </c>
      <c r="S3" s="226" t="str">
        <f>IFERROR(VLOOKUP(TEXT(S4,"mm.yyyy"),HMG!$B$2:$C$1001, 2, FALSE),"")</f>
        <v/>
      </c>
      <c r="T3" s="226" t="str">
        <f>IFERROR(VLOOKUP(TEXT(T4,"mm.yyyy"),HMG!$B$2:$C$1001, 2, FALSE),"")</f>
        <v/>
      </c>
      <c r="U3" s="226" t="str">
        <f>IFERROR(VLOOKUP(TEXT(U4,"mm.yyyy"),HMG!$B$2:$C$1001, 2, FALSE),"")</f>
        <v/>
      </c>
      <c r="V3" s="226" t="str">
        <f>IFERROR(VLOOKUP(TEXT(V4,"mm.yyyy"),HMG!$B$2:$C$1001, 2, FALSE),"")</f>
        <v/>
      </c>
      <c r="W3" s="226" t="str">
        <f>IFERROR(VLOOKUP(TEXT(W4,"mm.yyyy"),HMG!$B$2:$C$1001, 2, FALSE),"")</f>
        <v/>
      </c>
      <c r="X3" s="226" t="str">
        <f>IFERROR(VLOOKUP(TEXT(X4,"mm.yyyy"),HMG!$B$2:$C$1001, 2, FALSE),"")</f>
        <v/>
      </c>
      <c r="Y3" s="226" t="str">
        <f>IFERROR(VLOOKUP(TEXT(Y4,"mm.yyyy"),HMG!$B$2:$C$1001, 2, FALSE),"")</f>
        <v/>
      </c>
      <c r="Z3" s="226" t="str">
        <f>IFERROR(VLOOKUP(TEXT(Z4,"mm.yyyy"),HMG!$B$2:$C$1001, 2, FALSE),"")</f>
        <v/>
      </c>
      <c r="AA3" s="226" t="str">
        <f>IFERROR(VLOOKUP(TEXT(AA4,"mm.yyyy"),HMG!$B$2:$C$1001, 2, FALSE),"")</f>
        <v/>
      </c>
      <c r="AB3" s="226" t="str">
        <f>IFERROR(VLOOKUP(TEXT(AB4,"mm.yyyy"),HMG!$B$2:$C$1001, 2, FALSE),"")</f>
        <v/>
      </c>
      <c r="AC3" s="226" t="str">
        <f>IFERROR(VLOOKUP(TEXT(AC4,"mm.yyyy"),HMG!$B$2:$C$1001, 2, FALSE),"")</f>
        <v>zapis KS</v>
      </c>
      <c r="AD3" s="226" t="str">
        <f>IFERROR(VLOOKUP(TEXT(AD4,"mm.yyyy"),HMG!$B$2:$C$1001, 2, FALSE),"")</f>
        <v/>
      </c>
      <c r="AE3" s="226" t="str">
        <f>IFERROR(VLOOKUP(TEXT(AE4,"mm.yyyy"),HMG!$B$2:$C$1001, 2, FALSE),"")</f>
        <v/>
      </c>
      <c r="AF3" s="226" t="str">
        <f>IFERROR(VLOOKUP(TEXT(AF4,"mm.yyyy"),HMG!$B$2:$C$1001, 2, FALSE),"")</f>
        <v/>
      </c>
      <c r="AG3" s="226" t="str">
        <f>IFERROR(VLOOKUP(TEXT(AG4,"mm.yyyy"),HMG!$B$2:$C$1001, 2, FALSE),"")</f>
        <v/>
      </c>
      <c r="AH3" s="226" t="str">
        <f>IFERROR(VLOOKUP(TEXT(AH4,"mm.yyyy"),HMG!$B$2:$C$1001, 2, FALSE),"")</f>
        <v/>
      </c>
      <c r="AI3" s="226" t="str">
        <f>IFERROR(VLOOKUP(TEXT(AI4,"mm.yyyy"),HMG!$B$2:$C$1001, 2, FALSE),"")</f>
        <v/>
      </c>
      <c r="AJ3" s="226" t="str">
        <f>IFERROR(VLOOKUP(TEXT(AJ4,"mm.yyyy"),HMG!$B$2:$C$1001, 2, FALSE),"")</f>
        <v/>
      </c>
      <c r="AK3" s="226" t="str">
        <f>IFERROR(VLOOKUP(TEXT(AK4,"mm.yyyy"),HMG!$B$2:$C$1001, 2, FALSE),"")</f>
        <v/>
      </c>
      <c r="AL3" s="226" t="str">
        <f>IFERROR(VLOOKUP(TEXT(AL4,"mm.yyyy"),HMG!$B$2:$C$1001, 2, FALSE),"")</f>
        <v/>
      </c>
      <c r="AM3" s="226" t="str">
        <f>IFERROR(VLOOKUP(TEXT(AM4,"mm.yyyy"),HMG!$B$2:$C$1001, 2, FALSE),"")</f>
        <v/>
      </c>
      <c r="AN3" s="226" t="str">
        <f>IFERROR(VLOOKUP(TEXT(AN4,"mm.yyyy"),HMG!$B$2:$C$1001, 2, FALSE),"")</f>
        <v/>
      </c>
      <c r="AO3" s="226" t="str">
        <f>IFERROR(VLOOKUP(TEXT(AO4,"mm.yyyy"),HMG!$B$2:$C$1001, 2, FALSE),"")</f>
        <v>zapis KS</v>
      </c>
      <c r="AP3" s="226" t="str">
        <f>IFERROR(VLOOKUP(TEXT(AP4,"mm.yyyy"),HMG!$B$2:$C$1001, 2, FALSE),"")</f>
        <v/>
      </c>
      <c r="AQ3" s="226" t="str">
        <f>IFERROR(VLOOKUP(TEXT(AQ4,"mm.yyyy"),HMG!$B$2:$C$1001, 2, FALSE),"")</f>
        <v/>
      </c>
      <c r="AR3" s="226" t="str">
        <f>IFERROR(VLOOKUP(TEXT(AR4,"mm.yyyy"),HMG!$B$2:$C$1001, 2, FALSE),"")</f>
        <v/>
      </c>
      <c r="AS3" s="226" t="str">
        <f>IFERROR(VLOOKUP(TEXT(AS4,"mm.yyyy"),HMG!$B$2:$C$1001, 2, FALSE),"")</f>
        <v/>
      </c>
      <c r="AT3" s="226" t="str">
        <f>IFERROR(VLOOKUP(TEXT(AT4,"mm.yyyy"),HMG!$B$2:$C$1001, 2, FALSE),"")</f>
        <v/>
      </c>
      <c r="AU3" s="226" t="str">
        <f>IFERROR(VLOOKUP(TEXT(AU4,"mm.yyyy"),HMG!$B$2:$C$1001, 2, FALSE),"")</f>
        <v/>
      </c>
      <c r="AV3" s="226" t="str">
        <f>IFERROR(VLOOKUP(TEXT(AV4,"mm.yyyy"),HMG!$B$2:$C$1001, 2, FALSE),"")</f>
        <v/>
      </c>
      <c r="AW3" s="226" t="str">
        <f>IFERROR(VLOOKUP(TEXT(AW4,"mm.yyyy"),HMG!$B$2:$C$1001, 2, FALSE),"")</f>
        <v/>
      </c>
      <c r="AX3" s="226" t="str">
        <f>IFERROR(VLOOKUP(TEXT(AX4,"mm.yyyy"),HMG!$B$2:$C$1001, 2, FALSE),"")</f>
        <v/>
      </c>
      <c r="AY3" s="226" t="str">
        <f>IFERROR(VLOOKUP(TEXT(AY4,"mm.yyyy"),HMG!$B$2:$C$1001, 2, FALSE),"")</f>
        <v/>
      </c>
      <c r="AZ3" s="226" t="str">
        <f>IFERROR(VLOOKUP(TEXT(AZ4,"mm.yyyy"),HMG!$B$2:$C$1001, 2, FALSE),"")</f>
        <v/>
      </c>
      <c r="BA3" s="226" t="str">
        <f>IFERROR(VLOOKUP(TEXT(BA4,"mm.yyyy"),HMG!$B$2:$C$1001, 2, FALSE),"")</f>
        <v>zapis KS</v>
      </c>
      <c r="BB3" s="226" t="str">
        <f>IFERROR(VLOOKUP(TEXT(BB4,"mm.yyyy"),HMG!$B$2:$C$1001, 2, FALSE),"")</f>
        <v/>
      </c>
      <c r="BC3" s="226" t="str">
        <f>IFERROR(VLOOKUP(TEXT(BC4,"mm.yyyy"),HMG!$B$2:$C$1001, 2, FALSE),"")</f>
        <v/>
      </c>
      <c r="BD3" s="226" t="str">
        <f>IFERROR(VLOOKUP(TEXT(BD4,"mm.yyyy"),HMG!$B$2:$C$1001, 2, FALSE),"")</f>
        <v/>
      </c>
      <c r="BE3" s="226" t="str">
        <f>IFERROR(VLOOKUP(TEXT(BE4,"mm.yyyy"),HMG!$B$2:$C$1001, 2, FALSE),"")</f>
        <v/>
      </c>
      <c r="BF3" s="226" t="str">
        <f>IFERROR(VLOOKUP(TEXT(BF4,"mm.yyyy"),HMG!$B$2:$C$1001, 2, FALSE),"")</f>
        <v/>
      </c>
      <c r="BG3" s="226" t="str">
        <f>IFERROR(VLOOKUP(TEXT(BG4,"mm.yyyy"),HMG!$B$2:$C$1001, 2, FALSE),"")</f>
        <v/>
      </c>
      <c r="BH3" s="226" t="str">
        <f>IFERROR(VLOOKUP(TEXT(BH4,"mm.yyyy"),HMG!$B$2:$C$1001, 2, FALSE),"")</f>
        <v/>
      </c>
      <c r="BI3" s="226" t="str">
        <f>IFERROR(VLOOKUP(TEXT(BI4,"mm.yyyy"),HMG!$B$2:$C$1001, 2, FALSE),"")</f>
        <v/>
      </c>
      <c r="BJ3" s="226" t="str">
        <f>IFERROR(VLOOKUP(TEXT(BJ4,"mm.yyyy"),HMG!$B$2:$C$1001, 2, FALSE),"")</f>
        <v/>
      </c>
      <c r="BK3" s="226" t="str">
        <f>IFERROR(VLOOKUP(TEXT(BK4,"mm.yyyy"),HMG!$B$2:$C$1001, 2, FALSE),"")</f>
        <v/>
      </c>
      <c r="BL3" s="226" t="str">
        <f>IFERROR(VLOOKUP(TEXT(BL4,"mm.yyyy"),HMG!$B$2:$C$1001, 2, FALSE),"")</f>
        <v/>
      </c>
      <c r="BM3" s="226" t="str">
        <f>IFERROR(VLOOKUP(TEXT(BM4,"mm.yyyy"),HMG!$B$2:$C$1001, 2, FALSE),"")</f>
        <v>zapis KS</v>
      </c>
      <c r="BN3" s="226" t="str">
        <f>IFERROR(VLOOKUP(TEXT(BN4,"mm.yyyy"),HMG!$B$2:$C$1001, 2, FALSE),"")</f>
        <v/>
      </c>
      <c r="BO3" s="226" t="str">
        <f>IFERROR(VLOOKUP(TEXT(BO4,"mm.yyyy"),HMG!$B$2:$C$1001, 2, FALSE),"")</f>
        <v/>
      </c>
      <c r="BP3" s="226" t="str">
        <f>IFERROR(VLOOKUP(TEXT(BP4,"mm.yyyy"),HMG!$B$2:$C$1001, 2, FALSE),"")</f>
        <v/>
      </c>
      <c r="BQ3" s="226" t="str">
        <f>IFERROR(VLOOKUP(TEXT(BQ4,"mm.yyyy"),HMG!$B$2:$C$1001, 2, FALSE),"")</f>
        <v/>
      </c>
      <c r="BR3" s="226" t="str">
        <f>IFERROR(VLOOKUP(TEXT(BR4,"mm.yyyy"),HMG!$B$2:$C$1001, 2, FALSE),"")</f>
        <v/>
      </c>
      <c r="BS3" s="226" t="str">
        <f>IFERROR(VLOOKUP(TEXT(BS4,"mm.yyyy"),HMG!$B$2:$C$1001, 2, FALSE),"")</f>
        <v/>
      </c>
      <c r="BT3" s="226" t="str">
        <f>IFERROR(VLOOKUP(TEXT(BT4,"mm.yyyy"),HMG!$B$2:$C$1001, 2, FALSE),"")</f>
        <v/>
      </c>
      <c r="BU3" s="226" t="str">
        <f>IFERROR(VLOOKUP(TEXT(BU4,"mm.yyyy"),HMG!$B$2:$C$1001, 2, FALSE),"")</f>
        <v/>
      </c>
      <c r="BV3" s="226" t="str">
        <f>IFERROR(VLOOKUP(TEXT(BV4,"mm.yyyy"),HMG!$B$2:$C$1001, 2, FALSE),"")</f>
        <v/>
      </c>
      <c r="BW3" s="226" t="str">
        <f>IFERROR(VLOOKUP(TEXT(BW4,"mm.yyyy"),HMG!$B$2:$C$1001, 2, FALSE),"")</f>
        <v/>
      </c>
      <c r="BX3" s="226" t="str">
        <f>IFERROR(VLOOKUP(TEXT(BX4,"mm.yyyy"),HMG!$B$2:$C$1001, 2, FALSE),"")</f>
        <v/>
      </c>
      <c r="BY3" s="588"/>
      <c r="BZ3" s="597"/>
      <c r="CA3" s="222"/>
      <c r="CB3" s="222" t="s">
        <v>202</v>
      </c>
      <c r="CC3" s="222" t="s">
        <v>203</v>
      </c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2"/>
      <c r="CV3" s="222"/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</row>
    <row r="4" spans="1:138">
      <c r="A4" s="505"/>
      <c r="B4" s="591"/>
      <c r="C4" s="592"/>
      <c r="D4" s="506"/>
      <c r="E4" s="227">
        <v>45292</v>
      </c>
      <c r="F4" s="227">
        <v>45323</v>
      </c>
      <c r="G4" s="227">
        <v>45352</v>
      </c>
      <c r="H4" s="227">
        <v>45383</v>
      </c>
      <c r="I4" s="227">
        <v>45413</v>
      </c>
      <c r="J4" s="227">
        <v>45444</v>
      </c>
      <c r="K4" s="227">
        <v>45474</v>
      </c>
      <c r="L4" s="227">
        <v>45505</v>
      </c>
      <c r="M4" s="227">
        <v>45536</v>
      </c>
      <c r="N4" s="227">
        <v>45566</v>
      </c>
      <c r="O4" s="227">
        <v>45597</v>
      </c>
      <c r="P4" s="227">
        <v>45627</v>
      </c>
      <c r="Q4" s="227">
        <v>45658</v>
      </c>
      <c r="R4" s="227">
        <v>45689</v>
      </c>
      <c r="S4" s="227">
        <v>45717</v>
      </c>
      <c r="T4" s="227">
        <v>45748</v>
      </c>
      <c r="U4" s="227">
        <v>45778</v>
      </c>
      <c r="V4" s="227">
        <v>45809</v>
      </c>
      <c r="W4" s="227">
        <v>45839</v>
      </c>
      <c r="X4" s="227">
        <v>45870</v>
      </c>
      <c r="Y4" s="227">
        <v>45901</v>
      </c>
      <c r="Z4" s="227">
        <v>45931</v>
      </c>
      <c r="AA4" s="227">
        <v>45962</v>
      </c>
      <c r="AB4" s="227">
        <v>45992</v>
      </c>
      <c r="AC4" s="227">
        <v>46023</v>
      </c>
      <c r="AD4" s="227">
        <v>46054</v>
      </c>
      <c r="AE4" s="227">
        <v>46082</v>
      </c>
      <c r="AF4" s="227">
        <v>46113</v>
      </c>
      <c r="AG4" s="227">
        <v>46143</v>
      </c>
      <c r="AH4" s="227">
        <v>46174</v>
      </c>
      <c r="AI4" s="227">
        <v>46204</v>
      </c>
      <c r="AJ4" s="227">
        <v>46235</v>
      </c>
      <c r="AK4" s="227">
        <v>46266</v>
      </c>
      <c r="AL4" s="227">
        <v>46296</v>
      </c>
      <c r="AM4" s="227">
        <v>46327</v>
      </c>
      <c r="AN4" s="227">
        <v>46357</v>
      </c>
      <c r="AO4" s="227">
        <v>46388</v>
      </c>
      <c r="AP4" s="227">
        <v>46419</v>
      </c>
      <c r="AQ4" s="227">
        <v>46447</v>
      </c>
      <c r="AR4" s="227">
        <v>46478</v>
      </c>
      <c r="AS4" s="227">
        <v>46508</v>
      </c>
      <c r="AT4" s="227">
        <v>46539</v>
      </c>
      <c r="AU4" s="227">
        <v>46569</v>
      </c>
      <c r="AV4" s="227">
        <v>46600</v>
      </c>
      <c r="AW4" s="227">
        <v>46631</v>
      </c>
      <c r="AX4" s="227">
        <v>46661</v>
      </c>
      <c r="AY4" s="227">
        <v>46692</v>
      </c>
      <c r="AZ4" s="227">
        <v>46722</v>
      </c>
      <c r="BA4" s="227">
        <v>46753</v>
      </c>
      <c r="BB4" s="227">
        <v>46784</v>
      </c>
      <c r="BC4" s="227">
        <v>46813</v>
      </c>
      <c r="BD4" s="227">
        <v>46844</v>
      </c>
      <c r="BE4" s="227">
        <v>46874</v>
      </c>
      <c r="BF4" s="227">
        <v>46905</v>
      </c>
      <c r="BG4" s="227">
        <v>46935</v>
      </c>
      <c r="BH4" s="227">
        <v>46966</v>
      </c>
      <c r="BI4" s="227">
        <v>46997</v>
      </c>
      <c r="BJ4" s="227">
        <v>47027</v>
      </c>
      <c r="BK4" s="227">
        <v>47058</v>
      </c>
      <c r="BL4" s="227">
        <v>47088</v>
      </c>
      <c r="BM4" s="227">
        <v>47119</v>
      </c>
      <c r="BN4" s="227">
        <v>47150</v>
      </c>
      <c r="BO4" s="227">
        <v>47178</v>
      </c>
      <c r="BP4" s="227">
        <v>47209</v>
      </c>
      <c r="BQ4" s="227">
        <v>47239</v>
      </c>
      <c r="BR4" s="227">
        <v>47270</v>
      </c>
      <c r="BS4" s="227">
        <v>47300</v>
      </c>
      <c r="BT4" s="227">
        <v>47331</v>
      </c>
      <c r="BU4" s="227">
        <v>47362</v>
      </c>
      <c r="BV4" s="227">
        <v>47392</v>
      </c>
      <c r="BW4" s="227">
        <v>47423</v>
      </c>
      <c r="BX4" s="227">
        <v>47453</v>
      </c>
      <c r="BY4" s="591"/>
      <c r="BZ4" s="592"/>
      <c r="CA4" s="222"/>
      <c r="CB4" s="222" t="s">
        <v>63</v>
      </c>
      <c r="CC4" s="222"/>
      <c r="CD4" s="222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2"/>
      <c r="CV4" s="222"/>
      <c r="CW4" s="222"/>
      <c r="CX4" s="222"/>
      <c r="CY4" s="222"/>
      <c r="CZ4" s="222"/>
      <c r="DA4" s="222"/>
      <c r="DB4" s="222"/>
      <c r="DC4" s="222"/>
      <c r="DD4" s="222"/>
      <c r="DE4" s="222"/>
      <c r="DF4" s="222"/>
      <c r="DG4" s="222"/>
      <c r="DH4" s="222"/>
      <c r="DI4" s="222"/>
      <c r="DJ4" s="222"/>
      <c r="DK4" s="222"/>
      <c r="DL4" s="222"/>
      <c r="DM4" s="222"/>
      <c r="DN4" s="222"/>
      <c r="DO4" s="222"/>
      <c r="DP4" s="222"/>
      <c r="DQ4" s="222"/>
      <c r="DR4" s="222"/>
      <c r="DS4" s="222"/>
      <c r="DT4" s="222"/>
      <c r="DU4" s="222"/>
      <c r="DV4" s="222"/>
      <c r="DW4" s="222"/>
      <c r="DX4" s="222"/>
      <c r="DY4" s="222"/>
      <c r="DZ4" s="222"/>
      <c r="EA4" s="222"/>
      <c r="EB4" s="222"/>
      <c r="EC4" s="222"/>
      <c r="ED4" s="222"/>
      <c r="EE4" s="222"/>
      <c r="EF4" s="222"/>
      <c r="EG4" s="222"/>
      <c r="EH4" s="222"/>
    </row>
    <row r="5" spans="1:138">
      <c r="A5" s="505"/>
      <c r="B5" s="568" t="s">
        <v>204</v>
      </c>
      <c r="C5" s="228" t="s">
        <v>205</v>
      </c>
      <c r="D5" s="229" t="s">
        <v>206</v>
      </c>
      <c r="E5" s="230"/>
      <c r="F5" s="231"/>
      <c r="G5" s="231"/>
      <c r="H5" s="231">
        <f>16365002</f>
        <v>16365002</v>
      </c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2"/>
      <c r="BY5" s="233">
        <f t="shared" ref="BY5:BY15" si="0">SUM(E5:BX5)</f>
        <v>16365002</v>
      </c>
      <c r="BZ5" s="561">
        <f>SUM(BY5:BY8)</f>
        <v>41190002</v>
      </c>
      <c r="CA5" s="222"/>
      <c r="CB5" s="233"/>
      <c r="CC5" s="561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</row>
    <row r="6" spans="1:138">
      <c r="A6" s="505"/>
      <c r="B6" s="600"/>
      <c r="C6" s="228" t="s">
        <v>207</v>
      </c>
      <c r="D6" s="229" t="s">
        <v>206</v>
      </c>
      <c r="E6" s="231"/>
      <c r="F6" s="231"/>
      <c r="G6" s="231"/>
      <c r="H6" s="231"/>
      <c r="I6" s="231"/>
      <c r="J6" s="231"/>
      <c r="K6" s="231">
        <v>885000</v>
      </c>
      <c r="L6" s="231">
        <f>1640000+300000</f>
        <v>1940000</v>
      </c>
      <c r="M6" s="231">
        <f>4260000</f>
        <v>4260000</v>
      </c>
      <c r="N6" s="231"/>
      <c r="O6" s="231">
        <f>50000+270000</f>
        <v>320000</v>
      </c>
      <c r="P6" s="231">
        <v>320000</v>
      </c>
      <c r="Q6" s="231"/>
      <c r="R6" s="231">
        <v>1500000</v>
      </c>
      <c r="S6" s="231">
        <v>2300000</v>
      </c>
      <c r="T6" s="231">
        <v>7300000</v>
      </c>
      <c r="U6" s="231">
        <v>5000000</v>
      </c>
      <c r="V6" s="231">
        <v>1000000</v>
      </c>
      <c r="W6" s="231"/>
      <c r="X6" s="231"/>
      <c r="Y6" s="231"/>
      <c r="Z6" s="231"/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28"/>
      <c r="BY6" s="233">
        <f t="shared" si="0"/>
        <v>24825000</v>
      </c>
      <c r="BZ6" s="597"/>
      <c r="CA6" s="222"/>
      <c r="CB6" s="233"/>
      <c r="CC6" s="597"/>
      <c r="CD6" s="222"/>
      <c r="CE6" s="222"/>
      <c r="CF6" s="230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</row>
    <row r="7" spans="1:138">
      <c r="A7" s="505"/>
      <c r="B7" s="600"/>
      <c r="C7" s="234" t="s">
        <v>208</v>
      </c>
      <c r="D7" s="229" t="s">
        <v>206</v>
      </c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28"/>
      <c r="BY7" s="233">
        <f t="shared" si="0"/>
        <v>0</v>
      </c>
      <c r="BZ7" s="597"/>
      <c r="CA7" s="222"/>
      <c r="CB7" s="233"/>
      <c r="CC7" s="597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</row>
    <row r="8" spans="1:138">
      <c r="A8" s="505"/>
      <c r="B8" s="601"/>
      <c r="C8" s="234" t="s">
        <v>209</v>
      </c>
      <c r="D8" s="235" t="s">
        <v>206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4"/>
      <c r="BY8" s="237">
        <f t="shared" si="0"/>
        <v>0</v>
      </c>
      <c r="BZ8" s="592"/>
      <c r="CA8" s="222"/>
      <c r="CB8" s="237"/>
      <c r="CC8" s="592"/>
      <c r="CD8" s="222"/>
      <c r="CE8" s="222"/>
      <c r="CF8" s="238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</row>
    <row r="9" spans="1:138">
      <c r="A9" s="505"/>
      <c r="B9" s="568" t="s">
        <v>210</v>
      </c>
      <c r="C9" s="232" t="s">
        <v>211</v>
      </c>
      <c r="D9" s="229" t="s">
        <v>206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>
        <f t="shared" ref="U9:Y9" si="1">-U61</f>
        <v>9800</v>
      </c>
      <c r="V9" s="230">
        <f t="shared" si="1"/>
        <v>29400</v>
      </c>
      <c r="W9" s="230">
        <f t="shared" si="1"/>
        <v>58800</v>
      </c>
      <c r="X9" s="230">
        <f t="shared" si="1"/>
        <v>88690</v>
      </c>
      <c r="Y9" s="230">
        <f t="shared" si="1"/>
        <v>119560</v>
      </c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2"/>
      <c r="BY9" s="233">
        <f t="shared" si="0"/>
        <v>306250</v>
      </c>
      <c r="BZ9" s="561">
        <f>SUM(BY9:BY11)</f>
        <v>76028681.330000013</v>
      </c>
      <c r="CA9" s="222"/>
      <c r="CB9" s="233"/>
      <c r="CC9" s="561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</row>
    <row r="10" spans="1:138">
      <c r="A10" s="505"/>
      <c r="B10" s="600"/>
      <c r="C10" s="232" t="s">
        <v>212</v>
      </c>
      <c r="D10" s="229" t="s">
        <v>206</v>
      </c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>
        <v>2000000</v>
      </c>
      <c r="V10" s="231">
        <v>4000000</v>
      </c>
      <c r="W10" s="231">
        <v>6000000</v>
      </c>
      <c r="X10" s="231">
        <f>24400000/4</f>
        <v>6100000</v>
      </c>
      <c r="Y10" s="231">
        <v>6300000</v>
      </c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28"/>
      <c r="BY10" s="233">
        <f t="shared" si="0"/>
        <v>24400000</v>
      </c>
      <c r="BZ10" s="597"/>
      <c r="CA10" s="222"/>
      <c r="CB10" s="233"/>
      <c r="CC10" s="597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</row>
    <row r="11" spans="1:138">
      <c r="A11" s="505"/>
      <c r="B11" s="599"/>
      <c r="C11" s="234" t="s">
        <v>213</v>
      </c>
      <c r="D11" s="235" t="s">
        <v>206</v>
      </c>
      <c r="E11" s="236"/>
      <c r="F11" s="236"/>
      <c r="G11" s="236"/>
      <c r="H11" s="236"/>
      <c r="I11" s="236"/>
      <c r="J11" s="236"/>
      <c r="K11" s="236"/>
      <c r="L11" s="236"/>
      <c r="M11" s="236">
        <f>6449487.53+48944.52</f>
        <v>6498432.0499999998</v>
      </c>
      <c r="N11" s="236">
        <f>19937831.95</f>
        <v>19937831.949999999</v>
      </c>
      <c r="O11" s="236">
        <f>133478.48+9278006.75</f>
        <v>9411485.2300000004</v>
      </c>
      <c r="P11" s="236">
        <f>186701+7000000+5138503.39+219819.11</f>
        <v>12545023.5</v>
      </c>
      <c r="Q11" s="236">
        <f>2929658.6</f>
        <v>2929658.6</v>
      </c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9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4"/>
      <c r="BY11" s="237">
        <f t="shared" si="0"/>
        <v>51322431.330000006</v>
      </c>
      <c r="BZ11" s="602"/>
      <c r="CA11" s="240">
        <f>BY11+BY9</f>
        <v>51628681.330000006</v>
      </c>
      <c r="CB11" s="237"/>
      <c r="CC11" s="602"/>
      <c r="CD11" s="241"/>
      <c r="CE11" s="241"/>
      <c r="CF11" s="241"/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</row>
    <row r="12" spans="1:138">
      <c r="A12" s="505"/>
      <c r="B12" s="568" t="s">
        <v>214</v>
      </c>
      <c r="C12" s="228" t="s">
        <v>215</v>
      </c>
      <c r="D12" s="229" t="s">
        <v>206</v>
      </c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>
        <f>SUM(Rentroll!$M$2:$M$4)*3</f>
        <v>1839391.5059999996</v>
      </c>
      <c r="T12" s="230">
        <f>SUM(Rentroll!$M$2:$M$4)</f>
        <v>613130.50199999986</v>
      </c>
      <c r="U12" s="230">
        <f>SUM(Rentroll!$M$2:$M$4)</f>
        <v>613130.50199999986</v>
      </c>
      <c r="V12" s="230">
        <f>SUM(Rentroll!$M$2:$M$4)</f>
        <v>613130.50199999986</v>
      </c>
      <c r="W12" s="230">
        <f>SUM(Rentroll!$M$2:$M$4)</f>
        <v>613130.50199999986</v>
      </c>
      <c r="X12" s="230">
        <f>SUM(Rentroll!$M$2:$M$4)</f>
        <v>613130.50199999986</v>
      </c>
      <c r="Y12" s="230">
        <f>SUM(Rentroll!$M$2:$M$4)</f>
        <v>613130.50199999986</v>
      </c>
      <c r="Z12" s="230">
        <f>SUM(Rentroll!$M$2:$M$4)</f>
        <v>613130.50199999986</v>
      </c>
      <c r="AA12" s="230">
        <f>SUM(Rentroll!$M$2:$M$10)</f>
        <v>1065607.4044666667</v>
      </c>
      <c r="AB12" s="230">
        <f>SUM(Rentroll!$M$2:$M$10)</f>
        <v>1065607.4044666667</v>
      </c>
      <c r="AC12" s="230">
        <f>SUM(Rentroll!$M$2:$M$10)</f>
        <v>1065607.4044666667</v>
      </c>
      <c r="AD12" s="230">
        <f>SUM(Rentroll!$M$2:$M$10)</f>
        <v>1065607.4044666667</v>
      </c>
      <c r="AE12" s="230">
        <f>SUM(Rentroll!$M$2:$M$10)</f>
        <v>1065607.4044666667</v>
      </c>
      <c r="AF12" s="230">
        <f>SUM(Businessplan_prodej!N8:N16)*1.21</f>
        <v>1078510.3760126664</v>
      </c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2"/>
      <c r="BY12" s="233">
        <f t="shared" si="0"/>
        <v>12537852.418345997</v>
      </c>
      <c r="BZ12" s="561">
        <f>SUM(BY12:BY15)</f>
        <v>161185175.53064841</v>
      </c>
      <c r="CA12" s="222">
        <f>CA11+SUM(Q97:AE97)</f>
        <v>43848681.330000006</v>
      </c>
      <c r="CB12" s="233"/>
      <c r="CC12" s="561"/>
      <c r="CD12" s="222"/>
      <c r="CE12" s="238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</row>
    <row r="13" spans="1:138">
      <c r="A13" s="505"/>
      <c r="B13" s="600"/>
      <c r="C13" s="228" t="s">
        <v>216</v>
      </c>
      <c r="D13" s="229" t="s">
        <v>206</v>
      </c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>
        <f>Businessplan_prodej!$J$25</f>
        <v>138882598.15999994</v>
      </c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2"/>
      <c r="BY13" s="233">
        <f t="shared" si="0"/>
        <v>138882598.15999994</v>
      </c>
      <c r="BZ13" s="597"/>
      <c r="CA13" s="222"/>
      <c r="CB13" s="233"/>
      <c r="CC13" s="597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</row>
    <row r="14" spans="1:138">
      <c r="A14" s="505"/>
      <c r="B14" s="600"/>
      <c r="C14" s="228" t="s">
        <v>7</v>
      </c>
      <c r="D14" s="229" t="s">
        <v>217</v>
      </c>
      <c r="E14" s="231"/>
      <c r="F14" s="231"/>
      <c r="G14" s="231"/>
      <c r="H14" s="231"/>
      <c r="I14" s="231">
        <v>6227</v>
      </c>
      <c r="J14" s="231">
        <v>14588</v>
      </c>
      <c r="K14" s="231">
        <f>457468</f>
        <v>457468</v>
      </c>
      <c r="L14" s="231">
        <v>57517</v>
      </c>
      <c r="M14" s="231">
        <f>60362</f>
        <v>60362</v>
      </c>
      <c r="N14" s="231">
        <v>56101</v>
      </c>
      <c r="O14" s="231">
        <f>59696</f>
        <v>59696</v>
      </c>
      <c r="P14" s="231">
        <f>60211</f>
        <v>60211</v>
      </c>
      <c r="Q14" s="231">
        <f>49860-602</f>
        <v>49258</v>
      </c>
      <c r="R14" s="231">
        <f>IF(P12&gt;0,-(SUM(Rentroll!$H$2:$H$4)+Rentroll!$K$2),0)-(SUM(P23,P37)-SUM(P23,P37)/1.21)</f>
        <v>72438.165371900832</v>
      </c>
      <c r="S14" s="231">
        <f>IF(Q12&gt;0,-(SUM(Rentroll!$H$2:$H$4)+Rentroll!$K$2),0)-(SUM(Q23,Q37)-SUM(Q23,Q37)/1.21)</f>
        <v>59416.00619008264</v>
      </c>
      <c r="T14" s="231">
        <f>IF(R12&gt;0,-(SUM(Rentroll!$H$2:$H$4)+Rentroll!$K$2),0)-(SUM(R23,R37)-SUM(R23,R37)/1.21)</f>
        <v>198458.07805785118</v>
      </c>
      <c r="U14" s="231">
        <f>IF(S12&gt;0,-(SUM(Rentroll!$H$2:$H$4)+Rentroll!$K$2),0)-(SUM(S23,S37)-SUM(S23,S37)/1.21)</f>
        <v>37100.65466776854</v>
      </c>
      <c r="V14" s="231">
        <f>IF(T12&gt;0,-(SUM(Rentroll!$H$2:$H$4)+Rentroll!$K$2),0)-(SUM(T23,T37)-SUM(T23,T37)/1.21)</f>
        <v>52320.883537190064</v>
      </c>
      <c r="W14" s="231">
        <f>IF(U12&gt;0,-(SUM(Rentroll!$H$2:$H$4)+Rentroll!$K$2),0)-(SUM(U23,U37)-SUM(U23,U37)/1.21)</f>
        <v>-52804.33980991735</v>
      </c>
      <c r="X14" s="231">
        <f>IF(V12&gt;0,-(SUM(Rentroll!$H$2:$H$4)+Rentroll!$K$2),0)-(SUM(V23,V37)-SUM(V23,V37)/1.21)</f>
        <v>-52804.33980991735</v>
      </c>
      <c r="Y14" s="231">
        <f>IF(W12&gt;0,-(SUM(Rentroll!$H$2:$H$4)+Rentroll!$K$2),0)-(SUM(W23,W37)-SUM(W23,W37)/1.21)</f>
        <v>-41464.33980991735</v>
      </c>
      <c r="Z14" s="231">
        <f>IF(X12&gt;0,-(SUM(Rentroll!$H$2:$H$4)+Rentroll!$K$2),0)-(SUM(X23,X37)-SUM(X23,X37)/1.21)</f>
        <v>-52804.33980991735</v>
      </c>
      <c r="AA14" s="231">
        <f>IF(Y12&gt;0,-(SUM(Rentroll!$H$2:$H$4)+Rentroll!$K$2),0)-(SUM(Y23,Y37)-SUM(Y23,Y37)/1.21)</f>
        <v>-33904.33980991735</v>
      </c>
      <c r="AB14" s="231">
        <f>IF(Z12&gt;0,-(SUM(Rentroll!$H$2:$H$4)+Rentroll!$K$2),0)-(SUM(Z23,Z37)-SUM(Z23,Z37)/1.21)</f>
        <v>-17021.645662809926</v>
      </c>
      <c r="AC14" s="231">
        <f>IF(AA12&gt;0,-(SUM(Rentroll!$H$2:$H$4)+Rentroll!$K$2),0)-(SUM(AA23,AA37)-SUM(AA23,AA37)/1.21)</f>
        <v>-103748.76480991735</v>
      </c>
      <c r="AD14" s="231">
        <f>IF(AB12&gt;0,-(SUM(Rentroll!$H$2:$H$4)+Rentroll!$K$2),0)-(SUM(AB23,AB37)-SUM(AB23,AB37)/1.21)</f>
        <v>-105484.302</v>
      </c>
      <c r="AE14" s="231">
        <f>IF(AC12&gt;0,-(SUM(Rentroll!$H$2:$H$4)+Rentroll!$K$2),0)-(SUM(AC23,AC37)-SUM(AC23,AC37)/1.21)</f>
        <v>-105484.302</v>
      </c>
      <c r="AF14" s="231">
        <f>IF(AD12&gt;0,-(SUM(Rentroll!$H$2:$H$4)+Rentroll!$K$2),0)-(SUM(AD23,AD37)-SUM(AD23,AD37)/1.21)</f>
        <v>-105484.302</v>
      </c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28"/>
      <c r="BY14" s="233">
        <f t="shared" si="0"/>
        <v>570156.77230247902</v>
      </c>
      <c r="BZ14" s="597"/>
      <c r="CA14" s="222"/>
      <c r="CB14" s="233"/>
      <c r="CC14" s="597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</row>
    <row r="15" spans="1:138">
      <c r="A15" s="505"/>
      <c r="B15" s="599"/>
      <c r="C15" s="234" t="s">
        <v>218</v>
      </c>
      <c r="D15" s="235" t="s">
        <v>217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>
        <f>17343.33+17343.33+1835.52</f>
        <v>36522.18</v>
      </c>
      <c r="Q15" s="236">
        <f>9100000+2904+5142</f>
        <v>9108046</v>
      </c>
      <c r="R15" s="236"/>
      <c r="S15" s="236"/>
      <c r="T15" s="236"/>
      <c r="U15" s="236"/>
      <c r="V15" s="236"/>
      <c r="W15" s="236"/>
      <c r="X15" s="236"/>
      <c r="Y15" s="236"/>
      <c r="Z15" s="236"/>
      <c r="AA15" s="236">
        <f>-Businessplan_prodej!F36</f>
        <v>50000</v>
      </c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4"/>
      <c r="BY15" s="237">
        <f t="shared" si="0"/>
        <v>9194568.1799999997</v>
      </c>
      <c r="BZ15" s="602"/>
      <c r="CA15" s="222"/>
      <c r="CB15" s="237"/>
      <c r="CC15" s="60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</row>
    <row r="16" spans="1:138" ht="15.95">
      <c r="A16" s="505"/>
      <c r="B16" s="569" t="s">
        <v>219</v>
      </c>
      <c r="C16" s="592"/>
      <c r="D16" s="242"/>
      <c r="E16" s="243">
        <f t="shared" ref="E16:BX16" si="2">SUM(E5:E15)</f>
        <v>0</v>
      </c>
      <c r="F16" s="243">
        <f t="shared" si="2"/>
        <v>0</v>
      </c>
      <c r="G16" s="243">
        <f t="shared" si="2"/>
        <v>0</v>
      </c>
      <c r="H16" s="243">
        <f t="shared" si="2"/>
        <v>16365002</v>
      </c>
      <c r="I16" s="243">
        <f t="shared" si="2"/>
        <v>6227</v>
      </c>
      <c r="J16" s="243">
        <f t="shared" si="2"/>
        <v>14588</v>
      </c>
      <c r="K16" s="243">
        <f t="shared" si="2"/>
        <v>1342468</v>
      </c>
      <c r="L16" s="243">
        <f t="shared" si="2"/>
        <v>1997517</v>
      </c>
      <c r="M16" s="243">
        <f t="shared" si="2"/>
        <v>10818794.050000001</v>
      </c>
      <c r="N16" s="243">
        <f t="shared" si="2"/>
        <v>19993932.949999999</v>
      </c>
      <c r="O16" s="243">
        <f t="shared" si="2"/>
        <v>9791181.2300000004</v>
      </c>
      <c r="P16" s="243">
        <f t="shared" si="2"/>
        <v>12961756.68</v>
      </c>
      <c r="Q16" s="243">
        <f t="shared" si="2"/>
        <v>12086962.6</v>
      </c>
      <c r="R16" s="243">
        <f t="shared" si="2"/>
        <v>1572438.1653719009</v>
      </c>
      <c r="S16" s="243">
        <f t="shared" si="2"/>
        <v>4198807.5121900821</v>
      </c>
      <c r="T16" s="243">
        <f t="shared" si="2"/>
        <v>8111588.580057852</v>
      </c>
      <c r="U16" s="243">
        <f t="shared" si="2"/>
        <v>7660031.156667769</v>
      </c>
      <c r="V16" s="243">
        <f t="shared" si="2"/>
        <v>5694851.3855371904</v>
      </c>
      <c r="W16" s="243">
        <f t="shared" si="2"/>
        <v>6619126.1621900834</v>
      </c>
      <c r="X16" s="243">
        <f t="shared" si="2"/>
        <v>6749016.1621900834</v>
      </c>
      <c r="Y16" s="243">
        <f t="shared" si="2"/>
        <v>6991226.1621900834</v>
      </c>
      <c r="Z16" s="243">
        <f t="shared" si="2"/>
        <v>560326.16219008248</v>
      </c>
      <c r="AA16" s="243">
        <f t="shared" si="2"/>
        <v>1081703.0646567494</v>
      </c>
      <c r="AB16" s="243">
        <f t="shared" si="2"/>
        <v>1048585.7588038568</v>
      </c>
      <c r="AC16" s="243">
        <f t="shared" si="2"/>
        <v>961858.63965674944</v>
      </c>
      <c r="AD16" s="243">
        <f t="shared" si="2"/>
        <v>960123.10246666672</v>
      </c>
      <c r="AE16" s="243">
        <f t="shared" si="2"/>
        <v>960123.10246666672</v>
      </c>
      <c r="AF16" s="243">
        <f t="shared" si="2"/>
        <v>139855624.2340126</v>
      </c>
      <c r="AG16" s="243">
        <f t="shared" si="2"/>
        <v>0</v>
      </c>
      <c r="AH16" s="243">
        <f t="shared" si="2"/>
        <v>0</v>
      </c>
      <c r="AI16" s="243">
        <f t="shared" si="2"/>
        <v>0</v>
      </c>
      <c r="AJ16" s="243">
        <f t="shared" si="2"/>
        <v>0</v>
      </c>
      <c r="AK16" s="243">
        <f t="shared" si="2"/>
        <v>0</v>
      </c>
      <c r="AL16" s="243">
        <f t="shared" si="2"/>
        <v>0</v>
      </c>
      <c r="AM16" s="243">
        <f t="shared" si="2"/>
        <v>0</v>
      </c>
      <c r="AN16" s="243">
        <f t="shared" si="2"/>
        <v>0</v>
      </c>
      <c r="AO16" s="243">
        <f t="shared" si="2"/>
        <v>0</v>
      </c>
      <c r="AP16" s="243">
        <f t="shared" si="2"/>
        <v>0</v>
      </c>
      <c r="AQ16" s="243">
        <f t="shared" si="2"/>
        <v>0</v>
      </c>
      <c r="AR16" s="243">
        <f t="shared" si="2"/>
        <v>0</v>
      </c>
      <c r="AS16" s="243">
        <f t="shared" si="2"/>
        <v>0</v>
      </c>
      <c r="AT16" s="243">
        <f t="shared" si="2"/>
        <v>0</v>
      </c>
      <c r="AU16" s="243">
        <f t="shared" si="2"/>
        <v>0</v>
      </c>
      <c r="AV16" s="243">
        <f t="shared" si="2"/>
        <v>0</v>
      </c>
      <c r="AW16" s="243">
        <f t="shared" si="2"/>
        <v>0</v>
      </c>
      <c r="AX16" s="243">
        <f t="shared" si="2"/>
        <v>0</v>
      </c>
      <c r="AY16" s="243">
        <f t="shared" si="2"/>
        <v>0</v>
      </c>
      <c r="AZ16" s="243">
        <f t="shared" si="2"/>
        <v>0</v>
      </c>
      <c r="BA16" s="243">
        <f t="shared" si="2"/>
        <v>0</v>
      </c>
      <c r="BB16" s="243">
        <f t="shared" si="2"/>
        <v>0</v>
      </c>
      <c r="BC16" s="243">
        <f t="shared" si="2"/>
        <v>0</v>
      </c>
      <c r="BD16" s="243">
        <f t="shared" si="2"/>
        <v>0</v>
      </c>
      <c r="BE16" s="243">
        <f t="shared" si="2"/>
        <v>0</v>
      </c>
      <c r="BF16" s="243">
        <f t="shared" si="2"/>
        <v>0</v>
      </c>
      <c r="BG16" s="243">
        <f t="shared" si="2"/>
        <v>0</v>
      </c>
      <c r="BH16" s="243">
        <f t="shared" si="2"/>
        <v>0</v>
      </c>
      <c r="BI16" s="243">
        <f t="shared" si="2"/>
        <v>0</v>
      </c>
      <c r="BJ16" s="243">
        <f t="shared" si="2"/>
        <v>0</v>
      </c>
      <c r="BK16" s="243">
        <f t="shared" si="2"/>
        <v>0</v>
      </c>
      <c r="BL16" s="243">
        <f t="shared" si="2"/>
        <v>0</v>
      </c>
      <c r="BM16" s="243">
        <f t="shared" si="2"/>
        <v>0</v>
      </c>
      <c r="BN16" s="243">
        <f t="shared" si="2"/>
        <v>0</v>
      </c>
      <c r="BO16" s="243">
        <f t="shared" si="2"/>
        <v>0</v>
      </c>
      <c r="BP16" s="243">
        <f t="shared" si="2"/>
        <v>0</v>
      </c>
      <c r="BQ16" s="243">
        <f t="shared" si="2"/>
        <v>0</v>
      </c>
      <c r="BR16" s="243">
        <f t="shared" si="2"/>
        <v>0</v>
      </c>
      <c r="BS16" s="243">
        <f t="shared" si="2"/>
        <v>0</v>
      </c>
      <c r="BT16" s="243">
        <f t="shared" si="2"/>
        <v>0</v>
      </c>
      <c r="BU16" s="243">
        <f t="shared" si="2"/>
        <v>0</v>
      </c>
      <c r="BV16" s="243">
        <f t="shared" si="2"/>
        <v>0</v>
      </c>
      <c r="BW16" s="243">
        <f t="shared" si="2"/>
        <v>0</v>
      </c>
      <c r="BX16" s="243">
        <f t="shared" si="2"/>
        <v>0</v>
      </c>
      <c r="BY16" s="563">
        <f>BZ5+BZ9+BZ12</f>
        <v>278403858.86064839</v>
      </c>
      <c r="BZ16" s="592"/>
      <c r="CA16" s="222"/>
      <c r="CB16" s="563">
        <f>CC5+CC9+CC12</f>
        <v>0</v>
      </c>
      <c r="CC16" s="59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</row>
    <row r="17" spans="1:138" ht="15.95" collapsed="1">
      <c r="A17" s="505"/>
      <c r="B17" s="570" t="s">
        <v>220</v>
      </c>
      <c r="C17" s="244" t="s">
        <v>221</v>
      </c>
      <c r="D17" s="245"/>
      <c r="E17" s="246">
        <f t="shared" ref="E17:BY17" si="3">SUM(E18:E22)</f>
        <v>0</v>
      </c>
      <c r="F17" s="246">
        <f t="shared" si="3"/>
        <v>0</v>
      </c>
      <c r="G17" s="246">
        <f t="shared" si="3"/>
        <v>0</v>
      </c>
      <c r="H17" s="246">
        <f t="shared" si="3"/>
        <v>-10620712</v>
      </c>
      <c r="I17" s="246">
        <f t="shared" si="3"/>
        <v>0</v>
      </c>
      <c r="J17" s="246">
        <f t="shared" si="3"/>
        <v>-808333</v>
      </c>
      <c r="K17" s="246">
        <f t="shared" si="3"/>
        <v>0</v>
      </c>
      <c r="L17" s="246">
        <f t="shared" si="3"/>
        <v>0</v>
      </c>
      <c r="M17" s="246">
        <f t="shared" si="3"/>
        <v>0</v>
      </c>
      <c r="N17" s="246">
        <f t="shared" si="3"/>
        <v>0</v>
      </c>
      <c r="O17" s="246">
        <f t="shared" si="3"/>
        <v>0</v>
      </c>
      <c r="P17" s="246">
        <f t="shared" si="3"/>
        <v>0</v>
      </c>
      <c r="Q17" s="246">
        <f t="shared" si="3"/>
        <v>0</v>
      </c>
      <c r="R17" s="246">
        <f t="shared" si="3"/>
        <v>0</v>
      </c>
      <c r="S17" s="246">
        <f t="shared" si="3"/>
        <v>0</v>
      </c>
      <c r="T17" s="246">
        <f t="shared" si="3"/>
        <v>0</v>
      </c>
      <c r="U17" s="246">
        <f t="shared" si="3"/>
        <v>0</v>
      </c>
      <c r="V17" s="246">
        <f t="shared" si="3"/>
        <v>0</v>
      </c>
      <c r="W17" s="246">
        <f t="shared" si="3"/>
        <v>0</v>
      </c>
      <c r="X17" s="246">
        <f t="shared" si="3"/>
        <v>0</v>
      </c>
      <c r="Y17" s="246">
        <f t="shared" si="3"/>
        <v>0</v>
      </c>
      <c r="Z17" s="246">
        <f t="shared" si="3"/>
        <v>0</v>
      </c>
      <c r="AA17" s="246">
        <f t="shared" si="3"/>
        <v>0</v>
      </c>
      <c r="AB17" s="246">
        <f t="shared" si="3"/>
        <v>0</v>
      </c>
      <c r="AC17" s="246">
        <f t="shared" si="3"/>
        <v>0</v>
      </c>
      <c r="AD17" s="246">
        <f t="shared" si="3"/>
        <v>0</v>
      </c>
      <c r="AE17" s="246">
        <f t="shared" si="3"/>
        <v>0</v>
      </c>
      <c r="AF17" s="246">
        <f t="shared" si="3"/>
        <v>0</v>
      </c>
      <c r="AG17" s="246">
        <f t="shared" si="3"/>
        <v>0</v>
      </c>
      <c r="AH17" s="246">
        <f t="shared" si="3"/>
        <v>0</v>
      </c>
      <c r="AI17" s="246">
        <f t="shared" si="3"/>
        <v>0</v>
      </c>
      <c r="AJ17" s="246">
        <f t="shared" si="3"/>
        <v>0</v>
      </c>
      <c r="AK17" s="246">
        <f t="shared" si="3"/>
        <v>0</v>
      </c>
      <c r="AL17" s="246">
        <f t="shared" si="3"/>
        <v>0</v>
      </c>
      <c r="AM17" s="246">
        <f t="shared" si="3"/>
        <v>0</v>
      </c>
      <c r="AN17" s="246">
        <f t="shared" si="3"/>
        <v>0</v>
      </c>
      <c r="AO17" s="246">
        <f t="shared" si="3"/>
        <v>0</v>
      </c>
      <c r="AP17" s="246">
        <f t="shared" si="3"/>
        <v>0</v>
      </c>
      <c r="AQ17" s="246">
        <f t="shared" si="3"/>
        <v>0</v>
      </c>
      <c r="AR17" s="246">
        <f t="shared" si="3"/>
        <v>0</v>
      </c>
      <c r="AS17" s="246">
        <f t="shared" si="3"/>
        <v>0</v>
      </c>
      <c r="AT17" s="246">
        <f t="shared" si="3"/>
        <v>0</v>
      </c>
      <c r="AU17" s="246">
        <f t="shared" si="3"/>
        <v>0</v>
      </c>
      <c r="AV17" s="246">
        <f t="shared" si="3"/>
        <v>0</v>
      </c>
      <c r="AW17" s="246">
        <f t="shared" si="3"/>
        <v>0</v>
      </c>
      <c r="AX17" s="246">
        <f t="shared" si="3"/>
        <v>0</v>
      </c>
      <c r="AY17" s="246">
        <f t="shared" si="3"/>
        <v>0</v>
      </c>
      <c r="AZ17" s="246">
        <f t="shared" si="3"/>
        <v>0</v>
      </c>
      <c r="BA17" s="246">
        <f t="shared" si="3"/>
        <v>0</v>
      </c>
      <c r="BB17" s="246">
        <f t="shared" si="3"/>
        <v>0</v>
      </c>
      <c r="BC17" s="246">
        <f t="shared" si="3"/>
        <v>0</v>
      </c>
      <c r="BD17" s="246">
        <f t="shared" si="3"/>
        <v>0</v>
      </c>
      <c r="BE17" s="246">
        <f t="shared" si="3"/>
        <v>0</v>
      </c>
      <c r="BF17" s="246">
        <f t="shared" si="3"/>
        <v>0</v>
      </c>
      <c r="BG17" s="246">
        <f t="shared" si="3"/>
        <v>0</v>
      </c>
      <c r="BH17" s="246">
        <f t="shared" si="3"/>
        <v>0</v>
      </c>
      <c r="BI17" s="246">
        <f t="shared" si="3"/>
        <v>0</v>
      </c>
      <c r="BJ17" s="246">
        <f t="shared" si="3"/>
        <v>0</v>
      </c>
      <c r="BK17" s="246">
        <f t="shared" si="3"/>
        <v>0</v>
      </c>
      <c r="BL17" s="246">
        <f t="shared" si="3"/>
        <v>0</v>
      </c>
      <c r="BM17" s="246">
        <f t="shared" si="3"/>
        <v>0</v>
      </c>
      <c r="BN17" s="246">
        <f t="shared" si="3"/>
        <v>0</v>
      </c>
      <c r="BO17" s="246">
        <f t="shared" si="3"/>
        <v>0</v>
      </c>
      <c r="BP17" s="246">
        <f t="shared" si="3"/>
        <v>0</v>
      </c>
      <c r="BQ17" s="246">
        <f t="shared" si="3"/>
        <v>0</v>
      </c>
      <c r="BR17" s="246">
        <f t="shared" si="3"/>
        <v>0</v>
      </c>
      <c r="BS17" s="246">
        <f t="shared" si="3"/>
        <v>0</v>
      </c>
      <c r="BT17" s="246">
        <f t="shared" si="3"/>
        <v>0</v>
      </c>
      <c r="BU17" s="246">
        <f t="shared" si="3"/>
        <v>0</v>
      </c>
      <c r="BV17" s="246">
        <f t="shared" si="3"/>
        <v>0</v>
      </c>
      <c r="BW17" s="246">
        <f t="shared" si="3"/>
        <v>0</v>
      </c>
      <c r="BX17" s="246">
        <f t="shared" si="3"/>
        <v>0</v>
      </c>
      <c r="BY17" s="247">
        <f t="shared" si="3"/>
        <v>-11429045</v>
      </c>
      <c r="BZ17" s="562">
        <f>BY17+BY23+BY26+BY34+BY37+BY49+BY55+BY63+BY87</f>
        <v>-127292570.85124931</v>
      </c>
      <c r="CA17" s="222"/>
      <c r="CB17" s="248"/>
      <c r="CC17" s="56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</row>
    <row r="18" spans="1:138" ht="15.95" hidden="1" outlineLevel="1">
      <c r="A18" s="505"/>
      <c r="B18" s="600"/>
      <c r="C18" s="249" t="s">
        <v>222</v>
      </c>
      <c r="D18" s="250" t="s">
        <v>223</v>
      </c>
      <c r="E18" s="251"/>
      <c r="F18" s="251"/>
      <c r="G18" s="251"/>
      <c r="H18" s="252">
        <f>-8458812-2161900</f>
        <v>-10620712</v>
      </c>
      <c r="I18" s="252"/>
      <c r="J18" s="252">
        <f>-657296-151037</f>
        <v>-808333</v>
      </c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3">
        <f t="shared" ref="BY18:BY22" si="4">SUM(E18:BX18)</f>
        <v>-11429045</v>
      </c>
      <c r="BZ18" s="597"/>
      <c r="CA18" s="222"/>
      <c r="CB18" s="248"/>
      <c r="CC18" s="597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</row>
    <row r="19" spans="1:138" ht="15.95" hidden="1" outlineLevel="1">
      <c r="A19" s="505"/>
      <c r="B19" s="600"/>
      <c r="C19" s="249" t="s">
        <v>224</v>
      </c>
      <c r="D19" s="250" t="s">
        <v>223</v>
      </c>
      <c r="E19" s="251"/>
      <c r="F19" s="251"/>
      <c r="G19" s="251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3">
        <f t="shared" si="4"/>
        <v>0</v>
      </c>
      <c r="BZ19" s="597"/>
      <c r="CA19" s="222"/>
      <c r="CB19" s="248"/>
      <c r="CC19" s="597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</row>
    <row r="20" spans="1:138" ht="15.95" hidden="1" outlineLevel="1">
      <c r="A20" s="505"/>
      <c r="B20" s="600"/>
      <c r="C20" s="249" t="s">
        <v>225</v>
      </c>
      <c r="D20" s="250" t="s">
        <v>223</v>
      </c>
      <c r="E20" s="251"/>
      <c r="F20" s="251"/>
      <c r="G20" s="251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3">
        <f t="shared" si="4"/>
        <v>0</v>
      </c>
      <c r="BZ20" s="597"/>
      <c r="CA20" s="222"/>
      <c r="CB20" s="248"/>
      <c r="CC20" s="597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</row>
    <row r="21" spans="1:138" ht="15.95" hidden="1" outlineLevel="1">
      <c r="A21" s="505"/>
      <c r="B21" s="600"/>
      <c r="C21" s="249" t="s">
        <v>226</v>
      </c>
      <c r="D21" s="250" t="s">
        <v>223</v>
      </c>
      <c r="E21" s="251"/>
      <c r="F21" s="251"/>
      <c r="G21" s="251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3">
        <f t="shared" si="4"/>
        <v>0</v>
      </c>
      <c r="BZ21" s="597"/>
      <c r="CA21" s="222"/>
      <c r="CB21" s="248"/>
      <c r="CC21" s="597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</row>
    <row r="22" spans="1:138" ht="15.95" hidden="1" outlineLevel="1">
      <c r="A22" s="505"/>
      <c r="B22" s="600"/>
      <c r="C22" s="249" t="s">
        <v>227</v>
      </c>
      <c r="D22" s="254" t="s">
        <v>223</v>
      </c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3">
        <f t="shared" si="4"/>
        <v>0</v>
      </c>
      <c r="BZ22" s="597"/>
      <c r="CA22" s="222"/>
      <c r="CB22" s="248"/>
      <c r="CC22" s="597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</row>
    <row r="23" spans="1:138" ht="15.95">
      <c r="A23" s="505"/>
      <c r="B23" s="600"/>
      <c r="C23" s="244" t="s">
        <v>228</v>
      </c>
      <c r="D23" s="245"/>
      <c r="E23" s="246">
        <f t="shared" ref="E23:BY23" si="5">SUM(E24:E25)</f>
        <v>0</v>
      </c>
      <c r="F23" s="246">
        <f t="shared" si="5"/>
        <v>0</v>
      </c>
      <c r="G23" s="246">
        <f t="shared" si="5"/>
        <v>0</v>
      </c>
      <c r="H23" s="246">
        <f t="shared" si="5"/>
        <v>0</v>
      </c>
      <c r="I23" s="246">
        <f t="shared" si="5"/>
        <v>-366025</v>
      </c>
      <c r="J23" s="246">
        <f t="shared" si="5"/>
        <v>0</v>
      </c>
      <c r="K23" s="246">
        <f t="shared" si="5"/>
        <v>0</v>
      </c>
      <c r="L23" s="246">
        <f t="shared" si="5"/>
        <v>-15913.92</v>
      </c>
      <c r="M23" s="246">
        <f t="shared" si="5"/>
        <v>0</v>
      </c>
      <c r="N23" s="246">
        <f t="shared" si="5"/>
        <v>0</v>
      </c>
      <c r="O23" s="246">
        <f t="shared" si="5"/>
        <v>0</v>
      </c>
      <c r="P23" s="246">
        <f t="shared" si="5"/>
        <v>0</v>
      </c>
      <c r="Q23" s="246">
        <f t="shared" si="5"/>
        <v>-36051</v>
      </c>
      <c r="R23" s="246">
        <f t="shared" si="5"/>
        <v>-393250</v>
      </c>
      <c r="S23" s="246">
        <f t="shared" si="5"/>
        <v>0</v>
      </c>
      <c r="T23" s="246">
        <f t="shared" si="5"/>
        <v>-576274.6</v>
      </c>
      <c r="U23" s="246">
        <f t="shared" si="5"/>
        <v>0</v>
      </c>
      <c r="V23" s="246">
        <f t="shared" si="5"/>
        <v>0</v>
      </c>
      <c r="W23" s="246">
        <f t="shared" si="5"/>
        <v>0</v>
      </c>
      <c r="X23" s="246">
        <f t="shared" si="5"/>
        <v>0</v>
      </c>
      <c r="Y23" s="246">
        <f t="shared" si="5"/>
        <v>0</v>
      </c>
      <c r="Z23" s="246">
        <f t="shared" si="5"/>
        <v>0</v>
      </c>
      <c r="AA23" s="246">
        <f t="shared" si="5"/>
        <v>0</v>
      </c>
      <c r="AB23" s="246">
        <f t="shared" si="5"/>
        <v>0</v>
      </c>
      <c r="AC23" s="246">
        <f t="shared" si="5"/>
        <v>0</v>
      </c>
      <c r="AD23" s="246">
        <f t="shared" si="5"/>
        <v>0</v>
      </c>
      <c r="AE23" s="246">
        <f t="shared" si="5"/>
        <v>0</v>
      </c>
      <c r="AF23" s="246">
        <f t="shared" si="5"/>
        <v>0</v>
      </c>
      <c r="AG23" s="246">
        <f t="shared" si="5"/>
        <v>0</v>
      </c>
      <c r="AH23" s="246">
        <f t="shared" si="5"/>
        <v>0</v>
      </c>
      <c r="AI23" s="246">
        <f t="shared" si="5"/>
        <v>0</v>
      </c>
      <c r="AJ23" s="246">
        <f t="shared" si="5"/>
        <v>0</v>
      </c>
      <c r="AK23" s="246">
        <f t="shared" si="5"/>
        <v>0</v>
      </c>
      <c r="AL23" s="246">
        <f t="shared" si="5"/>
        <v>0</v>
      </c>
      <c r="AM23" s="246">
        <f t="shared" si="5"/>
        <v>0</v>
      </c>
      <c r="AN23" s="246">
        <f t="shared" si="5"/>
        <v>0</v>
      </c>
      <c r="AO23" s="246">
        <f t="shared" si="5"/>
        <v>0</v>
      </c>
      <c r="AP23" s="246">
        <f t="shared" si="5"/>
        <v>0</v>
      </c>
      <c r="AQ23" s="246">
        <f t="shared" si="5"/>
        <v>0</v>
      </c>
      <c r="AR23" s="246">
        <f t="shared" si="5"/>
        <v>0</v>
      </c>
      <c r="AS23" s="246">
        <f t="shared" si="5"/>
        <v>0</v>
      </c>
      <c r="AT23" s="246">
        <f t="shared" si="5"/>
        <v>0</v>
      </c>
      <c r="AU23" s="246">
        <f t="shared" si="5"/>
        <v>0</v>
      </c>
      <c r="AV23" s="246">
        <f t="shared" si="5"/>
        <v>0</v>
      </c>
      <c r="AW23" s="246">
        <f t="shared" si="5"/>
        <v>0</v>
      </c>
      <c r="AX23" s="246">
        <f t="shared" si="5"/>
        <v>0</v>
      </c>
      <c r="AY23" s="246">
        <f t="shared" si="5"/>
        <v>0</v>
      </c>
      <c r="AZ23" s="246">
        <f t="shared" si="5"/>
        <v>0</v>
      </c>
      <c r="BA23" s="246">
        <f t="shared" si="5"/>
        <v>0</v>
      </c>
      <c r="BB23" s="246">
        <f t="shared" si="5"/>
        <v>0</v>
      </c>
      <c r="BC23" s="246">
        <f t="shared" si="5"/>
        <v>0</v>
      </c>
      <c r="BD23" s="246">
        <f t="shared" si="5"/>
        <v>0</v>
      </c>
      <c r="BE23" s="246">
        <f t="shared" si="5"/>
        <v>0</v>
      </c>
      <c r="BF23" s="246">
        <f t="shared" si="5"/>
        <v>0</v>
      </c>
      <c r="BG23" s="246">
        <f t="shared" si="5"/>
        <v>0</v>
      </c>
      <c r="BH23" s="246">
        <f t="shared" si="5"/>
        <v>0</v>
      </c>
      <c r="BI23" s="246">
        <f t="shared" si="5"/>
        <v>0</v>
      </c>
      <c r="BJ23" s="246">
        <f t="shared" si="5"/>
        <v>0</v>
      </c>
      <c r="BK23" s="246">
        <f t="shared" si="5"/>
        <v>0</v>
      </c>
      <c r="BL23" s="246">
        <f t="shared" si="5"/>
        <v>0</v>
      </c>
      <c r="BM23" s="246">
        <f t="shared" si="5"/>
        <v>0</v>
      </c>
      <c r="BN23" s="246">
        <f t="shared" si="5"/>
        <v>0</v>
      </c>
      <c r="BO23" s="246">
        <f t="shared" si="5"/>
        <v>0</v>
      </c>
      <c r="BP23" s="246">
        <f t="shared" si="5"/>
        <v>0</v>
      </c>
      <c r="BQ23" s="246">
        <f t="shared" si="5"/>
        <v>0</v>
      </c>
      <c r="BR23" s="246">
        <f t="shared" si="5"/>
        <v>0</v>
      </c>
      <c r="BS23" s="246">
        <f t="shared" si="5"/>
        <v>0</v>
      </c>
      <c r="BT23" s="246">
        <f t="shared" si="5"/>
        <v>0</v>
      </c>
      <c r="BU23" s="246">
        <f t="shared" si="5"/>
        <v>0</v>
      </c>
      <c r="BV23" s="246">
        <f t="shared" si="5"/>
        <v>0</v>
      </c>
      <c r="BW23" s="246">
        <f t="shared" si="5"/>
        <v>0</v>
      </c>
      <c r="BX23" s="246">
        <f t="shared" si="5"/>
        <v>0</v>
      </c>
      <c r="BY23" s="247">
        <f t="shared" si="5"/>
        <v>-1387514.52</v>
      </c>
      <c r="BZ23" s="597"/>
      <c r="CA23" s="222"/>
      <c r="CB23" s="248"/>
      <c r="CC23" s="597"/>
      <c r="CD23" s="222"/>
      <c r="CE23" s="222"/>
      <c r="CF23" s="222"/>
      <c r="CG23" s="222">
        <f>BY5</f>
        <v>16365002</v>
      </c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</row>
    <row r="24" spans="1:138" ht="15.95" outlineLevel="1">
      <c r="A24" s="505"/>
      <c r="B24" s="600"/>
      <c r="C24" s="249" t="s">
        <v>229</v>
      </c>
      <c r="D24" s="254" t="s">
        <v>223</v>
      </c>
      <c r="E24" s="255"/>
      <c r="F24" s="255"/>
      <c r="G24" s="255"/>
      <c r="H24" s="256"/>
      <c r="I24" s="256">
        <f>-302500*1.21</f>
        <v>-366025</v>
      </c>
      <c r="J24" s="256"/>
      <c r="K24" s="256"/>
      <c r="L24" s="256">
        <f>-15913.92</f>
        <v>-15913.92</v>
      </c>
      <c r="M24" s="256"/>
      <c r="N24" s="256"/>
      <c r="O24" s="256"/>
      <c r="P24" s="256"/>
      <c r="Q24" s="256">
        <f>-36051</f>
        <v>-36051</v>
      </c>
      <c r="R24" s="256">
        <f>-Businessplan_prodej!$F$21*0.5*1.21</f>
        <v>-393250</v>
      </c>
      <c r="S24" s="256"/>
      <c r="T24" s="256">
        <f>-Businessplan_prodej!$F$21*0.5*1.21</f>
        <v>-393250</v>
      </c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7">
        <f t="shared" ref="BY24:BY25" si="6">SUM(E24:BX24)</f>
        <v>-1204489.92</v>
      </c>
      <c r="BZ24" s="597"/>
      <c r="CA24" s="222"/>
      <c r="CB24" s="248"/>
      <c r="CC24" s="597"/>
      <c r="CD24" s="222"/>
      <c r="CE24" s="222"/>
      <c r="CF24" s="222"/>
      <c r="CG24" s="238">
        <f>0.11</f>
        <v>0.11</v>
      </c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</row>
    <row r="25" spans="1:138" ht="15.95" outlineLevel="1">
      <c r="A25" s="505"/>
      <c r="B25" s="600"/>
      <c r="C25" s="249" t="s">
        <v>230</v>
      </c>
      <c r="D25" s="254" t="s">
        <v>223</v>
      </c>
      <c r="E25" s="255"/>
      <c r="F25" s="255"/>
      <c r="G25" s="255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>
        <f>-Businessplan_prodej!$F$22*1.21</f>
        <v>-183024.6</v>
      </c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7">
        <f t="shared" si="6"/>
        <v>-183024.6</v>
      </c>
      <c r="BZ25" s="597"/>
      <c r="CA25" s="222"/>
      <c r="CB25" s="248"/>
      <c r="CC25" s="597"/>
      <c r="CD25" s="222"/>
      <c r="CE25" s="222"/>
      <c r="CF25" s="222"/>
      <c r="CG25" s="258">
        <v>45590</v>
      </c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</row>
    <row r="26" spans="1:138" ht="15.95">
      <c r="A26" s="505"/>
      <c r="B26" s="600"/>
      <c r="C26" s="244" t="s">
        <v>231</v>
      </c>
      <c r="D26" s="245"/>
      <c r="E26" s="246">
        <f t="shared" ref="E26:BX26" si="7">SUM(E27:E33)</f>
        <v>0</v>
      </c>
      <c r="F26" s="246">
        <f t="shared" si="7"/>
        <v>0</v>
      </c>
      <c r="G26" s="246">
        <f t="shared" si="7"/>
        <v>0</v>
      </c>
      <c r="H26" s="246">
        <f t="shared" si="7"/>
        <v>-2420</v>
      </c>
      <c r="I26" s="246">
        <f t="shared" si="7"/>
        <v>-1081909</v>
      </c>
      <c r="J26" s="246">
        <f t="shared" si="7"/>
        <v>0</v>
      </c>
      <c r="K26" s="246">
        <f t="shared" si="7"/>
        <v>0</v>
      </c>
      <c r="L26" s="246">
        <f t="shared" si="7"/>
        <v>-4688041</v>
      </c>
      <c r="M26" s="246">
        <f t="shared" si="7"/>
        <v>-10044501.530000001</v>
      </c>
      <c r="N26" s="246">
        <f t="shared" si="7"/>
        <v>-19919080.57</v>
      </c>
      <c r="O26" s="246">
        <f t="shared" si="7"/>
        <v>-9000862.4199999999</v>
      </c>
      <c r="P26" s="246">
        <f t="shared" si="7"/>
        <v>-12065344.113</v>
      </c>
      <c r="Q26" s="246">
        <f t="shared" si="7"/>
        <v>-2929659.3669999987</v>
      </c>
      <c r="R26" s="246">
        <f t="shared" si="7"/>
        <v>-1500000</v>
      </c>
      <c r="S26" s="246">
        <f t="shared" si="7"/>
        <v>0</v>
      </c>
      <c r="T26" s="246">
        <f t="shared" si="7"/>
        <v>-21666.666666666668</v>
      </c>
      <c r="U26" s="246">
        <f t="shared" si="7"/>
        <v>-6103686.666666667</v>
      </c>
      <c r="V26" s="246">
        <f t="shared" si="7"/>
        <v>-5235186.666666667</v>
      </c>
      <c r="W26" s="246">
        <f t="shared" si="7"/>
        <v>-5235186.666666667</v>
      </c>
      <c r="X26" s="246">
        <f t="shared" si="7"/>
        <v>-5235186.666666667</v>
      </c>
      <c r="Y26" s="246">
        <f t="shared" si="7"/>
        <v>-5235186.666666667</v>
      </c>
      <c r="Z26" s="246">
        <f t="shared" si="7"/>
        <v>0</v>
      </c>
      <c r="AA26" s="246">
        <f t="shared" si="7"/>
        <v>0</v>
      </c>
      <c r="AB26" s="246">
        <f t="shared" si="7"/>
        <v>0</v>
      </c>
      <c r="AC26" s="246">
        <f t="shared" si="7"/>
        <v>0</v>
      </c>
      <c r="AD26" s="246">
        <f t="shared" si="7"/>
        <v>0</v>
      </c>
      <c r="AE26" s="246">
        <f t="shared" si="7"/>
        <v>0</v>
      </c>
      <c r="AF26" s="246">
        <f t="shared" si="7"/>
        <v>0</v>
      </c>
      <c r="AG26" s="246">
        <f t="shared" si="7"/>
        <v>0</v>
      </c>
      <c r="AH26" s="246">
        <f t="shared" si="7"/>
        <v>0</v>
      </c>
      <c r="AI26" s="246">
        <f t="shared" si="7"/>
        <v>0</v>
      </c>
      <c r="AJ26" s="246">
        <f t="shared" si="7"/>
        <v>0</v>
      </c>
      <c r="AK26" s="246">
        <f t="shared" si="7"/>
        <v>0</v>
      </c>
      <c r="AL26" s="246">
        <f t="shared" si="7"/>
        <v>0</v>
      </c>
      <c r="AM26" s="246">
        <f t="shared" si="7"/>
        <v>0</v>
      </c>
      <c r="AN26" s="246">
        <f t="shared" si="7"/>
        <v>0</v>
      </c>
      <c r="AO26" s="246">
        <f t="shared" si="7"/>
        <v>0</v>
      </c>
      <c r="AP26" s="246">
        <f t="shared" si="7"/>
        <v>0</v>
      </c>
      <c r="AQ26" s="246">
        <f t="shared" si="7"/>
        <v>0</v>
      </c>
      <c r="AR26" s="246">
        <f t="shared" si="7"/>
        <v>0</v>
      </c>
      <c r="AS26" s="246">
        <f t="shared" si="7"/>
        <v>0</v>
      </c>
      <c r="AT26" s="246">
        <f t="shared" si="7"/>
        <v>0</v>
      </c>
      <c r="AU26" s="246">
        <f t="shared" si="7"/>
        <v>0</v>
      </c>
      <c r="AV26" s="246">
        <f t="shared" si="7"/>
        <v>0</v>
      </c>
      <c r="AW26" s="246">
        <f t="shared" si="7"/>
        <v>0</v>
      </c>
      <c r="AX26" s="246">
        <f t="shared" si="7"/>
        <v>0</v>
      </c>
      <c r="AY26" s="246">
        <f t="shared" si="7"/>
        <v>0</v>
      </c>
      <c r="AZ26" s="246">
        <f t="shared" si="7"/>
        <v>0</v>
      </c>
      <c r="BA26" s="246">
        <f t="shared" si="7"/>
        <v>0</v>
      </c>
      <c r="BB26" s="246">
        <f t="shared" si="7"/>
        <v>0</v>
      </c>
      <c r="BC26" s="246">
        <f t="shared" si="7"/>
        <v>0</v>
      </c>
      <c r="BD26" s="246">
        <f t="shared" si="7"/>
        <v>0</v>
      </c>
      <c r="BE26" s="246">
        <f t="shared" si="7"/>
        <v>0</v>
      </c>
      <c r="BF26" s="246">
        <f t="shared" si="7"/>
        <v>0</v>
      </c>
      <c r="BG26" s="246">
        <f t="shared" si="7"/>
        <v>0</v>
      </c>
      <c r="BH26" s="246">
        <f t="shared" si="7"/>
        <v>0</v>
      </c>
      <c r="BI26" s="246">
        <f t="shared" si="7"/>
        <v>0</v>
      </c>
      <c r="BJ26" s="246">
        <f t="shared" si="7"/>
        <v>0</v>
      </c>
      <c r="BK26" s="246">
        <f t="shared" si="7"/>
        <v>0</v>
      </c>
      <c r="BL26" s="246">
        <f t="shared" si="7"/>
        <v>0</v>
      </c>
      <c r="BM26" s="246">
        <f t="shared" si="7"/>
        <v>0</v>
      </c>
      <c r="BN26" s="246">
        <f t="shared" si="7"/>
        <v>0</v>
      </c>
      <c r="BO26" s="246">
        <f t="shared" si="7"/>
        <v>0</v>
      </c>
      <c r="BP26" s="246">
        <f t="shared" si="7"/>
        <v>0</v>
      </c>
      <c r="BQ26" s="246">
        <f t="shared" si="7"/>
        <v>0</v>
      </c>
      <c r="BR26" s="246">
        <f t="shared" si="7"/>
        <v>0</v>
      </c>
      <c r="BS26" s="246">
        <f t="shared" si="7"/>
        <v>0</v>
      </c>
      <c r="BT26" s="246">
        <f t="shared" si="7"/>
        <v>0</v>
      </c>
      <c r="BU26" s="246">
        <f t="shared" si="7"/>
        <v>0</v>
      </c>
      <c r="BV26" s="246">
        <f t="shared" si="7"/>
        <v>0</v>
      </c>
      <c r="BW26" s="246">
        <f t="shared" si="7"/>
        <v>0</v>
      </c>
      <c r="BX26" s="246">
        <f t="shared" si="7"/>
        <v>0</v>
      </c>
      <c r="BY26" s="248">
        <f>SUM(BY27:BY33)</f>
        <v>-88297918</v>
      </c>
      <c r="BZ26" s="597"/>
      <c r="CA26" s="222"/>
      <c r="CB26" s="248"/>
      <c r="CC26" s="597"/>
      <c r="CD26" s="222"/>
      <c r="CE26" s="238"/>
      <c r="CF26" s="222"/>
      <c r="CG26" s="258">
        <v>46142</v>
      </c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</row>
    <row r="27" spans="1:138" ht="15.95" outlineLevel="1">
      <c r="A27" s="505"/>
      <c r="B27" s="600"/>
      <c r="C27" s="249" t="s">
        <v>232</v>
      </c>
      <c r="D27" s="250" t="s">
        <v>223</v>
      </c>
      <c r="E27" s="251"/>
      <c r="F27" s="251"/>
      <c r="G27" s="251"/>
      <c r="H27" s="252"/>
      <c r="I27" s="252"/>
      <c r="J27" s="252"/>
      <c r="K27" s="252"/>
      <c r="L27" s="252">
        <f>-4688041</f>
        <v>-4688041</v>
      </c>
      <c r="M27" s="252">
        <f>-3615000-6429501.53</f>
        <v>-10044501.530000001</v>
      </c>
      <c r="N27" s="252">
        <f>-19909473.57</f>
        <v>-19909473.57</v>
      </c>
      <c r="O27" s="252">
        <f>-8977222.42</f>
        <v>-8977222.4199999999</v>
      </c>
      <c r="P27" s="252">
        <f>-10127350.57*0.9-2929658.6</f>
        <v>-12044274.113</v>
      </c>
      <c r="Q27" s="252">
        <f>-(58593172+SUM($L$27:P27))</f>
        <v>-2929659.3669999987</v>
      </c>
      <c r="R27" s="252">
        <f>-1500000</f>
        <v>-1500000</v>
      </c>
      <c r="S27" s="252"/>
      <c r="T27" s="252"/>
      <c r="U27" s="259">
        <f>-(Businessplan_prodej!$F$31)/5</f>
        <v>-4737200</v>
      </c>
      <c r="V27" s="259">
        <f>-(Businessplan_prodej!$F$31)/5</f>
        <v>-4737200</v>
      </c>
      <c r="W27" s="259">
        <f>-(Businessplan_prodej!$F$31)/5</f>
        <v>-4737200</v>
      </c>
      <c r="X27" s="259">
        <f>-(Businessplan_prodej!$F$31)/5</f>
        <v>-4737200</v>
      </c>
      <c r="Y27" s="259">
        <f>-(Businessplan_prodej!$F$31)/5</f>
        <v>-4737200</v>
      </c>
      <c r="Z27" s="252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60"/>
      <c r="BY27" s="261">
        <f t="shared" ref="BY27:BY33" si="8">SUM(E27:BX27)</f>
        <v>-83779172</v>
      </c>
      <c r="BZ27" s="597"/>
      <c r="CA27" s="222"/>
      <c r="CB27" s="248"/>
      <c r="CC27" s="597"/>
      <c r="CD27" s="222"/>
      <c r="CE27" s="222"/>
      <c r="CF27" s="222"/>
      <c r="CG27" s="222">
        <f>CG26-CG25</f>
        <v>552</v>
      </c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</row>
    <row r="28" spans="1:138" ht="15.95" outlineLevel="1">
      <c r="A28" s="505"/>
      <c r="B28" s="600"/>
      <c r="C28" s="249" t="s">
        <v>233</v>
      </c>
      <c r="D28" s="250" t="s">
        <v>223</v>
      </c>
      <c r="E28" s="251"/>
      <c r="F28" s="251"/>
      <c r="G28" s="251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60"/>
      <c r="BY28" s="262">
        <f t="shared" si="8"/>
        <v>0</v>
      </c>
      <c r="BZ28" s="597"/>
      <c r="CA28" s="222"/>
      <c r="CB28" s="248"/>
      <c r="CC28" s="597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</row>
    <row r="29" spans="1:138" ht="15.95" outlineLevel="1">
      <c r="A29" s="505"/>
      <c r="B29" s="600"/>
      <c r="C29" s="249" t="s">
        <v>234</v>
      </c>
      <c r="D29" s="250" t="s">
        <v>223</v>
      </c>
      <c r="E29" s="251"/>
      <c r="F29" s="251"/>
      <c r="G29" s="251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60"/>
      <c r="BY29" s="262">
        <f t="shared" si="8"/>
        <v>0</v>
      </c>
      <c r="BZ29" s="597"/>
      <c r="CA29" s="222"/>
      <c r="CB29" s="248"/>
      <c r="CC29" s="597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</row>
    <row r="30" spans="1:138" ht="15.95" outlineLevel="1">
      <c r="A30" s="505"/>
      <c r="B30" s="600"/>
      <c r="C30" s="249" t="s">
        <v>235</v>
      </c>
      <c r="D30" s="250" t="s">
        <v>223</v>
      </c>
      <c r="E30" s="251"/>
      <c r="F30" s="251"/>
      <c r="G30" s="251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>
        <f>-Businessplan_prodej!$F$37*0.5</f>
        <v>0</v>
      </c>
      <c r="V30" s="252">
        <f>-Businessplan_prodej!$F$37*0.3</f>
        <v>0</v>
      </c>
      <c r="W30" s="252">
        <f>-Businessplan_prodej!$F$37*0.2</f>
        <v>0</v>
      </c>
      <c r="X30" s="252"/>
      <c r="Y30" s="252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60"/>
      <c r="BY30" s="262">
        <f t="shared" si="8"/>
        <v>0</v>
      </c>
      <c r="BZ30" s="597"/>
      <c r="CA30" s="222"/>
      <c r="CB30" s="248"/>
      <c r="CC30" s="597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</row>
    <row r="31" spans="1:138" ht="15.95" outlineLevel="1">
      <c r="A31" s="505"/>
      <c r="B31" s="600"/>
      <c r="C31" s="249" t="s">
        <v>236</v>
      </c>
      <c r="D31" s="250" t="s">
        <v>223</v>
      </c>
      <c r="E31" s="251"/>
      <c r="F31" s="251"/>
      <c r="G31" s="251"/>
      <c r="H31" s="252">
        <f>-2420</f>
        <v>-2420</v>
      </c>
      <c r="I31" s="252"/>
      <c r="J31" s="252"/>
      <c r="K31" s="252"/>
      <c r="L31" s="252"/>
      <c r="M31" s="252"/>
      <c r="N31" s="252">
        <f>-500-9107</f>
        <v>-9607</v>
      </c>
      <c r="O31" s="252">
        <f>-18750-2420-2470</f>
        <v>-23640</v>
      </c>
      <c r="P31" s="252">
        <f>-500-20570</f>
        <v>-21070</v>
      </c>
      <c r="Q31" s="252"/>
      <c r="R31" s="252"/>
      <c r="S31" s="252"/>
      <c r="T31" s="252">
        <f>-Businessplan_prodej!$F$38/6</f>
        <v>-21666.666666666668</v>
      </c>
      <c r="U31" s="252">
        <f>-Businessplan_prodej!$F$38/6</f>
        <v>-21666.666666666668</v>
      </c>
      <c r="V31" s="252">
        <f>-Businessplan_prodej!$F$38/6</f>
        <v>-21666.666666666668</v>
      </c>
      <c r="W31" s="252">
        <f>-Businessplan_prodej!$F$38/6</f>
        <v>-21666.666666666668</v>
      </c>
      <c r="X31" s="252">
        <f>-Businessplan_prodej!$F$38/6</f>
        <v>-21666.666666666668</v>
      </c>
      <c r="Y31" s="252">
        <f>-Businessplan_prodej!$F$38/6</f>
        <v>-21666.666666666668</v>
      </c>
      <c r="Z31" s="252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60"/>
      <c r="BY31" s="262">
        <f t="shared" si="8"/>
        <v>-186737</v>
      </c>
      <c r="BZ31" s="597"/>
      <c r="CA31" s="222"/>
      <c r="CB31" s="248"/>
      <c r="CC31" s="597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</row>
    <row r="32" spans="1:138" ht="15.95" outlineLevel="1">
      <c r="A32" s="505"/>
      <c r="B32" s="600"/>
      <c r="C32" s="263" t="s">
        <v>237</v>
      </c>
      <c r="D32" s="250" t="s">
        <v>223</v>
      </c>
      <c r="E32" s="251"/>
      <c r="F32" s="251"/>
      <c r="G32" s="251"/>
      <c r="H32" s="252"/>
      <c r="I32" s="252">
        <f>-1081909</f>
        <v>-1081909</v>
      </c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>
        <f>-868500</f>
        <v>-868500</v>
      </c>
      <c r="V32" s="252"/>
      <c r="W32" s="252"/>
      <c r="X32" s="252"/>
      <c r="Y32" s="252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60"/>
      <c r="BY32" s="262">
        <f t="shared" si="8"/>
        <v>-1950409</v>
      </c>
      <c r="BZ32" s="597"/>
      <c r="CA32" s="222"/>
      <c r="CB32" s="248"/>
      <c r="CC32" s="597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</row>
    <row r="33" spans="1:138" ht="15.95" outlineLevel="1">
      <c r="A33" s="505"/>
      <c r="B33" s="600"/>
      <c r="C33" s="249" t="s">
        <v>238</v>
      </c>
      <c r="D33" s="254" t="s">
        <v>223</v>
      </c>
      <c r="E33" s="251"/>
      <c r="F33" s="251"/>
      <c r="G33" s="251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9">
        <f>-Businessplan_prodej!$F$41/5</f>
        <v>-476320</v>
      </c>
      <c r="V33" s="259">
        <f>-Businessplan_prodej!$F$41/5</f>
        <v>-476320</v>
      </c>
      <c r="W33" s="259">
        <f>-Businessplan_prodej!$F$41/5</f>
        <v>-476320</v>
      </c>
      <c r="X33" s="259">
        <f>-Businessplan_prodej!$F$41/5</f>
        <v>-476320</v>
      </c>
      <c r="Y33" s="259">
        <f>-Businessplan_prodej!$F$41/5</f>
        <v>-476320</v>
      </c>
      <c r="Z33" s="252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60"/>
      <c r="BY33" s="264">
        <f t="shared" si="8"/>
        <v>-2381600</v>
      </c>
      <c r="BZ33" s="597"/>
      <c r="CA33" s="222"/>
      <c r="CB33" s="248"/>
      <c r="CC33" s="597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</row>
    <row r="34" spans="1:138" ht="15.95">
      <c r="A34" s="505"/>
      <c r="B34" s="600"/>
      <c r="C34" s="244" t="s">
        <v>239</v>
      </c>
      <c r="D34" s="245"/>
      <c r="E34" s="246">
        <f t="shared" ref="E34:BX34" si="9">SUM(E35:E36)</f>
        <v>0</v>
      </c>
      <c r="F34" s="246">
        <f t="shared" si="9"/>
        <v>0</v>
      </c>
      <c r="G34" s="246">
        <f t="shared" si="9"/>
        <v>0</v>
      </c>
      <c r="H34" s="246">
        <f t="shared" si="9"/>
        <v>0</v>
      </c>
      <c r="I34" s="246">
        <f t="shared" si="9"/>
        <v>0</v>
      </c>
      <c r="J34" s="246">
        <f t="shared" si="9"/>
        <v>0</v>
      </c>
      <c r="K34" s="246">
        <f t="shared" si="9"/>
        <v>0</v>
      </c>
      <c r="L34" s="246">
        <f t="shared" si="9"/>
        <v>0</v>
      </c>
      <c r="M34" s="246">
        <f t="shared" si="9"/>
        <v>0</v>
      </c>
      <c r="N34" s="246">
        <f t="shared" si="9"/>
        <v>0</v>
      </c>
      <c r="O34" s="246">
        <f t="shared" si="9"/>
        <v>0</v>
      </c>
      <c r="P34" s="246">
        <f t="shared" si="9"/>
        <v>0</v>
      </c>
      <c r="Q34" s="246">
        <f t="shared" si="9"/>
        <v>0</v>
      </c>
      <c r="R34" s="246">
        <f t="shared" si="9"/>
        <v>0</v>
      </c>
      <c r="S34" s="246">
        <f t="shared" si="9"/>
        <v>0</v>
      </c>
      <c r="T34" s="246">
        <f t="shared" si="9"/>
        <v>0</v>
      </c>
      <c r="U34" s="246">
        <f t="shared" si="9"/>
        <v>-862800</v>
      </c>
      <c r="V34" s="246">
        <f t="shared" si="9"/>
        <v>-862800</v>
      </c>
      <c r="W34" s="246">
        <f t="shared" si="9"/>
        <v>-862800</v>
      </c>
      <c r="X34" s="246">
        <f t="shared" si="9"/>
        <v>-862800</v>
      </c>
      <c r="Y34" s="246">
        <f t="shared" si="9"/>
        <v>-862800</v>
      </c>
      <c r="Z34" s="246">
        <f t="shared" si="9"/>
        <v>0</v>
      </c>
      <c r="AA34" s="246">
        <f t="shared" si="9"/>
        <v>0</v>
      </c>
      <c r="AB34" s="246">
        <f t="shared" si="9"/>
        <v>0</v>
      </c>
      <c r="AC34" s="246">
        <f t="shared" si="9"/>
        <v>0</v>
      </c>
      <c r="AD34" s="246">
        <f t="shared" si="9"/>
        <v>0</v>
      </c>
      <c r="AE34" s="246">
        <f t="shared" si="9"/>
        <v>0</v>
      </c>
      <c r="AF34" s="246">
        <f t="shared" si="9"/>
        <v>0</v>
      </c>
      <c r="AG34" s="246">
        <f t="shared" si="9"/>
        <v>0</v>
      </c>
      <c r="AH34" s="246">
        <f t="shared" si="9"/>
        <v>0</v>
      </c>
      <c r="AI34" s="246">
        <f t="shared" si="9"/>
        <v>0</v>
      </c>
      <c r="AJ34" s="246">
        <f t="shared" si="9"/>
        <v>0</v>
      </c>
      <c r="AK34" s="246">
        <f t="shared" si="9"/>
        <v>0</v>
      </c>
      <c r="AL34" s="246">
        <f t="shared" si="9"/>
        <v>0</v>
      </c>
      <c r="AM34" s="246">
        <f t="shared" si="9"/>
        <v>0</v>
      </c>
      <c r="AN34" s="246">
        <f t="shared" si="9"/>
        <v>0</v>
      </c>
      <c r="AO34" s="246">
        <f t="shared" si="9"/>
        <v>0</v>
      </c>
      <c r="AP34" s="246">
        <f t="shared" si="9"/>
        <v>0</v>
      </c>
      <c r="AQ34" s="246">
        <f t="shared" si="9"/>
        <v>0</v>
      </c>
      <c r="AR34" s="246">
        <f t="shared" si="9"/>
        <v>0</v>
      </c>
      <c r="AS34" s="246">
        <f t="shared" si="9"/>
        <v>0</v>
      </c>
      <c r="AT34" s="246">
        <f t="shared" si="9"/>
        <v>0</v>
      </c>
      <c r="AU34" s="246">
        <f t="shared" si="9"/>
        <v>0</v>
      </c>
      <c r="AV34" s="246">
        <f t="shared" si="9"/>
        <v>0</v>
      </c>
      <c r="AW34" s="246">
        <f t="shared" si="9"/>
        <v>0</v>
      </c>
      <c r="AX34" s="246">
        <f t="shared" si="9"/>
        <v>0</v>
      </c>
      <c r="AY34" s="246">
        <f t="shared" si="9"/>
        <v>0</v>
      </c>
      <c r="AZ34" s="246">
        <f t="shared" si="9"/>
        <v>0</v>
      </c>
      <c r="BA34" s="246">
        <f t="shared" si="9"/>
        <v>0</v>
      </c>
      <c r="BB34" s="246">
        <f t="shared" si="9"/>
        <v>0</v>
      </c>
      <c r="BC34" s="246">
        <f t="shared" si="9"/>
        <v>0</v>
      </c>
      <c r="BD34" s="246">
        <f t="shared" si="9"/>
        <v>0</v>
      </c>
      <c r="BE34" s="246">
        <f t="shared" si="9"/>
        <v>0</v>
      </c>
      <c r="BF34" s="246">
        <f t="shared" si="9"/>
        <v>0</v>
      </c>
      <c r="BG34" s="246">
        <f t="shared" si="9"/>
        <v>0</v>
      </c>
      <c r="BH34" s="246">
        <f t="shared" si="9"/>
        <v>0</v>
      </c>
      <c r="BI34" s="246">
        <f t="shared" si="9"/>
        <v>0</v>
      </c>
      <c r="BJ34" s="246">
        <f t="shared" si="9"/>
        <v>0</v>
      </c>
      <c r="BK34" s="246">
        <f t="shared" si="9"/>
        <v>0</v>
      </c>
      <c r="BL34" s="246">
        <f t="shared" si="9"/>
        <v>0</v>
      </c>
      <c r="BM34" s="246">
        <f t="shared" si="9"/>
        <v>0</v>
      </c>
      <c r="BN34" s="246">
        <f t="shared" si="9"/>
        <v>0</v>
      </c>
      <c r="BO34" s="246">
        <f t="shared" si="9"/>
        <v>0</v>
      </c>
      <c r="BP34" s="246">
        <f t="shared" si="9"/>
        <v>0</v>
      </c>
      <c r="BQ34" s="246">
        <f t="shared" si="9"/>
        <v>0</v>
      </c>
      <c r="BR34" s="246">
        <f t="shared" si="9"/>
        <v>0</v>
      </c>
      <c r="BS34" s="246">
        <f t="shared" si="9"/>
        <v>0</v>
      </c>
      <c r="BT34" s="246">
        <f t="shared" si="9"/>
        <v>0</v>
      </c>
      <c r="BU34" s="246">
        <f t="shared" si="9"/>
        <v>0</v>
      </c>
      <c r="BV34" s="246">
        <f t="shared" si="9"/>
        <v>0</v>
      </c>
      <c r="BW34" s="246">
        <f t="shared" si="9"/>
        <v>0</v>
      </c>
      <c r="BX34" s="246">
        <f t="shared" si="9"/>
        <v>0</v>
      </c>
      <c r="BY34" s="248">
        <f>SUM(BY35:BY36)</f>
        <v>-4314000</v>
      </c>
      <c r="BZ34" s="597"/>
      <c r="CA34" s="222"/>
      <c r="CB34" s="248"/>
      <c r="CC34" s="597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</row>
    <row r="35" spans="1:138" ht="15.95" outlineLevel="1">
      <c r="A35" s="505"/>
      <c r="B35" s="600"/>
      <c r="C35" s="249" t="s">
        <v>240</v>
      </c>
      <c r="D35" s="250" t="s">
        <v>223</v>
      </c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65">
        <f>-Businessplan_prodej!$C$51/5</f>
        <v>-862800</v>
      </c>
      <c r="V35" s="265">
        <f>-Businessplan_prodej!$C$51/5</f>
        <v>-862800</v>
      </c>
      <c r="W35" s="265">
        <f>-Businessplan_prodej!$C$51/5</f>
        <v>-862800</v>
      </c>
      <c r="X35" s="265">
        <f>-Businessplan_prodej!$C$51/5</f>
        <v>-862800</v>
      </c>
      <c r="Y35" s="265">
        <f>-Businessplan_prodej!$C$51/5</f>
        <v>-862800</v>
      </c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60"/>
      <c r="BY35" s="261">
        <f t="shared" ref="BY35:BY36" si="10">SUM(E35:BX35)</f>
        <v>-4314000</v>
      </c>
      <c r="BZ35" s="597"/>
      <c r="CA35" s="222"/>
      <c r="CB35" s="248"/>
      <c r="CC35" s="597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</row>
    <row r="36" spans="1:138" ht="15.95" outlineLevel="1">
      <c r="A36" s="505"/>
      <c r="B36" s="600"/>
      <c r="C36" s="249" t="s">
        <v>241</v>
      </c>
      <c r="D36" s="254" t="s">
        <v>223</v>
      </c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66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60"/>
      <c r="BY36" s="264">
        <f t="shared" si="10"/>
        <v>0</v>
      </c>
      <c r="BZ36" s="597"/>
      <c r="CA36" s="222"/>
      <c r="CB36" s="248"/>
      <c r="CC36" s="597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</row>
    <row r="37" spans="1:138" ht="15.95">
      <c r="A37" s="505"/>
      <c r="B37" s="600"/>
      <c r="C37" s="244" t="s">
        <v>242</v>
      </c>
      <c r="D37" s="245"/>
      <c r="E37" s="246">
        <f t="shared" ref="E37:G37" si="11">SUM(E38:E48)</f>
        <v>0</v>
      </c>
      <c r="F37" s="246">
        <f t="shared" si="11"/>
        <v>0</v>
      </c>
      <c r="G37" s="246">
        <f t="shared" si="11"/>
        <v>0</v>
      </c>
      <c r="H37" s="246">
        <f t="shared" ref="H37:BM37" si="12">SUM(H38:H41,H42,H45,H46:H48)</f>
        <v>-113225.2</v>
      </c>
      <c r="I37" s="246">
        <f t="shared" si="12"/>
        <v>-414970</v>
      </c>
      <c r="J37" s="246">
        <f t="shared" si="12"/>
        <v>-1007845.81</v>
      </c>
      <c r="K37" s="246">
        <f t="shared" si="12"/>
        <v>-901583.60700000008</v>
      </c>
      <c r="L37" s="246">
        <f t="shared" si="12"/>
        <v>-332396.81</v>
      </c>
      <c r="M37" s="246">
        <f t="shared" si="12"/>
        <v>-666968.62</v>
      </c>
      <c r="N37" s="246">
        <f t="shared" si="12"/>
        <v>-25339</v>
      </c>
      <c r="O37" s="246">
        <f t="shared" si="12"/>
        <v>-744252.62</v>
      </c>
      <c r="P37" s="246">
        <f t="shared" si="12"/>
        <v>-417381.81</v>
      </c>
      <c r="Q37" s="246">
        <f t="shared" si="12"/>
        <v>-306298.36900000001</v>
      </c>
      <c r="R37" s="246">
        <f t="shared" si="12"/>
        <v>-750246.54499999993</v>
      </c>
      <c r="S37" s="246">
        <f t="shared" si="12"/>
        <v>-825795.94079999987</v>
      </c>
      <c r="T37" s="246">
        <f t="shared" si="12"/>
        <v>-337218.85</v>
      </c>
      <c r="U37" s="246">
        <f t="shared" si="12"/>
        <v>-307771.92499999999</v>
      </c>
      <c r="V37" s="246">
        <f t="shared" si="12"/>
        <v>-307771.92499999999</v>
      </c>
      <c r="W37" s="246">
        <f t="shared" si="12"/>
        <v>-373111.92499999999</v>
      </c>
      <c r="X37" s="246">
        <f t="shared" si="12"/>
        <v>-307771.92499999999</v>
      </c>
      <c r="Y37" s="246">
        <f t="shared" si="12"/>
        <v>-416671.92499999999</v>
      </c>
      <c r="Z37" s="246">
        <f t="shared" si="12"/>
        <v>-513948.40079999989</v>
      </c>
      <c r="AA37" s="246">
        <f t="shared" si="12"/>
        <v>-14235</v>
      </c>
      <c r="AB37" s="246">
        <f t="shared" si="12"/>
        <v>-4235</v>
      </c>
      <c r="AC37" s="246">
        <f t="shared" si="12"/>
        <v>-4235</v>
      </c>
      <c r="AD37" s="246">
        <f t="shared" si="12"/>
        <v>-4235</v>
      </c>
      <c r="AE37" s="246">
        <f t="shared" si="12"/>
        <v>-4235</v>
      </c>
      <c r="AF37" s="246">
        <f t="shared" si="12"/>
        <v>-4235</v>
      </c>
      <c r="AG37" s="246">
        <f t="shared" si="12"/>
        <v>0</v>
      </c>
      <c r="AH37" s="246">
        <f t="shared" si="12"/>
        <v>0</v>
      </c>
      <c r="AI37" s="246">
        <f t="shared" si="12"/>
        <v>0</v>
      </c>
      <c r="AJ37" s="246">
        <f t="shared" si="12"/>
        <v>0</v>
      </c>
      <c r="AK37" s="246">
        <f t="shared" si="12"/>
        <v>0</v>
      </c>
      <c r="AL37" s="246">
        <f t="shared" si="12"/>
        <v>0</v>
      </c>
      <c r="AM37" s="246">
        <f t="shared" si="12"/>
        <v>0</v>
      </c>
      <c r="AN37" s="246">
        <f t="shared" si="12"/>
        <v>0</v>
      </c>
      <c r="AO37" s="246">
        <f t="shared" si="12"/>
        <v>0</v>
      </c>
      <c r="AP37" s="246">
        <f t="shared" si="12"/>
        <v>0</v>
      </c>
      <c r="AQ37" s="246">
        <f t="shared" si="12"/>
        <v>0</v>
      </c>
      <c r="AR37" s="246">
        <f t="shared" si="12"/>
        <v>0</v>
      </c>
      <c r="AS37" s="246">
        <f t="shared" si="12"/>
        <v>0</v>
      </c>
      <c r="AT37" s="246">
        <f t="shared" si="12"/>
        <v>0</v>
      </c>
      <c r="AU37" s="246">
        <f t="shared" si="12"/>
        <v>0</v>
      </c>
      <c r="AV37" s="246">
        <f t="shared" si="12"/>
        <v>0</v>
      </c>
      <c r="AW37" s="246">
        <f t="shared" si="12"/>
        <v>0</v>
      </c>
      <c r="AX37" s="246">
        <f t="shared" si="12"/>
        <v>0</v>
      </c>
      <c r="AY37" s="246">
        <f t="shared" si="12"/>
        <v>0</v>
      </c>
      <c r="AZ37" s="246">
        <f t="shared" si="12"/>
        <v>0</v>
      </c>
      <c r="BA37" s="246">
        <f t="shared" si="12"/>
        <v>0</v>
      </c>
      <c r="BB37" s="246">
        <f t="shared" si="12"/>
        <v>0</v>
      </c>
      <c r="BC37" s="246">
        <f t="shared" si="12"/>
        <v>0</v>
      </c>
      <c r="BD37" s="246">
        <f t="shared" si="12"/>
        <v>0</v>
      </c>
      <c r="BE37" s="246">
        <f t="shared" si="12"/>
        <v>0</v>
      </c>
      <c r="BF37" s="246">
        <f t="shared" si="12"/>
        <v>0</v>
      </c>
      <c r="BG37" s="246">
        <f t="shared" si="12"/>
        <v>0</v>
      </c>
      <c r="BH37" s="246">
        <f t="shared" si="12"/>
        <v>0</v>
      </c>
      <c r="BI37" s="246">
        <f t="shared" si="12"/>
        <v>0</v>
      </c>
      <c r="BJ37" s="246">
        <f t="shared" si="12"/>
        <v>0</v>
      </c>
      <c r="BK37" s="246">
        <f t="shared" si="12"/>
        <v>0</v>
      </c>
      <c r="BL37" s="246">
        <f t="shared" si="12"/>
        <v>0</v>
      </c>
      <c r="BM37" s="246">
        <f t="shared" si="12"/>
        <v>0</v>
      </c>
      <c r="BN37" s="246">
        <f t="shared" ref="BN37:BX37" si="13">SUM(BN38:BN48)</f>
        <v>0</v>
      </c>
      <c r="BO37" s="246">
        <f t="shared" si="13"/>
        <v>0</v>
      </c>
      <c r="BP37" s="246">
        <f t="shared" si="13"/>
        <v>0</v>
      </c>
      <c r="BQ37" s="246">
        <f t="shared" si="13"/>
        <v>0</v>
      </c>
      <c r="BR37" s="246">
        <f t="shared" si="13"/>
        <v>0</v>
      </c>
      <c r="BS37" s="246">
        <f t="shared" si="13"/>
        <v>0</v>
      </c>
      <c r="BT37" s="246">
        <f t="shared" si="13"/>
        <v>0</v>
      </c>
      <c r="BU37" s="246">
        <f t="shared" si="13"/>
        <v>0</v>
      </c>
      <c r="BV37" s="246">
        <f t="shared" si="13"/>
        <v>0</v>
      </c>
      <c r="BW37" s="246">
        <f t="shared" si="13"/>
        <v>0</v>
      </c>
      <c r="BX37" s="246">
        <f t="shared" si="13"/>
        <v>0</v>
      </c>
      <c r="BY37" s="248">
        <f>SUM(BY38:BY48)</f>
        <v>-9620500.2075999994</v>
      </c>
      <c r="BZ37" s="597"/>
      <c r="CA37" s="222"/>
      <c r="CB37" s="248"/>
      <c r="CC37" s="597"/>
      <c r="CD37" s="222"/>
      <c r="CE37" s="238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</row>
    <row r="38" spans="1:138" ht="15.95" outlineLevel="1">
      <c r="A38" s="505"/>
      <c r="B38" s="600"/>
      <c r="C38" s="263" t="s">
        <v>170</v>
      </c>
      <c r="D38" s="250" t="s">
        <v>223</v>
      </c>
      <c r="E38" s="255"/>
      <c r="F38" s="255"/>
      <c r="G38" s="255"/>
      <c r="H38" s="256"/>
      <c r="I38" s="256">
        <f>-400000</f>
        <v>-400000</v>
      </c>
      <c r="J38" s="256">
        <f>-661353-(23520+28160+192281+20000)*1.21</f>
        <v>-980745.81</v>
      </c>
      <c r="K38" s="256"/>
      <c r="L38" s="256">
        <f>-(23520+28160+192281+20000)*1.21</f>
        <v>-319392.81</v>
      </c>
      <c r="M38" s="256">
        <f>-(23520+28160+192281+20000)*1.21-(23520+28160+192281+20000)*1.21</f>
        <v>-638785.62</v>
      </c>
      <c r="N38" s="256"/>
      <c r="O38" s="256">
        <f>-(23520+28160+192281+20000)*1.21*2</f>
        <v>-638785.62</v>
      </c>
      <c r="P38" s="256">
        <f>-(23520+28160+192281+20000)*1.21</f>
        <v>-319392.81</v>
      </c>
      <c r="Q38" s="256"/>
      <c r="R38" s="256">
        <f>-Businessplan_prodej!$F$78/8*1.21-(23520+28160+192281+20000)*1.21</f>
        <v>-434575.73499999999</v>
      </c>
      <c r="S38" s="256">
        <f>-Businessplan_prodej!$F$78/8*1.21</f>
        <v>-115182.925</v>
      </c>
      <c r="T38" s="256">
        <f>-Businessplan_prodej!$F$78/8*1.21</f>
        <v>-115182.925</v>
      </c>
      <c r="U38" s="256">
        <f>-Businessplan_prodej!$F$78/8*1.21</f>
        <v>-115182.925</v>
      </c>
      <c r="V38" s="256">
        <f>-Businessplan_prodej!$F$78/8*1.21</f>
        <v>-115182.925</v>
      </c>
      <c r="W38" s="256">
        <f>-Businessplan_prodej!$F$78/8*1.21</f>
        <v>-115182.925</v>
      </c>
      <c r="X38" s="256">
        <f>-Businessplan_prodej!$F$78/8*1.21</f>
        <v>-115182.925</v>
      </c>
      <c r="Y38" s="256">
        <f>-Businessplan_prodej!$F$78/8*1.21</f>
        <v>-115182.925</v>
      </c>
      <c r="Z38" s="256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67"/>
      <c r="BY38" s="261">
        <f t="shared" ref="BY38:BY48" si="14">SUM(E38:BX38)</f>
        <v>-4537958.879999999</v>
      </c>
      <c r="BZ38" s="597"/>
      <c r="CA38" s="222"/>
      <c r="CB38" s="248"/>
      <c r="CC38" s="597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</row>
    <row r="39" spans="1:138" ht="15.95" outlineLevel="1">
      <c r="A39" s="505"/>
      <c r="B39" s="600"/>
      <c r="C39" s="263" t="s">
        <v>171</v>
      </c>
      <c r="D39" s="250" t="s">
        <v>223</v>
      </c>
      <c r="E39" s="255"/>
      <c r="F39" s="255"/>
      <c r="G39" s="255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>
        <f>-100000*1.21</f>
        <v>-121000</v>
      </c>
      <c r="S39" s="256">
        <f>-Businessplan_prodej!$F$82/7*1.21</f>
        <v>-158994</v>
      </c>
      <c r="T39" s="256">
        <f>-Businessplan_prodej!$F$82/7*1.21</f>
        <v>-158994</v>
      </c>
      <c r="U39" s="256">
        <f>-Businessplan_prodej!$F$82/7*1.21</f>
        <v>-158994</v>
      </c>
      <c r="V39" s="256">
        <f>-Businessplan_prodej!$F$82/7*1.21</f>
        <v>-158994</v>
      </c>
      <c r="W39" s="256">
        <f>-Businessplan_prodej!$F$82/7*1.21</f>
        <v>-158994</v>
      </c>
      <c r="X39" s="256">
        <f>-Businessplan_prodej!$F$82/7*1.21</f>
        <v>-158994</v>
      </c>
      <c r="Y39" s="256">
        <f>-Businessplan_prodej!$F$82/7*1.21</f>
        <v>-158994</v>
      </c>
      <c r="Z39" s="256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67"/>
      <c r="BY39" s="262">
        <f t="shared" si="14"/>
        <v>-1233958</v>
      </c>
      <c r="BZ39" s="597"/>
      <c r="CA39" s="222"/>
      <c r="CB39" s="248"/>
      <c r="CC39" s="597"/>
      <c r="CD39" s="222"/>
      <c r="CE39" s="222"/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</row>
    <row r="40" spans="1:138" ht="15.95" outlineLevel="1">
      <c r="A40" s="505"/>
      <c r="B40" s="600"/>
      <c r="C40" s="263" t="s">
        <v>172</v>
      </c>
      <c r="D40" s="250" t="s">
        <v>223</v>
      </c>
      <c r="E40" s="255"/>
      <c r="F40" s="255"/>
      <c r="G40" s="255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68"/>
      <c r="T40" s="256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67"/>
      <c r="BY40" s="262">
        <f t="shared" si="14"/>
        <v>0</v>
      </c>
      <c r="BZ40" s="597"/>
      <c r="CA40" s="222"/>
      <c r="CB40" s="248"/>
      <c r="CC40" s="597"/>
      <c r="CD40" s="222"/>
      <c r="CE40" s="238"/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</row>
    <row r="41" spans="1:138" ht="15.95" outlineLevel="1">
      <c r="A41" s="505"/>
      <c r="B41" s="600"/>
      <c r="C41" s="263" t="s">
        <v>176</v>
      </c>
      <c r="D41" s="250" t="s">
        <v>223</v>
      </c>
      <c r="E41" s="255"/>
      <c r="F41" s="255"/>
      <c r="G41" s="255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68"/>
      <c r="S41" s="268">
        <f>-Businessplan_prodej!$F$87/9*1.21</f>
        <v>0</v>
      </c>
      <c r="T41" s="268">
        <f>-Businessplan_prodej!$F$87/9*1.21</f>
        <v>0</v>
      </c>
      <c r="U41" s="268">
        <f>-Businessplan_prodej!$F$87/9*1.21</f>
        <v>0</v>
      </c>
      <c r="V41" s="268">
        <f>-Businessplan_prodej!$F$87/9*1.21</f>
        <v>0</v>
      </c>
      <c r="W41" s="268">
        <f>-Businessplan_prodej!$F$87/9*1.21</f>
        <v>0</v>
      </c>
      <c r="X41" s="268">
        <f>-Businessplan_prodej!$F$87/9*1.21</f>
        <v>0</v>
      </c>
      <c r="Y41" s="268">
        <f>-Businessplan_prodej!$F$87/9*1.21</f>
        <v>0</v>
      </c>
      <c r="Z41" s="268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67"/>
      <c r="BY41" s="262">
        <f t="shared" si="14"/>
        <v>0</v>
      </c>
      <c r="BZ41" s="597"/>
      <c r="CA41" s="222"/>
      <c r="CB41" s="248"/>
      <c r="CC41" s="597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</row>
    <row r="42" spans="1:138" ht="15.95" outlineLevel="1">
      <c r="A42" s="505"/>
      <c r="B42" s="600"/>
      <c r="C42" s="249" t="s">
        <v>177</v>
      </c>
      <c r="D42" s="269" t="s">
        <v>223</v>
      </c>
      <c r="E42" s="270"/>
      <c r="F42" s="271"/>
      <c r="G42" s="271"/>
      <c r="H42" s="271">
        <f t="shared" ref="H42:AA42" si="15">SUM(H43:H44)</f>
        <v>-36364</v>
      </c>
      <c r="I42" s="271">
        <f t="shared" si="15"/>
        <v>-8194</v>
      </c>
      <c r="J42" s="271">
        <f t="shared" si="15"/>
        <v>-27000</v>
      </c>
      <c r="K42" s="271">
        <f t="shared" si="15"/>
        <v>-7113</v>
      </c>
      <c r="L42" s="271">
        <f t="shared" si="15"/>
        <v>-5262</v>
      </c>
      <c r="M42" s="271">
        <f t="shared" si="15"/>
        <v>-3613</v>
      </c>
      <c r="N42" s="271">
        <f t="shared" si="15"/>
        <v>-3999</v>
      </c>
      <c r="O42" s="271">
        <f t="shared" si="15"/>
        <v>-6441</v>
      </c>
      <c r="P42" s="271">
        <f t="shared" si="15"/>
        <v>-8402</v>
      </c>
      <c r="Q42" s="271">
        <f t="shared" si="15"/>
        <v>-8131</v>
      </c>
      <c r="R42" s="271">
        <f t="shared" si="15"/>
        <v>-160000</v>
      </c>
      <c r="S42" s="271">
        <f t="shared" si="15"/>
        <v>-10000</v>
      </c>
      <c r="T42" s="271">
        <f t="shared" si="15"/>
        <v>-10000</v>
      </c>
      <c r="U42" s="271">
        <f t="shared" si="15"/>
        <v>-10000</v>
      </c>
      <c r="V42" s="271">
        <f t="shared" si="15"/>
        <v>-10000</v>
      </c>
      <c r="W42" s="271">
        <f t="shared" si="15"/>
        <v>-10000</v>
      </c>
      <c r="X42" s="271">
        <f t="shared" si="15"/>
        <v>-10000</v>
      </c>
      <c r="Y42" s="271">
        <f t="shared" si="15"/>
        <v>-10000</v>
      </c>
      <c r="Z42" s="271">
        <f t="shared" si="15"/>
        <v>-10000</v>
      </c>
      <c r="AA42" s="271">
        <f t="shared" si="15"/>
        <v>-10000</v>
      </c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2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60"/>
      <c r="BY42" s="262">
        <f t="shared" si="14"/>
        <v>-364519</v>
      </c>
      <c r="BZ42" s="597"/>
      <c r="CA42" s="222"/>
      <c r="CB42" s="248"/>
      <c r="CC42" s="597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</row>
    <row r="43" spans="1:138" ht="15.95" outlineLevel="2">
      <c r="A43" s="505"/>
      <c r="B43" s="600"/>
      <c r="C43" s="273" t="s">
        <v>243</v>
      </c>
      <c r="D43" s="250" t="s">
        <v>223</v>
      </c>
      <c r="E43" s="251"/>
      <c r="F43" s="251"/>
      <c r="G43" s="251"/>
      <c r="H43" s="274">
        <f>-11364</f>
        <v>-11364</v>
      </c>
      <c r="I43" s="274">
        <f>-8194</f>
        <v>-8194</v>
      </c>
      <c r="J43" s="274"/>
      <c r="K43" s="274">
        <f>-3219-3894</f>
        <v>-7113</v>
      </c>
      <c r="L43" s="274">
        <f>-5262</f>
        <v>-5262</v>
      </c>
      <c r="M43" s="274">
        <f>-3613</f>
        <v>-3613</v>
      </c>
      <c r="N43" s="274">
        <f>-3999</f>
        <v>-3999</v>
      </c>
      <c r="O43" s="274">
        <f>-6441</f>
        <v>-6441</v>
      </c>
      <c r="P43" s="274">
        <f>-8402</f>
        <v>-8402</v>
      </c>
      <c r="Q43" s="274">
        <f>-8131</f>
        <v>-8131</v>
      </c>
      <c r="R43" s="274">
        <f>-(Businessplan_prodej!$F$88-3000*25)/11</f>
        <v>-10000</v>
      </c>
      <c r="S43" s="274">
        <f>-(Businessplan_prodej!$F$88-3000*25)/11</f>
        <v>-10000</v>
      </c>
      <c r="T43" s="274">
        <f>-(Businessplan_prodej!$F$88-3000*25)/11</f>
        <v>-10000</v>
      </c>
      <c r="U43" s="274">
        <f>-(Businessplan_prodej!$F$88-3000*25)/11</f>
        <v>-10000</v>
      </c>
      <c r="V43" s="274">
        <f>-(Businessplan_prodej!$F$88-3000*25)/11</f>
        <v>-10000</v>
      </c>
      <c r="W43" s="274">
        <f>-(Businessplan_prodej!$F$88-3000*25)/11</f>
        <v>-10000</v>
      </c>
      <c r="X43" s="274">
        <f>-(Businessplan_prodej!$F$88-3000*25)/11</f>
        <v>-10000</v>
      </c>
      <c r="Y43" s="274">
        <f>-(Businessplan_prodej!$F$88-3000*25)/11</f>
        <v>-10000</v>
      </c>
      <c r="Z43" s="274">
        <f>-(Businessplan_prodej!$F$88-3000*25)/11</f>
        <v>-10000</v>
      </c>
      <c r="AA43" s="274">
        <f>-(Businessplan_prodej!$F$88-3000*25)/11</f>
        <v>-10000</v>
      </c>
      <c r="AB43" s="274">
        <f>-(Businessplan_prodej!$F$88-3000*25)/11</f>
        <v>-10000</v>
      </c>
      <c r="AC43" s="274">
        <f>-(Businessplan_prodej!$F$88-3000*25)/11</f>
        <v>-10000</v>
      </c>
      <c r="AD43" s="274">
        <f>-(Businessplan_prodej!$F$88-3000*25)/11</f>
        <v>-10000</v>
      </c>
      <c r="AE43" s="274">
        <f>-(Businessplan_prodej!$F$88-3000*25)/11</f>
        <v>-10000</v>
      </c>
      <c r="AF43" s="274">
        <f>-(Businessplan_prodej!$F$88-3000*25)/11</f>
        <v>-10000</v>
      </c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60"/>
      <c r="BY43" s="262">
        <f t="shared" si="14"/>
        <v>-212519</v>
      </c>
      <c r="BZ43" s="597"/>
      <c r="CA43" s="222"/>
      <c r="CB43" s="248"/>
      <c r="CC43" s="597"/>
      <c r="CD43" s="222"/>
      <c r="CE43" s="222"/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</row>
    <row r="44" spans="1:138" ht="15.95" outlineLevel="2">
      <c r="A44" s="505"/>
      <c r="B44" s="600"/>
      <c r="C44" s="273" t="s">
        <v>244</v>
      </c>
      <c r="D44" s="250" t="s">
        <v>223</v>
      </c>
      <c r="E44" s="251"/>
      <c r="F44" s="251"/>
      <c r="G44" s="251"/>
      <c r="H44" s="274">
        <f>-25000</f>
        <v>-25000</v>
      </c>
      <c r="I44" s="274"/>
      <c r="J44" s="274">
        <f>-27000</f>
        <v>-27000</v>
      </c>
      <c r="K44" s="274"/>
      <c r="L44" s="274"/>
      <c r="M44" s="274"/>
      <c r="N44" s="274"/>
      <c r="O44" s="274"/>
      <c r="P44" s="274"/>
      <c r="Q44" s="274"/>
      <c r="R44" s="274">
        <f>-3000*25*2</f>
        <v>-150000</v>
      </c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>
        <f>-50000*2</f>
        <v>-100000</v>
      </c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60"/>
      <c r="BY44" s="262">
        <f t="shared" si="14"/>
        <v>-302000</v>
      </c>
      <c r="BZ44" s="597"/>
      <c r="CA44" s="222"/>
      <c r="CB44" s="248"/>
      <c r="CC44" s="597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</row>
    <row r="45" spans="1:138" ht="15.95" outlineLevel="1">
      <c r="A45" s="505"/>
      <c r="B45" s="600"/>
      <c r="C45" s="249" t="s">
        <v>178</v>
      </c>
      <c r="D45" s="250" t="s">
        <v>223</v>
      </c>
      <c r="E45" s="251"/>
      <c r="F45" s="251"/>
      <c r="G45" s="251"/>
      <c r="H45" s="252">
        <f>-1000</f>
        <v>-1000</v>
      </c>
      <c r="I45" s="252"/>
      <c r="J45" s="252">
        <f>-100</f>
        <v>-100</v>
      </c>
      <c r="K45" s="252">
        <f>-7230</f>
        <v>-7230</v>
      </c>
      <c r="L45" s="252">
        <f>-1000-6742</f>
        <v>-7742</v>
      </c>
      <c r="M45" s="252">
        <f>-2000-20570-2000</f>
        <v>-24570</v>
      </c>
      <c r="N45" s="252">
        <f>-19360-1980</f>
        <v>-21340</v>
      </c>
      <c r="O45" s="252">
        <f>-7865-7000-19360-21780-43021</f>
        <v>-99026</v>
      </c>
      <c r="P45" s="252">
        <f>-7230-33957-13068-5082</f>
        <v>-59337</v>
      </c>
      <c r="Q45" s="252">
        <f>-4054</f>
        <v>-4054</v>
      </c>
      <c r="R45" s="252">
        <f t="shared" ref="R45:S45" si="16">-3500*1.21</f>
        <v>-4235</v>
      </c>
      <c r="S45" s="252">
        <f t="shared" si="16"/>
        <v>-4235</v>
      </c>
      <c r="T45" s="252">
        <f t="shared" ref="T45:Y45" si="17">-3500*1.21-19360</f>
        <v>-23595</v>
      </c>
      <c r="U45" s="252">
        <f t="shared" si="17"/>
        <v>-23595</v>
      </c>
      <c r="V45" s="252">
        <f t="shared" si="17"/>
        <v>-23595</v>
      </c>
      <c r="W45" s="252">
        <f t="shared" si="17"/>
        <v>-23595</v>
      </c>
      <c r="X45" s="252">
        <f t="shared" si="17"/>
        <v>-23595</v>
      </c>
      <c r="Y45" s="252">
        <f t="shared" si="17"/>
        <v>-23595</v>
      </c>
      <c r="Z45" s="252">
        <f t="shared" ref="Z45:AF45" si="18">-3500*1.21</f>
        <v>-4235</v>
      </c>
      <c r="AA45" s="252">
        <f t="shared" si="18"/>
        <v>-4235</v>
      </c>
      <c r="AB45" s="252">
        <f t="shared" si="18"/>
        <v>-4235</v>
      </c>
      <c r="AC45" s="252">
        <f t="shared" si="18"/>
        <v>-4235</v>
      </c>
      <c r="AD45" s="252">
        <f t="shared" si="18"/>
        <v>-4235</v>
      </c>
      <c r="AE45" s="252">
        <f t="shared" si="18"/>
        <v>-4235</v>
      </c>
      <c r="AF45" s="252">
        <f t="shared" si="18"/>
        <v>-4235</v>
      </c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60"/>
      <c r="BY45" s="262">
        <f t="shared" si="14"/>
        <v>-404084</v>
      </c>
      <c r="BZ45" s="597"/>
      <c r="CA45" s="222"/>
      <c r="CB45" s="248"/>
      <c r="CC45" s="597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</row>
    <row r="46" spans="1:138" ht="14.25" customHeight="1" outlineLevel="1">
      <c r="A46" s="505"/>
      <c r="B46" s="600"/>
      <c r="C46" s="249" t="s">
        <v>179</v>
      </c>
      <c r="D46" s="250" t="s">
        <v>223</v>
      </c>
      <c r="E46" s="251"/>
      <c r="F46" s="251"/>
      <c r="G46" s="251"/>
      <c r="H46" s="252">
        <f>-10188.2-65673</f>
        <v>-75861.2</v>
      </c>
      <c r="I46" s="252">
        <f>-6776</f>
        <v>-6776</v>
      </c>
      <c r="J46" s="252"/>
      <c r="K46" s="252">
        <f>-4900.5</f>
        <v>-4900.5</v>
      </c>
      <c r="L46" s="252"/>
      <c r="M46" s="252"/>
      <c r="N46" s="252"/>
      <c r="O46" s="252"/>
      <c r="P46" s="252">
        <f>-30250</f>
        <v>-30250</v>
      </c>
      <c r="Q46" s="252"/>
      <c r="R46" s="252">
        <f>-Businessplan_prodej!$F$69*0.3*1.21-$K$46</f>
        <v>-30435.809999999998</v>
      </c>
      <c r="S46" s="252">
        <f>-Businessplan_prodej!$F$69*0.2*1.21</f>
        <v>-23557.54</v>
      </c>
      <c r="T46" s="252">
        <f>-Businessplan_prodej!$F$69*0.25*1.21</f>
        <v>-29446.924999999999</v>
      </c>
      <c r="U46" s="251"/>
      <c r="V46" s="251"/>
      <c r="W46" s="251"/>
      <c r="X46" s="251"/>
      <c r="Y46" s="251"/>
      <c r="Z46" s="252">
        <f>-Businessplan_prodej!$F$69*0.25*1.21</f>
        <v>-29446.924999999999</v>
      </c>
      <c r="AA46" s="251"/>
      <c r="AB46" s="251"/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60"/>
      <c r="BY46" s="262">
        <f t="shared" si="14"/>
        <v>-230674.9</v>
      </c>
      <c r="BZ46" s="597"/>
      <c r="CA46" s="222"/>
      <c r="CB46" s="248"/>
      <c r="CC46" s="597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22"/>
      <c r="DJ46" s="222"/>
      <c r="DK46" s="222"/>
      <c r="DL46" s="222"/>
      <c r="DM46" s="222"/>
      <c r="DN46" s="222"/>
      <c r="DO46" s="222"/>
      <c r="DP46" s="222"/>
      <c r="DQ46" s="222"/>
      <c r="DR46" s="222"/>
      <c r="DS46" s="222"/>
      <c r="DT46" s="222"/>
      <c r="DU46" s="222"/>
      <c r="DV46" s="222"/>
      <c r="DW46" s="222"/>
      <c r="DX46" s="222"/>
      <c r="DY46" s="222"/>
      <c r="DZ46" s="222"/>
      <c r="EA46" s="222"/>
      <c r="EB46" s="222"/>
      <c r="EC46" s="222"/>
      <c r="ED46" s="222"/>
      <c r="EE46" s="222"/>
      <c r="EF46" s="222"/>
      <c r="EG46" s="222"/>
      <c r="EH46" s="222"/>
    </row>
    <row r="47" spans="1:138" ht="14.25" customHeight="1" outlineLevel="1">
      <c r="A47" s="505"/>
      <c r="B47" s="600"/>
      <c r="C47" s="249" t="s">
        <v>180</v>
      </c>
      <c r="D47" s="250" t="s">
        <v>223</v>
      </c>
      <c r="E47" s="251"/>
      <c r="F47" s="251"/>
      <c r="G47" s="251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>
        <f>-Businessplan_prodej!$F$91*0.2*1.21</f>
        <v>-43560</v>
      </c>
      <c r="T47" s="252"/>
      <c r="U47" s="251"/>
      <c r="V47" s="251"/>
      <c r="W47" s="252">
        <f>-Businessplan_prodej!$F$91*0.3*1.21</f>
        <v>-65340</v>
      </c>
      <c r="X47" s="251"/>
      <c r="Y47" s="252">
        <f>-Businessplan_prodej!$F$91*0.5*1.21</f>
        <v>-108900</v>
      </c>
      <c r="Z47" s="252"/>
      <c r="AA47" s="251"/>
      <c r="AB47" s="251"/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60"/>
      <c r="BY47" s="262">
        <f t="shared" si="14"/>
        <v>-217800</v>
      </c>
      <c r="BZ47" s="597"/>
      <c r="CA47" s="222"/>
      <c r="CB47" s="248"/>
      <c r="CC47" s="597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/>
      <c r="DU47" s="222"/>
      <c r="DV47" s="222"/>
      <c r="DW47" s="222"/>
      <c r="DX47" s="222"/>
      <c r="DY47" s="222"/>
      <c r="DZ47" s="222"/>
      <c r="EA47" s="222"/>
      <c r="EB47" s="222"/>
      <c r="EC47" s="222"/>
      <c r="ED47" s="222"/>
      <c r="EE47" s="222"/>
      <c r="EF47" s="222"/>
      <c r="EG47" s="222"/>
      <c r="EH47" s="222"/>
    </row>
    <row r="48" spans="1:138" ht="14.25" customHeight="1" outlineLevel="1">
      <c r="A48" s="505"/>
      <c r="B48" s="600"/>
      <c r="C48" s="249" t="s">
        <v>181</v>
      </c>
      <c r="D48" s="254" t="s">
        <v>223</v>
      </c>
      <c r="E48" s="251"/>
      <c r="F48" s="251"/>
      <c r="G48" s="251"/>
      <c r="H48" s="252"/>
      <c r="I48" s="252"/>
      <c r="J48" s="252"/>
      <c r="K48" s="252">
        <f>-((17529*2*25.2+44407*2)*1.21)*75%</f>
        <v>-882340.10700000008</v>
      </c>
      <c r="L48" s="252"/>
      <c r="M48" s="252"/>
      <c r="N48" s="252"/>
      <c r="O48" s="252"/>
      <c r="P48" s="252"/>
      <c r="Q48" s="252">
        <f>-((17529*2*25.2+44407*2)*1.21)*25%</f>
        <v>-294113.36900000001</v>
      </c>
      <c r="R48" s="252"/>
      <c r="S48" s="252">
        <f>-Businessplan_prodej!$F$92*0.5*1.21</f>
        <v>-470266.4757999999</v>
      </c>
      <c r="T48" s="252"/>
      <c r="U48" s="251"/>
      <c r="V48" s="251"/>
      <c r="W48" s="251"/>
      <c r="X48" s="251"/>
      <c r="Y48" s="251"/>
      <c r="Z48" s="252">
        <f>-Businessplan_prodej!$F$92*0.5*1.21</f>
        <v>-470266.4757999999</v>
      </c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60"/>
      <c r="BY48" s="262">
        <f t="shared" si="14"/>
        <v>-2116986.4276000001</v>
      </c>
      <c r="BZ48" s="597"/>
      <c r="CA48" s="222"/>
      <c r="CB48" s="248"/>
      <c r="CC48" s="597"/>
      <c r="CD48" s="222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2"/>
      <c r="CV48" s="222"/>
      <c r="CW48" s="222"/>
      <c r="CX48" s="222"/>
      <c r="CY48" s="222"/>
      <c r="CZ48" s="222"/>
      <c r="DA48" s="222"/>
      <c r="DB48" s="222"/>
      <c r="DC48" s="222"/>
      <c r="DD48" s="222"/>
      <c r="DE48" s="222"/>
      <c r="DF48" s="222"/>
      <c r="DG48" s="222"/>
      <c r="DH48" s="222"/>
      <c r="DI48" s="222"/>
      <c r="DJ48" s="222"/>
      <c r="DK48" s="222"/>
      <c r="DL48" s="222"/>
      <c r="DM48" s="222"/>
      <c r="DN48" s="222"/>
      <c r="DO48" s="222"/>
      <c r="DP48" s="222"/>
      <c r="DQ48" s="222"/>
      <c r="DR48" s="222"/>
      <c r="DS48" s="222"/>
      <c r="DT48" s="222"/>
      <c r="DU48" s="222"/>
      <c r="DV48" s="222"/>
      <c r="DW48" s="222"/>
      <c r="DX48" s="222"/>
      <c r="DY48" s="222"/>
      <c r="DZ48" s="222"/>
      <c r="EA48" s="222"/>
      <c r="EB48" s="222"/>
      <c r="EC48" s="222"/>
      <c r="ED48" s="222"/>
      <c r="EE48" s="222"/>
      <c r="EF48" s="222"/>
      <c r="EG48" s="222"/>
      <c r="EH48" s="222"/>
    </row>
    <row r="49" spans="1:138" ht="15.95" collapsed="1">
      <c r="A49" s="505"/>
      <c r="B49" s="600"/>
      <c r="C49" s="244" t="s">
        <v>245</v>
      </c>
      <c r="D49" s="245"/>
      <c r="E49" s="246">
        <f t="shared" ref="E49:BX49" si="19">SUM(E50:E54)</f>
        <v>0</v>
      </c>
      <c r="F49" s="246">
        <f t="shared" si="19"/>
        <v>0</v>
      </c>
      <c r="G49" s="246">
        <f t="shared" si="19"/>
        <v>0</v>
      </c>
      <c r="H49" s="246">
        <f t="shared" si="19"/>
        <v>-1442.155</v>
      </c>
      <c r="I49" s="246">
        <f t="shared" si="19"/>
        <v>-4792.1949999999997</v>
      </c>
      <c r="J49" s="246">
        <f t="shared" si="19"/>
        <v>-1444.855</v>
      </c>
      <c r="K49" s="246">
        <f t="shared" si="19"/>
        <v>-1290.27</v>
      </c>
      <c r="L49" s="246">
        <f t="shared" si="19"/>
        <v>-1842.35</v>
      </c>
      <c r="M49" s="246">
        <f t="shared" si="19"/>
        <v>-1088.2900000000002</v>
      </c>
      <c r="N49" s="246">
        <f t="shared" si="19"/>
        <v>-1844.5900000000001</v>
      </c>
      <c r="O49" s="246">
        <f t="shared" si="19"/>
        <v>-3360</v>
      </c>
      <c r="P49" s="246">
        <f t="shared" si="19"/>
        <v>-11871.31</v>
      </c>
      <c r="Q49" s="246">
        <f t="shared" si="19"/>
        <v>-1369.95</v>
      </c>
      <c r="R49" s="246">
        <f t="shared" si="19"/>
        <v>-1290.27</v>
      </c>
      <c r="S49" s="246">
        <f t="shared" si="19"/>
        <v>-1290.27</v>
      </c>
      <c r="T49" s="246">
        <f t="shared" si="19"/>
        <v>-1290.27</v>
      </c>
      <c r="U49" s="246">
        <f t="shared" si="19"/>
        <v>-41290.269999999997</v>
      </c>
      <c r="V49" s="246">
        <f t="shared" si="19"/>
        <v>-1290.27</v>
      </c>
      <c r="W49" s="246">
        <f t="shared" si="19"/>
        <v>-1290.27</v>
      </c>
      <c r="X49" s="246">
        <f t="shared" si="19"/>
        <v>-1290.27</v>
      </c>
      <c r="Y49" s="246">
        <f t="shared" si="19"/>
        <v>-1290.27</v>
      </c>
      <c r="Z49" s="246">
        <f t="shared" si="19"/>
        <v>-1290.27</v>
      </c>
      <c r="AA49" s="246">
        <f t="shared" si="19"/>
        <v>-41290.269999999997</v>
      </c>
      <c r="AB49" s="246">
        <f t="shared" si="19"/>
        <v>-1290.27</v>
      </c>
      <c r="AC49" s="246">
        <f t="shared" si="19"/>
        <v>-1290.27</v>
      </c>
      <c r="AD49" s="246">
        <f t="shared" si="19"/>
        <v>-1290.27</v>
      </c>
      <c r="AE49" s="246">
        <f t="shared" si="19"/>
        <v>-1290.27</v>
      </c>
      <c r="AF49" s="246">
        <f t="shared" si="19"/>
        <v>-1290.27</v>
      </c>
      <c r="AG49" s="246">
        <f t="shared" si="19"/>
        <v>0</v>
      </c>
      <c r="AH49" s="246">
        <f t="shared" si="19"/>
        <v>0</v>
      </c>
      <c r="AI49" s="246">
        <f t="shared" si="19"/>
        <v>0</v>
      </c>
      <c r="AJ49" s="246">
        <f t="shared" si="19"/>
        <v>0</v>
      </c>
      <c r="AK49" s="246">
        <f t="shared" si="19"/>
        <v>0</v>
      </c>
      <c r="AL49" s="246">
        <f t="shared" si="19"/>
        <v>0</v>
      </c>
      <c r="AM49" s="246">
        <f t="shared" si="19"/>
        <v>0</v>
      </c>
      <c r="AN49" s="246">
        <f t="shared" si="19"/>
        <v>0</v>
      </c>
      <c r="AO49" s="246">
        <f t="shared" si="19"/>
        <v>0</v>
      </c>
      <c r="AP49" s="246">
        <f t="shared" si="19"/>
        <v>0</v>
      </c>
      <c r="AQ49" s="246">
        <f t="shared" si="19"/>
        <v>0</v>
      </c>
      <c r="AR49" s="246">
        <f t="shared" si="19"/>
        <v>0</v>
      </c>
      <c r="AS49" s="246">
        <f t="shared" si="19"/>
        <v>0</v>
      </c>
      <c r="AT49" s="246">
        <f t="shared" si="19"/>
        <v>0</v>
      </c>
      <c r="AU49" s="246">
        <f t="shared" si="19"/>
        <v>0</v>
      </c>
      <c r="AV49" s="246">
        <f t="shared" si="19"/>
        <v>0</v>
      </c>
      <c r="AW49" s="246">
        <f t="shared" si="19"/>
        <v>0</v>
      </c>
      <c r="AX49" s="246">
        <f t="shared" si="19"/>
        <v>0</v>
      </c>
      <c r="AY49" s="246">
        <f t="shared" si="19"/>
        <v>0</v>
      </c>
      <c r="AZ49" s="246">
        <f t="shared" si="19"/>
        <v>0</v>
      </c>
      <c r="BA49" s="246">
        <f t="shared" si="19"/>
        <v>0</v>
      </c>
      <c r="BB49" s="246">
        <f t="shared" si="19"/>
        <v>0</v>
      </c>
      <c r="BC49" s="246">
        <f t="shared" si="19"/>
        <v>0</v>
      </c>
      <c r="BD49" s="246">
        <f t="shared" si="19"/>
        <v>0</v>
      </c>
      <c r="BE49" s="246">
        <f t="shared" si="19"/>
        <v>0</v>
      </c>
      <c r="BF49" s="246">
        <f t="shared" si="19"/>
        <v>0</v>
      </c>
      <c r="BG49" s="246">
        <f t="shared" si="19"/>
        <v>0</v>
      </c>
      <c r="BH49" s="246">
        <f t="shared" si="19"/>
        <v>0</v>
      </c>
      <c r="BI49" s="246">
        <f t="shared" si="19"/>
        <v>0</v>
      </c>
      <c r="BJ49" s="246">
        <f t="shared" si="19"/>
        <v>0</v>
      </c>
      <c r="BK49" s="246">
        <f t="shared" si="19"/>
        <v>0</v>
      </c>
      <c r="BL49" s="246">
        <f t="shared" si="19"/>
        <v>0</v>
      </c>
      <c r="BM49" s="246">
        <f t="shared" si="19"/>
        <v>0</v>
      </c>
      <c r="BN49" s="246">
        <f t="shared" si="19"/>
        <v>0</v>
      </c>
      <c r="BO49" s="246">
        <f t="shared" si="19"/>
        <v>0</v>
      </c>
      <c r="BP49" s="246">
        <f t="shared" si="19"/>
        <v>0</v>
      </c>
      <c r="BQ49" s="246">
        <f t="shared" si="19"/>
        <v>0</v>
      </c>
      <c r="BR49" s="246">
        <f t="shared" si="19"/>
        <v>0</v>
      </c>
      <c r="BS49" s="246">
        <f t="shared" si="19"/>
        <v>0</v>
      </c>
      <c r="BT49" s="246">
        <f t="shared" si="19"/>
        <v>0</v>
      </c>
      <c r="BU49" s="246">
        <f t="shared" si="19"/>
        <v>0</v>
      </c>
      <c r="BV49" s="246">
        <f t="shared" si="19"/>
        <v>0</v>
      </c>
      <c r="BW49" s="246">
        <f t="shared" si="19"/>
        <v>0</v>
      </c>
      <c r="BX49" s="246">
        <f t="shared" si="19"/>
        <v>0</v>
      </c>
      <c r="BY49" s="248">
        <f>SUM(BY50:BY54)</f>
        <v>-129700.01499999998</v>
      </c>
      <c r="BZ49" s="597"/>
      <c r="CA49" s="222"/>
      <c r="CB49" s="248"/>
      <c r="CC49" s="597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2"/>
      <c r="DE49" s="222"/>
      <c r="DF49" s="222"/>
      <c r="DG49" s="222"/>
      <c r="DH49" s="222"/>
      <c r="DI49" s="222"/>
      <c r="DJ49" s="222"/>
      <c r="DK49" s="222"/>
      <c r="DL49" s="222"/>
      <c r="DM49" s="222"/>
      <c r="DN49" s="222"/>
      <c r="DO49" s="222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2"/>
      <c r="EA49" s="222"/>
      <c r="EB49" s="222"/>
      <c r="EC49" s="222"/>
      <c r="ED49" s="222"/>
      <c r="EE49" s="222"/>
      <c r="EF49" s="222"/>
      <c r="EG49" s="222"/>
      <c r="EH49" s="222"/>
    </row>
    <row r="50" spans="1:138" ht="15.95" hidden="1" outlineLevel="1">
      <c r="A50" s="505"/>
      <c r="B50" s="600"/>
      <c r="C50" s="249" t="s">
        <v>183</v>
      </c>
      <c r="D50" s="250" t="s">
        <v>223</v>
      </c>
      <c r="E50" s="251"/>
      <c r="F50" s="251"/>
      <c r="G50" s="251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60"/>
      <c r="BY50" s="261">
        <f t="shared" ref="BY50:BY54" si="20">SUM(E50:BX50)</f>
        <v>0</v>
      </c>
      <c r="BZ50" s="597"/>
      <c r="CA50" s="222"/>
      <c r="CB50" s="248"/>
      <c r="CC50" s="597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22"/>
      <c r="DH50" s="222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</row>
    <row r="51" spans="1:138" ht="15.95" hidden="1" outlineLevel="1">
      <c r="A51" s="505"/>
      <c r="B51" s="600"/>
      <c r="C51" s="249" t="s">
        <v>246</v>
      </c>
      <c r="D51" s="250" t="s">
        <v>223</v>
      </c>
      <c r="E51" s="251"/>
      <c r="F51" s="251"/>
      <c r="G51" s="251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60"/>
      <c r="BY51" s="261">
        <f t="shared" si="20"/>
        <v>0</v>
      </c>
      <c r="BZ51" s="597"/>
      <c r="CA51" s="222"/>
      <c r="CB51" s="248"/>
      <c r="CC51" s="597"/>
      <c r="CD51" s="222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222"/>
      <c r="DJ51" s="222"/>
      <c r="DK51" s="222"/>
      <c r="DL51" s="222"/>
      <c r="DM51" s="222"/>
      <c r="DN51" s="222"/>
      <c r="DO51" s="222"/>
      <c r="DP51" s="222"/>
      <c r="DQ51" s="222"/>
      <c r="DR51" s="222"/>
      <c r="DS51" s="222"/>
      <c r="DT51" s="222"/>
      <c r="DU51" s="222"/>
      <c r="DV51" s="222"/>
      <c r="DW51" s="222"/>
      <c r="DX51" s="222"/>
      <c r="DY51" s="222"/>
      <c r="DZ51" s="222"/>
      <c r="EA51" s="222"/>
      <c r="EB51" s="222"/>
      <c r="EC51" s="222"/>
      <c r="ED51" s="222"/>
      <c r="EE51" s="222"/>
      <c r="EF51" s="222"/>
      <c r="EG51" s="222"/>
      <c r="EH51" s="222"/>
    </row>
    <row r="52" spans="1:138" ht="15.95" hidden="1" outlineLevel="1">
      <c r="A52" s="505"/>
      <c r="B52" s="600"/>
      <c r="C52" s="249" t="s">
        <v>247</v>
      </c>
      <c r="D52" s="250" t="s">
        <v>223</v>
      </c>
      <c r="E52" s="251"/>
      <c r="F52" s="251"/>
      <c r="G52" s="251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60"/>
      <c r="BY52" s="261">
        <f t="shared" si="20"/>
        <v>0</v>
      </c>
      <c r="BZ52" s="597"/>
      <c r="CA52" s="222"/>
      <c r="CB52" s="248"/>
      <c r="CC52" s="597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</row>
    <row r="53" spans="1:138" ht="15.95" hidden="1" outlineLevel="1">
      <c r="A53" s="505"/>
      <c r="B53" s="600"/>
      <c r="C53" s="249" t="s">
        <v>189</v>
      </c>
      <c r="D53" s="250" t="s">
        <v>223</v>
      </c>
      <c r="E53" s="251"/>
      <c r="F53" s="251"/>
      <c r="G53" s="251"/>
      <c r="H53" s="252">
        <f>-3-12-5-200-2-12-400-36-(0.02+0.09+0.21+17.06)*22-15.91*24.5</f>
        <v>-1442.155</v>
      </c>
      <c r="I53" s="252">
        <f>-6-5-200-12-400-24-2-16.19*24.5-17.57*22</f>
        <v>-1432.1949999999999</v>
      </c>
      <c r="J53" s="252">
        <f>-3-32-5-6-200-15-400-2-(0.01+0.08+15.98+0.2)*24.5-(0.02+0.09+0.21+17.1)*22</f>
        <v>-1444.855</v>
      </c>
      <c r="K53" s="252">
        <f>-20-12-3-200-2-400-10-2-10.9*24.5-17.01*22</f>
        <v>-1290.27</v>
      </c>
      <c r="L53" s="252">
        <f>-12-4-6-200-15-400-24-400-15.98*24.5-17.72*22</f>
        <v>-1842.35</v>
      </c>
      <c r="M53" s="252">
        <f>-40-200-15-2-12-400-10-2-400.11-(0.01+0.08+0.2+15.89)*25-(0.03-0.09-17.78-0.22)*22</f>
        <v>-1088.2900000000002</v>
      </c>
      <c r="N53" s="252">
        <f>-9-9-5-200-400-24-3-399.88-15.79*25-18.18*22</f>
        <v>-1844.5900000000001</v>
      </c>
      <c r="O53" s="252"/>
      <c r="P53" s="252">
        <f>-500-5656.91-300-6-25-4-18-44-200-15-400-399.94-500-972.22-2053.74-16.5*23-15.88*25</f>
        <v>-11871.31</v>
      </c>
      <c r="Q53" s="252">
        <f>-300-9-20-9-200-400-8-24-399.95</f>
        <v>-1369.95</v>
      </c>
      <c r="R53" s="252">
        <f t="shared" ref="R53:AF53" si="21">-20-12-3-200-2-400-10-2-10.9*24.5-17.01*22</f>
        <v>-1290.27</v>
      </c>
      <c r="S53" s="252">
        <f t="shared" si="21"/>
        <v>-1290.27</v>
      </c>
      <c r="T53" s="252">
        <f t="shared" si="21"/>
        <v>-1290.27</v>
      </c>
      <c r="U53" s="252">
        <f t="shared" si="21"/>
        <v>-1290.27</v>
      </c>
      <c r="V53" s="252">
        <f t="shared" si="21"/>
        <v>-1290.27</v>
      </c>
      <c r="W53" s="252">
        <f t="shared" si="21"/>
        <v>-1290.27</v>
      </c>
      <c r="X53" s="252">
        <f t="shared" si="21"/>
        <v>-1290.27</v>
      </c>
      <c r="Y53" s="252">
        <f t="shared" si="21"/>
        <v>-1290.27</v>
      </c>
      <c r="Z53" s="252">
        <f t="shared" si="21"/>
        <v>-1290.27</v>
      </c>
      <c r="AA53" s="252">
        <f t="shared" si="21"/>
        <v>-1290.27</v>
      </c>
      <c r="AB53" s="252">
        <f t="shared" si="21"/>
        <v>-1290.27</v>
      </c>
      <c r="AC53" s="252">
        <f t="shared" si="21"/>
        <v>-1290.27</v>
      </c>
      <c r="AD53" s="252">
        <f t="shared" si="21"/>
        <v>-1290.27</v>
      </c>
      <c r="AE53" s="252">
        <f t="shared" si="21"/>
        <v>-1290.27</v>
      </c>
      <c r="AF53" s="252">
        <f t="shared" si="21"/>
        <v>-1290.27</v>
      </c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60"/>
      <c r="BY53" s="262">
        <f t="shared" si="20"/>
        <v>-42980.014999999978</v>
      </c>
      <c r="BZ53" s="597"/>
      <c r="CA53" s="222"/>
      <c r="CB53" s="248"/>
      <c r="CC53" s="597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</row>
    <row r="54" spans="1:138" ht="15.95" hidden="1" outlineLevel="1">
      <c r="A54" s="505"/>
      <c r="B54" s="600"/>
      <c r="C54" s="249" t="s">
        <v>190</v>
      </c>
      <c r="D54" s="254" t="s">
        <v>223</v>
      </c>
      <c r="E54" s="255"/>
      <c r="F54" s="255"/>
      <c r="G54" s="251"/>
      <c r="H54" s="252"/>
      <c r="I54" s="252">
        <f>-3360</f>
        <v>-3360</v>
      </c>
      <c r="J54" s="252"/>
      <c r="K54" s="252"/>
      <c r="L54" s="252"/>
      <c r="M54" s="252"/>
      <c r="N54" s="252"/>
      <c r="O54" s="252">
        <f>-3360</f>
        <v>-3360</v>
      </c>
      <c r="P54" s="252"/>
      <c r="Q54" s="252"/>
      <c r="R54" s="252"/>
      <c r="S54" s="252"/>
      <c r="T54" s="252"/>
      <c r="U54" s="265">
        <f>-40000</f>
        <v>-40000</v>
      </c>
      <c r="V54" s="251"/>
      <c r="W54" s="251"/>
      <c r="X54" s="251"/>
      <c r="Y54" s="251"/>
      <c r="Z54" s="251"/>
      <c r="AA54" s="265">
        <f>-40000</f>
        <v>-40000</v>
      </c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60"/>
      <c r="BY54" s="264">
        <f t="shared" si="20"/>
        <v>-86720</v>
      </c>
      <c r="BZ54" s="597"/>
      <c r="CA54" s="222"/>
      <c r="CB54" s="248"/>
      <c r="CC54" s="597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</row>
    <row r="55" spans="1:138" ht="15.95">
      <c r="A55" s="505"/>
      <c r="B55" s="600"/>
      <c r="C55" s="244" t="s">
        <v>248</v>
      </c>
      <c r="D55" s="245"/>
      <c r="E55" s="246">
        <f t="shared" ref="E55:BX55" si="22">SUM(E56:E62)</f>
        <v>0</v>
      </c>
      <c r="F55" s="246">
        <f t="shared" si="22"/>
        <v>0</v>
      </c>
      <c r="G55" s="246">
        <f t="shared" si="22"/>
        <v>0</v>
      </c>
      <c r="H55" s="246">
        <f t="shared" si="22"/>
        <v>0</v>
      </c>
      <c r="I55" s="246">
        <f t="shared" si="22"/>
        <v>0</v>
      </c>
      <c r="J55" s="246">
        <f t="shared" si="22"/>
        <v>0</v>
      </c>
      <c r="K55" s="246">
        <f t="shared" si="22"/>
        <v>0</v>
      </c>
      <c r="L55" s="246">
        <f t="shared" si="22"/>
        <v>0</v>
      </c>
      <c r="M55" s="246">
        <f t="shared" si="22"/>
        <v>-48944.520000000004</v>
      </c>
      <c r="N55" s="246">
        <f t="shared" si="22"/>
        <v>-123582.04</v>
      </c>
      <c r="O55" s="246">
        <f t="shared" si="22"/>
        <v>-10395.44</v>
      </c>
      <c r="P55" s="246">
        <f t="shared" si="22"/>
        <v>-394726.13999999996</v>
      </c>
      <c r="Q55" s="246">
        <f t="shared" si="22"/>
        <v>-245545.71499999997</v>
      </c>
      <c r="R55" s="246">
        <f t="shared" si="22"/>
        <v>-208000</v>
      </c>
      <c r="S55" s="246">
        <f t="shared" si="22"/>
        <v>-208000</v>
      </c>
      <c r="T55" s="246">
        <f t="shared" si="22"/>
        <v>-200000</v>
      </c>
      <c r="U55" s="246">
        <f t="shared" si="22"/>
        <v>-209800</v>
      </c>
      <c r="V55" s="246">
        <f t="shared" si="22"/>
        <v>-229400</v>
      </c>
      <c r="W55" s="246">
        <f t="shared" si="22"/>
        <v>-258800</v>
      </c>
      <c r="X55" s="246">
        <f t="shared" si="22"/>
        <v>-288690</v>
      </c>
      <c r="Y55" s="246">
        <f t="shared" si="22"/>
        <v>-319560</v>
      </c>
      <c r="Z55" s="246">
        <f t="shared" si="22"/>
        <v>-319560</v>
      </c>
      <c r="AA55" s="246">
        <f t="shared" si="22"/>
        <v>-319560</v>
      </c>
      <c r="AB55" s="246">
        <f t="shared" si="22"/>
        <v>-319560</v>
      </c>
      <c r="AC55" s="246">
        <f t="shared" si="22"/>
        <v>-319560</v>
      </c>
      <c r="AD55" s="246">
        <f t="shared" si="22"/>
        <v>-319560</v>
      </c>
      <c r="AE55" s="246">
        <f t="shared" si="22"/>
        <v>-319560</v>
      </c>
      <c r="AF55" s="246">
        <f t="shared" si="22"/>
        <v>-5577891.4628493153</v>
      </c>
      <c r="AG55" s="246">
        <f t="shared" si="22"/>
        <v>0</v>
      </c>
      <c r="AH55" s="246">
        <f t="shared" si="22"/>
        <v>0</v>
      </c>
      <c r="AI55" s="246">
        <f t="shared" si="22"/>
        <v>0</v>
      </c>
      <c r="AJ55" s="246">
        <f t="shared" si="22"/>
        <v>0</v>
      </c>
      <c r="AK55" s="246">
        <f t="shared" si="22"/>
        <v>0</v>
      </c>
      <c r="AL55" s="246">
        <f t="shared" si="22"/>
        <v>0</v>
      </c>
      <c r="AM55" s="246">
        <f t="shared" si="22"/>
        <v>0</v>
      </c>
      <c r="AN55" s="246">
        <f t="shared" si="22"/>
        <v>0</v>
      </c>
      <c r="AO55" s="246">
        <f t="shared" si="22"/>
        <v>0</v>
      </c>
      <c r="AP55" s="246">
        <f t="shared" si="22"/>
        <v>0</v>
      </c>
      <c r="AQ55" s="246">
        <f t="shared" si="22"/>
        <v>0</v>
      </c>
      <c r="AR55" s="246">
        <f t="shared" si="22"/>
        <v>0</v>
      </c>
      <c r="AS55" s="246">
        <f t="shared" si="22"/>
        <v>0</v>
      </c>
      <c r="AT55" s="246">
        <f t="shared" si="22"/>
        <v>0</v>
      </c>
      <c r="AU55" s="246">
        <f t="shared" si="22"/>
        <v>0</v>
      </c>
      <c r="AV55" s="246">
        <f t="shared" si="22"/>
        <v>0</v>
      </c>
      <c r="AW55" s="246">
        <f t="shared" si="22"/>
        <v>0</v>
      </c>
      <c r="AX55" s="246">
        <f t="shared" si="22"/>
        <v>0</v>
      </c>
      <c r="AY55" s="246">
        <f t="shared" si="22"/>
        <v>0</v>
      </c>
      <c r="AZ55" s="246">
        <f t="shared" si="22"/>
        <v>0</v>
      </c>
      <c r="BA55" s="246">
        <f t="shared" si="22"/>
        <v>0</v>
      </c>
      <c r="BB55" s="246">
        <f t="shared" si="22"/>
        <v>0</v>
      </c>
      <c r="BC55" s="246">
        <f t="shared" si="22"/>
        <v>0</v>
      </c>
      <c r="BD55" s="246">
        <f t="shared" si="22"/>
        <v>0</v>
      </c>
      <c r="BE55" s="246">
        <f t="shared" si="22"/>
        <v>0</v>
      </c>
      <c r="BF55" s="246">
        <f t="shared" si="22"/>
        <v>0</v>
      </c>
      <c r="BG55" s="246">
        <f t="shared" si="22"/>
        <v>0</v>
      </c>
      <c r="BH55" s="246">
        <f t="shared" si="22"/>
        <v>0</v>
      </c>
      <c r="BI55" s="246">
        <f t="shared" si="22"/>
        <v>0</v>
      </c>
      <c r="BJ55" s="246">
        <f t="shared" si="22"/>
        <v>0</v>
      </c>
      <c r="BK55" s="246">
        <f t="shared" si="22"/>
        <v>0</v>
      </c>
      <c r="BL55" s="246">
        <f t="shared" si="22"/>
        <v>0</v>
      </c>
      <c r="BM55" s="246">
        <f t="shared" si="22"/>
        <v>0</v>
      </c>
      <c r="BN55" s="246">
        <f t="shared" si="22"/>
        <v>0</v>
      </c>
      <c r="BO55" s="246">
        <f t="shared" si="22"/>
        <v>0</v>
      </c>
      <c r="BP55" s="246">
        <f t="shared" si="22"/>
        <v>0</v>
      </c>
      <c r="BQ55" s="246">
        <f t="shared" si="22"/>
        <v>0</v>
      </c>
      <c r="BR55" s="246">
        <f t="shared" si="22"/>
        <v>0</v>
      </c>
      <c r="BS55" s="246">
        <f t="shared" si="22"/>
        <v>0</v>
      </c>
      <c r="BT55" s="246">
        <f t="shared" si="22"/>
        <v>0</v>
      </c>
      <c r="BU55" s="246">
        <f t="shared" si="22"/>
        <v>0</v>
      </c>
      <c r="BV55" s="246">
        <f t="shared" si="22"/>
        <v>0</v>
      </c>
      <c r="BW55" s="246">
        <f t="shared" si="22"/>
        <v>0</v>
      </c>
      <c r="BX55" s="246">
        <f t="shared" si="22"/>
        <v>0</v>
      </c>
      <c r="BY55" s="248">
        <f>SUM(BY56:BY62)</f>
        <v>-10240695.317849316</v>
      </c>
      <c r="BZ55" s="597"/>
      <c r="CA55" s="222"/>
      <c r="CB55" s="248"/>
      <c r="CC55" s="597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222"/>
      <c r="DJ55" s="222"/>
      <c r="DK55" s="222"/>
      <c r="DL55" s="222"/>
      <c r="DM55" s="222"/>
      <c r="DN55" s="222"/>
      <c r="DO55" s="222"/>
      <c r="DP55" s="222"/>
      <c r="DQ55" s="222"/>
      <c r="DR55" s="222"/>
      <c r="DS55" s="222"/>
      <c r="DT55" s="222"/>
      <c r="DU55" s="222"/>
      <c r="DV55" s="222"/>
      <c r="DW55" s="222"/>
      <c r="DX55" s="222"/>
      <c r="DY55" s="222"/>
      <c r="DZ55" s="222"/>
      <c r="EA55" s="222"/>
      <c r="EB55" s="222"/>
      <c r="EC55" s="222"/>
      <c r="ED55" s="222"/>
      <c r="EE55" s="222"/>
      <c r="EF55" s="222"/>
      <c r="EG55" s="222"/>
      <c r="EH55" s="222"/>
    </row>
    <row r="56" spans="1:138" ht="15.95" outlineLevel="1">
      <c r="A56" s="505"/>
      <c r="B56" s="600"/>
      <c r="C56" s="249" t="s">
        <v>249</v>
      </c>
      <c r="D56" s="275">
        <v>0</v>
      </c>
      <c r="E56" s="251"/>
      <c r="F56" s="251"/>
      <c r="G56" s="251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1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65">
        <f>-$BY$5*$D$57/365*$CG$27</f>
        <v>-2722418.9628493153</v>
      </c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76">
        <f t="shared" ref="BY56:BY62" si="23">SUM(E56:BX56)</f>
        <v>-2722418.9628493153</v>
      </c>
      <c r="BZ56" s="597"/>
      <c r="CA56" s="222"/>
      <c r="CB56" s="248"/>
      <c r="CC56" s="597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</row>
    <row r="57" spans="1:138" ht="15.95" outlineLevel="1">
      <c r="A57" s="505"/>
      <c r="B57" s="600"/>
      <c r="C57" s="249" t="s">
        <v>250</v>
      </c>
      <c r="D57" s="275">
        <v>0.11</v>
      </c>
      <c r="E57" s="251"/>
      <c r="F57" s="251"/>
      <c r="G57" s="251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1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65">
        <f>-SUM(' Interest Calc Cash-flow Plan v'!E8:E23)-' Interest Calc Cash-flow Plan v'!E23</f>
        <v>-2535912.5</v>
      </c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76">
        <f t="shared" si="23"/>
        <v>-2535912.5</v>
      </c>
      <c r="BZ57" s="597"/>
      <c r="CA57" s="222"/>
      <c r="CB57" s="248"/>
      <c r="CC57" s="597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</row>
    <row r="58" spans="1:138" ht="15.95" outlineLevel="1">
      <c r="A58" s="505"/>
      <c r="B58" s="600"/>
      <c r="C58" s="249" t="s">
        <v>251</v>
      </c>
      <c r="D58" s="275">
        <v>0.11</v>
      </c>
      <c r="E58" s="251"/>
      <c r="F58" s="251"/>
      <c r="G58" s="251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76">
        <f t="shared" si="23"/>
        <v>0</v>
      </c>
      <c r="BZ58" s="597"/>
      <c r="CA58" s="222"/>
      <c r="CB58" s="248"/>
      <c r="CC58" s="597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</row>
    <row r="59" spans="1:138" ht="15.95" outlineLevel="1">
      <c r="A59" s="505"/>
      <c r="B59" s="600"/>
      <c r="C59" s="249" t="s">
        <v>252</v>
      </c>
      <c r="D59" s="275">
        <v>0.105</v>
      </c>
      <c r="E59" s="251"/>
      <c r="F59" s="251"/>
      <c r="G59" s="251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77">
        <f t="shared" si="23"/>
        <v>0</v>
      </c>
      <c r="BZ59" s="597"/>
      <c r="CA59" s="222"/>
      <c r="CB59" s="248"/>
      <c r="CC59" s="597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</row>
    <row r="60" spans="1:138" ht="15.95" outlineLevel="1">
      <c r="A60" s="505"/>
      <c r="B60" s="600"/>
      <c r="C60" s="249" t="s">
        <v>253</v>
      </c>
      <c r="D60" s="275">
        <v>0.15</v>
      </c>
      <c r="E60" s="251"/>
      <c r="F60" s="251"/>
      <c r="G60" s="251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78">
        <f t="shared" si="23"/>
        <v>0</v>
      </c>
      <c r="BZ60" s="597"/>
      <c r="CA60" s="222"/>
      <c r="CB60" s="248"/>
      <c r="CC60" s="597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</row>
    <row r="61" spans="1:138" ht="15.95" outlineLevel="1">
      <c r="A61" s="505"/>
      <c r="B61" s="600"/>
      <c r="C61" s="249" t="s">
        <v>254</v>
      </c>
      <c r="D61" s="279">
        <v>5.8799999999999998E-2</v>
      </c>
      <c r="E61" s="255"/>
      <c r="F61" s="255"/>
      <c r="G61" s="255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>
        <f>-U10*D61/12</f>
        <v>-9800</v>
      </c>
      <c r="V61" s="256">
        <f t="shared" ref="V61:AF61" si="24">-SUM($U$10:V10)*$D$61/12</f>
        <v>-29400</v>
      </c>
      <c r="W61" s="256">
        <f t="shared" si="24"/>
        <v>-58800</v>
      </c>
      <c r="X61" s="256">
        <f t="shared" si="24"/>
        <v>-88690</v>
      </c>
      <c r="Y61" s="256">
        <f t="shared" si="24"/>
        <v>-119560</v>
      </c>
      <c r="Z61" s="256">
        <f t="shared" si="24"/>
        <v>-119560</v>
      </c>
      <c r="AA61" s="256">
        <f t="shared" si="24"/>
        <v>-119560</v>
      </c>
      <c r="AB61" s="256">
        <f t="shared" si="24"/>
        <v>-119560</v>
      </c>
      <c r="AC61" s="256">
        <f t="shared" si="24"/>
        <v>-119560</v>
      </c>
      <c r="AD61" s="256">
        <f t="shared" si="24"/>
        <v>-119560</v>
      </c>
      <c r="AE61" s="256">
        <f t="shared" si="24"/>
        <v>-119560</v>
      </c>
      <c r="AF61" s="256">
        <f t="shared" si="24"/>
        <v>-119560</v>
      </c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  <c r="BL61" s="251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78">
        <f t="shared" si="23"/>
        <v>-1143170</v>
      </c>
      <c r="BZ61" s="597"/>
      <c r="CA61" s="222"/>
      <c r="CB61" s="248"/>
      <c r="CC61" s="597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</row>
    <row r="62" spans="1:138" ht="15.95" outlineLevel="1">
      <c r="A62" s="505"/>
      <c r="B62" s="600"/>
      <c r="C62" s="280" t="s">
        <v>255</v>
      </c>
      <c r="D62" s="281">
        <v>7.0000000000000007E-2</v>
      </c>
      <c r="E62" s="282"/>
      <c r="F62" s="282"/>
      <c r="G62" s="282"/>
      <c r="H62" s="283"/>
      <c r="I62" s="283"/>
      <c r="J62" s="283"/>
      <c r="K62" s="283"/>
      <c r="L62" s="283"/>
      <c r="M62" s="283">
        <f>-500-3013.89-17009.89-28420.74</f>
        <v>-48944.520000000004</v>
      </c>
      <c r="N62" s="283">
        <f>-500-3013.89-9715.85-35542.84-269.74-74539.72</f>
        <v>-123582.04</v>
      </c>
      <c r="O62" s="283">
        <f>-10395.44</f>
        <v>-10395.44</v>
      </c>
      <c r="P62" s="283">
        <f>-36289.12-275.39-112183.53-655.08-28529.87-31795.97-241.3-98293.51-658.05-45740.57-920.44-22573.06-16570.25</f>
        <v>-394726.13999999996</v>
      </c>
      <c r="Q62" s="283">
        <f>-11880.56-500-4442.66-33933.26-257.52-104900.69-702.28-48815.2-982.31-27035.66-1156.555-10939.02</f>
        <v>-245545.71499999997</v>
      </c>
      <c r="R62" s="283">
        <f t="shared" ref="R62:S62" si="25">-208000</f>
        <v>-208000</v>
      </c>
      <c r="S62" s="283">
        <f t="shared" si="25"/>
        <v>-208000</v>
      </c>
      <c r="T62" s="283">
        <f t="shared" ref="T62:AF62" si="26">-200000</f>
        <v>-200000</v>
      </c>
      <c r="U62" s="283">
        <f t="shared" si="26"/>
        <v>-200000</v>
      </c>
      <c r="V62" s="283">
        <f t="shared" si="26"/>
        <v>-200000</v>
      </c>
      <c r="W62" s="283">
        <f t="shared" si="26"/>
        <v>-200000</v>
      </c>
      <c r="X62" s="283">
        <f t="shared" si="26"/>
        <v>-200000</v>
      </c>
      <c r="Y62" s="283">
        <f t="shared" si="26"/>
        <v>-200000</v>
      </c>
      <c r="Z62" s="283">
        <f t="shared" si="26"/>
        <v>-200000</v>
      </c>
      <c r="AA62" s="283">
        <f t="shared" si="26"/>
        <v>-200000</v>
      </c>
      <c r="AB62" s="283">
        <f t="shared" si="26"/>
        <v>-200000</v>
      </c>
      <c r="AC62" s="283">
        <f t="shared" si="26"/>
        <v>-200000</v>
      </c>
      <c r="AD62" s="283">
        <f t="shared" si="26"/>
        <v>-200000</v>
      </c>
      <c r="AE62" s="283">
        <f t="shared" si="26"/>
        <v>-200000</v>
      </c>
      <c r="AF62" s="283">
        <f t="shared" si="26"/>
        <v>-200000</v>
      </c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4"/>
      <c r="BN62" s="284"/>
      <c r="BO62" s="284"/>
      <c r="BP62" s="284"/>
      <c r="BQ62" s="284"/>
      <c r="BR62" s="284"/>
      <c r="BS62" s="284"/>
      <c r="BT62" s="284"/>
      <c r="BU62" s="284"/>
      <c r="BV62" s="284"/>
      <c r="BW62" s="284"/>
      <c r="BX62" s="284"/>
      <c r="BY62" s="285">
        <f t="shared" si="23"/>
        <v>-3839193.855</v>
      </c>
      <c r="BZ62" s="597"/>
      <c r="CA62" s="222"/>
      <c r="CB62" s="248"/>
      <c r="CC62" s="597"/>
      <c r="CD62" s="222"/>
      <c r="CE62" s="222"/>
      <c r="CF62" s="222"/>
      <c r="CG62" s="222"/>
      <c r="CH62" s="222"/>
      <c r="CI62" s="222"/>
      <c r="CJ62" s="222"/>
      <c r="CK62" s="222"/>
      <c r="CL62" s="222"/>
      <c r="CM62" s="222"/>
      <c r="CN62" s="222"/>
      <c r="CO62" s="222"/>
      <c r="CP62" s="222"/>
      <c r="CQ62" s="222"/>
      <c r="CR62" s="222"/>
      <c r="CS62" s="222"/>
      <c r="CT62" s="222"/>
      <c r="CU62" s="222"/>
      <c r="CV62" s="222"/>
      <c r="CW62" s="222"/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222"/>
      <c r="DT62" s="222"/>
      <c r="DU62" s="222"/>
      <c r="DV62" s="222"/>
      <c r="DW62" s="222"/>
      <c r="DX62" s="222"/>
      <c r="DY62" s="222"/>
      <c r="DZ62" s="222"/>
      <c r="EA62" s="222"/>
      <c r="EB62" s="222"/>
      <c r="EC62" s="222"/>
      <c r="ED62" s="222"/>
      <c r="EE62" s="222"/>
      <c r="EF62" s="222"/>
      <c r="EG62" s="222"/>
      <c r="EH62" s="222"/>
    </row>
    <row r="63" spans="1:138" ht="15.95" collapsed="1">
      <c r="A63" s="505"/>
      <c r="B63" s="600"/>
      <c r="C63" s="244" t="s">
        <v>256</v>
      </c>
      <c r="D63" s="245"/>
      <c r="E63" s="246">
        <f t="shared" ref="E63:BY63" si="27">SUM(E64:E86)</f>
        <v>0</v>
      </c>
      <c r="F63" s="246">
        <f t="shared" si="27"/>
        <v>0</v>
      </c>
      <c r="G63" s="246">
        <f t="shared" si="27"/>
        <v>0</v>
      </c>
      <c r="H63" s="246">
        <f t="shared" si="27"/>
        <v>0</v>
      </c>
      <c r="I63" s="246">
        <f t="shared" si="27"/>
        <v>0</v>
      </c>
      <c r="J63" s="246">
        <f t="shared" si="27"/>
        <v>0</v>
      </c>
      <c r="K63" s="246">
        <f t="shared" si="27"/>
        <v>0</v>
      </c>
      <c r="L63" s="246">
        <f t="shared" si="27"/>
        <v>0</v>
      </c>
      <c r="M63" s="246">
        <f t="shared" si="27"/>
        <v>0</v>
      </c>
      <c r="N63" s="246">
        <f t="shared" si="27"/>
        <v>0</v>
      </c>
      <c r="O63" s="246">
        <f t="shared" si="27"/>
        <v>0</v>
      </c>
      <c r="P63" s="246">
        <f t="shared" si="27"/>
        <v>0</v>
      </c>
      <c r="Q63" s="246">
        <f t="shared" si="27"/>
        <v>0</v>
      </c>
      <c r="R63" s="246">
        <f t="shared" si="27"/>
        <v>-55146.233999999989</v>
      </c>
      <c r="S63" s="246">
        <f t="shared" si="27"/>
        <v>-55146.233999999989</v>
      </c>
      <c r="T63" s="246">
        <f t="shared" si="27"/>
        <v>-55146.233999999989</v>
      </c>
      <c r="U63" s="246">
        <f t="shared" si="27"/>
        <v>-105146.234</v>
      </c>
      <c r="V63" s="246">
        <f t="shared" si="27"/>
        <v>-55146.233999999989</v>
      </c>
      <c r="W63" s="246">
        <f t="shared" si="27"/>
        <v>-55146.233999999989</v>
      </c>
      <c r="X63" s="246">
        <f t="shared" si="27"/>
        <v>-55146.233999999989</v>
      </c>
      <c r="Y63" s="246">
        <f t="shared" si="27"/>
        <v>-55146.233999999989</v>
      </c>
      <c r="Z63" s="246">
        <f t="shared" si="27"/>
        <v>-98230.703999999983</v>
      </c>
      <c r="AA63" s="246">
        <f t="shared" si="27"/>
        <v>-98230.703999999983</v>
      </c>
      <c r="AB63" s="246">
        <f t="shared" si="27"/>
        <v>-98230.703999999983</v>
      </c>
      <c r="AC63" s="246">
        <f t="shared" si="27"/>
        <v>-98230.703999999983</v>
      </c>
      <c r="AD63" s="246">
        <f t="shared" si="27"/>
        <v>-98230.703999999983</v>
      </c>
      <c r="AE63" s="246">
        <f t="shared" si="27"/>
        <v>-98230.703999999983</v>
      </c>
      <c r="AF63" s="246">
        <f t="shared" si="27"/>
        <v>-792643.69479999971</v>
      </c>
      <c r="AG63" s="246">
        <f t="shared" si="27"/>
        <v>0</v>
      </c>
      <c r="AH63" s="246">
        <f t="shared" si="27"/>
        <v>0</v>
      </c>
      <c r="AI63" s="246">
        <f t="shared" si="27"/>
        <v>0</v>
      </c>
      <c r="AJ63" s="246">
        <f t="shared" si="27"/>
        <v>0</v>
      </c>
      <c r="AK63" s="246">
        <f t="shared" si="27"/>
        <v>0</v>
      </c>
      <c r="AL63" s="246">
        <f t="shared" si="27"/>
        <v>0</v>
      </c>
      <c r="AM63" s="246">
        <f t="shared" si="27"/>
        <v>0</v>
      </c>
      <c r="AN63" s="246">
        <f t="shared" si="27"/>
        <v>0</v>
      </c>
      <c r="AO63" s="246">
        <f t="shared" si="27"/>
        <v>0</v>
      </c>
      <c r="AP63" s="246">
        <f t="shared" si="27"/>
        <v>0</v>
      </c>
      <c r="AQ63" s="246">
        <f t="shared" si="27"/>
        <v>0</v>
      </c>
      <c r="AR63" s="246">
        <f t="shared" si="27"/>
        <v>0</v>
      </c>
      <c r="AS63" s="246">
        <f t="shared" si="27"/>
        <v>0</v>
      </c>
      <c r="AT63" s="246">
        <f t="shared" si="27"/>
        <v>0</v>
      </c>
      <c r="AU63" s="246">
        <f t="shared" si="27"/>
        <v>0</v>
      </c>
      <c r="AV63" s="246">
        <f t="shared" si="27"/>
        <v>0</v>
      </c>
      <c r="AW63" s="246">
        <f t="shared" si="27"/>
        <v>0</v>
      </c>
      <c r="AX63" s="246">
        <f t="shared" si="27"/>
        <v>0</v>
      </c>
      <c r="AY63" s="246">
        <f t="shared" si="27"/>
        <v>0</v>
      </c>
      <c r="AZ63" s="246">
        <f t="shared" si="27"/>
        <v>0</v>
      </c>
      <c r="BA63" s="246">
        <f t="shared" si="27"/>
        <v>0</v>
      </c>
      <c r="BB63" s="246">
        <f t="shared" si="27"/>
        <v>0</v>
      </c>
      <c r="BC63" s="246">
        <f t="shared" si="27"/>
        <v>0</v>
      </c>
      <c r="BD63" s="246">
        <f t="shared" si="27"/>
        <v>0</v>
      </c>
      <c r="BE63" s="246">
        <f t="shared" si="27"/>
        <v>0</v>
      </c>
      <c r="BF63" s="246">
        <f t="shared" si="27"/>
        <v>0</v>
      </c>
      <c r="BG63" s="246">
        <f t="shared" si="27"/>
        <v>0</v>
      </c>
      <c r="BH63" s="246">
        <f t="shared" si="27"/>
        <v>0</v>
      </c>
      <c r="BI63" s="246">
        <f t="shared" si="27"/>
        <v>0</v>
      </c>
      <c r="BJ63" s="246">
        <f t="shared" si="27"/>
        <v>0</v>
      </c>
      <c r="BK63" s="246">
        <f t="shared" si="27"/>
        <v>0</v>
      </c>
      <c r="BL63" s="246">
        <f t="shared" si="27"/>
        <v>0</v>
      </c>
      <c r="BM63" s="246">
        <f t="shared" si="27"/>
        <v>0</v>
      </c>
      <c r="BN63" s="246">
        <f t="shared" si="27"/>
        <v>0</v>
      </c>
      <c r="BO63" s="246">
        <f t="shared" si="27"/>
        <v>0</v>
      </c>
      <c r="BP63" s="246">
        <f t="shared" si="27"/>
        <v>0</v>
      </c>
      <c r="BQ63" s="246">
        <f t="shared" si="27"/>
        <v>0</v>
      </c>
      <c r="BR63" s="246">
        <f t="shared" si="27"/>
        <v>0</v>
      </c>
      <c r="BS63" s="246">
        <f t="shared" si="27"/>
        <v>0</v>
      </c>
      <c r="BT63" s="246">
        <f t="shared" si="27"/>
        <v>0</v>
      </c>
      <c r="BU63" s="246">
        <f t="shared" si="27"/>
        <v>0</v>
      </c>
      <c r="BV63" s="246">
        <f t="shared" si="27"/>
        <v>0</v>
      </c>
      <c r="BW63" s="246">
        <f t="shared" si="27"/>
        <v>0</v>
      </c>
      <c r="BX63" s="246">
        <f t="shared" si="27"/>
        <v>0</v>
      </c>
      <c r="BY63" s="247">
        <f t="shared" si="27"/>
        <v>-1873197.7907999996</v>
      </c>
      <c r="BZ63" s="597"/>
      <c r="CA63" s="222"/>
      <c r="CB63" s="248"/>
      <c r="CC63" s="597"/>
      <c r="CD63" s="222"/>
      <c r="CE63" s="222"/>
      <c r="CF63" s="222"/>
      <c r="CG63" s="222"/>
      <c r="CH63" s="222"/>
      <c r="CI63" s="222"/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2"/>
      <c r="DI63" s="222"/>
      <c r="DJ63" s="222"/>
      <c r="DK63" s="222"/>
      <c r="DL63" s="222"/>
      <c r="DM63" s="222"/>
      <c r="DN63" s="222"/>
      <c r="DO63" s="222"/>
      <c r="DP63" s="222"/>
      <c r="DQ63" s="222"/>
      <c r="DR63" s="222"/>
      <c r="DS63" s="222"/>
      <c r="DT63" s="222"/>
      <c r="DU63" s="222"/>
      <c r="DV63" s="222"/>
      <c r="DW63" s="222"/>
      <c r="DX63" s="222"/>
      <c r="DY63" s="222"/>
      <c r="DZ63" s="222"/>
      <c r="EA63" s="222"/>
      <c r="EB63" s="222"/>
      <c r="EC63" s="222"/>
      <c r="ED63" s="222"/>
      <c r="EE63" s="222"/>
      <c r="EF63" s="222"/>
      <c r="EG63" s="222"/>
      <c r="EH63" s="222"/>
    </row>
    <row r="64" spans="1:138" ht="15.95" hidden="1" outlineLevel="1">
      <c r="A64" s="505"/>
      <c r="B64" s="600"/>
      <c r="C64" s="286" t="s">
        <v>257</v>
      </c>
      <c r="D64" s="250" t="s">
        <v>223</v>
      </c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87">
        <f t="shared" ref="BY64:BY86" si="28">SUM(E64:BX64)</f>
        <v>0</v>
      </c>
      <c r="BZ64" s="597"/>
      <c r="CA64" s="222"/>
      <c r="CB64" s="248"/>
      <c r="CC64" s="597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</row>
    <row r="65" spans="1:138" ht="15.95" hidden="1" outlineLevel="1">
      <c r="A65" s="505"/>
      <c r="B65" s="600"/>
      <c r="C65" s="288" t="s">
        <v>258</v>
      </c>
      <c r="D65" s="250" t="s">
        <v>223</v>
      </c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87">
        <f t="shared" si="28"/>
        <v>0</v>
      </c>
      <c r="BZ65" s="597"/>
      <c r="CA65" s="222"/>
      <c r="CB65" s="248"/>
      <c r="CC65" s="597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2"/>
      <c r="DC65" s="222"/>
      <c r="DD65" s="222"/>
      <c r="DE65" s="222"/>
      <c r="DF65" s="222"/>
      <c r="DG65" s="222"/>
      <c r="DH65" s="222"/>
      <c r="DI65" s="222"/>
      <c r="DJ65" s="222"/>
      <c r="DK65" s="222"/>
      <c r="DL65" s="222"/>
      <c r="DM65" s="222"/>
      <c r="DN65" s="222"/>
      <c r="DO65" s="222"/>
      <c r="DP65" s="222"/>
      <c r="DQ65" s="222"/>
      <c r="DR65" s="222"/>
      <c r="DS65" s="222"/>
      <c r="DT65" s="222"/>
      <c r="DU65" s="222"/>
      <c r="DV65" s="222"/>
      <c r="DW65" s="222"/>
      <c r="DX65" s="222"/>
      <c r="DY65" s="222"/>
      <c r="DZ65" s="222"/>
      <c r="EA65" s="222"/>
      <c r="EB65" s="222"/>
      <c r="EC65" s="222"/>
      <c r="ED65" s="222"/>
      <c r="EE65" s="222"/>
      <c r="EF65" s="222"/>
      <c r="EG65" s="222"/>
      <c r="EH65" s="222"/>
    </row>
    <row r="66" spans="1:138" ht="15.95" hidden="1" outlineLevel="1">
      <c r="A66" s="505"/>
      <c r="B66" s="600"/>
      <c r="C66" s="288" t="s">
        <v>259</v>
      </c>
      <c r="D66" s="250" t="s">
        <v>223</v>
      </c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87">
        <f t="shared" si="28"/>
        <v>0</v>
      </c>
      <c r="BZ66" s="597"/>
      <c r="CA66" s="222"/>
      <c r="CB66" s="248"/>
      <c r="CC66" s="597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</row>
    <row r="67" spans="1:138" ht="15.95" hidden="1" outlineLevel="1">
      <c r="A67" s="505"/>
      <c r="B67" s="600"/>
      <c r="C67" s="288" t="s">
        <v>260</v>
      </c>
      <c r="D67" s="250" t="s">
        <v>223</v>
      </c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87">
        <f t="shared" si="28"/>
        <v>0</v>
      </c>
      <c r="BZ67" s="597"/>
      <c r="CA67" s="222"/>
      <c r="CB67" s="248"/>
      <c r="CC67" s="597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</row>
    <row r="68" spans="1:138" ht="15.95" hidden="1" outlineLevel="1">
      <c r="A68" s="505"/>
      <c r="B68" s="600"/>
      <c r="C68" s="288" t="s">
        <v>261</v>
      </c>
      <c r="D68" s="250" t="s">
        <v>223</v>
      </c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87">
        <f t="shared" si="28"/>
        <v>0</v>
      </c>
      <c r="BZ68" s="597"/>
      <c r="CA68" s="222"/>
      <c r="CB68" s="248"/>
      <c r="CC68" s="597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</row>
    <row r="69" spans="1:138" ht="15.95" hidden="1" outlineLevel="1">
      <c r="A69" s="505"/>
      <c r="B69" s="600"/>
      <c r="C69" s="288" t="s">
        <v>262</v>
      </c>
      <c r="D69" s="250" t="s">
        <v>223</v>
      </c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87">
        <f t="shared" si="28"/>
        <v>0</v>
      </c>
      <c r="BZ69" s="597"/>
      <c r="CA69" s="222"/>
      <c r="CB69" s="248"/>
      <c r="CC69" s="597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</row>
    <row r="70" spans="1:138" ht="15.95" hidden="1" outlineLevel="1">
      <c r="A70" s="505"/>
      <c r="B70" s="600"/>
      <c r="C70" s="288" t="s">
        <v>263</v>
      </c>
      <c r="D70" s="250" t="s">
        <v>223</v>
      </c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87">
        <f t="shared" si="28"/>
        <v>0</v>
      </c>
      <c r="BZ70" s="597"/>
      <c r="CA70" s="222"/>
      <c r="CB70" s="248"/>
      <c r="CC70" s="597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2"/>
      <c r="DI70" s="222"/>
      <c r="DJ70" s="222"/>
      <c r="DK70" s="222"/>
      <c r="DL70" s="222"/>
      <c r="DM70" s="222"/>
      <c r="DN70" s="222"/>
      <c r="DO70" s="222"/>
      <c r="DP70" s="222"/>
      <c r="DQ70" s="222"/>
      <c r="DR70" s="222"/>
      <c r="DS70" s="222"/>
      <c r="DT70" s="222"/>
      <c r="DU70" s="222"/>
      <c r="DV70" s="222"/>
      <c r="DW70" s="222"/>
      <c r="DX70" s="222"/>
      <c r="DY70" s="222"/>
      <c r="DZ70" s="222"/>
      <c r="EA70" s="222"/>
      <c r="EB70" s="222"/>
      <c r="EC70" s="222"/>
      <c r="ED70" s="222"/>
      <c r="EE70" s="222"/>
      <c r="EF70" s="222"/>
      <c r="EG70" s="222"/>
      <c r="EH70" s="222"/>
    </row>
    <row r="71" spans="1:138" ht="15.95" hidden="1" outlineLevel="1">
      <c r="A71" s="505"/>
      <c r="B71" s="600"/>
      <c r="C71" s="288" t="s">
        <v>264</v>
      </c>
      <c r="D71" s="250" t="s">
        <v>223</v>
      </c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87">
        <f t="shared" si="28"/>
        <v>0</v>
      </c>
      <c r="BZ71" s="597"/>
      <c r="CA71" s="222"/>
      <c r="CB71" s="248"/>
      <c r="CC71" s="597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D71" s="222"/>
      <c r="EE71" s="222"/>
      <c r="EF71" s="222"/>
      <c r="EG71" s="222"/>
      <c r="EH71" s="222"/>
    </row>
    <row r="72" spans="1:138" ht="15.95" hidden="1" outlineLevel="1">
      <c r="A72" s="505"/>
      <c r="B72" s="600"/>
      <c r="C72" s="288" t="s">
        <v>265</v>
      </c>
      <c r="D72" s="250" t="s">
        <v>223</v>
      </c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9">
        <f>-50000</f>
        <v>-50000</v>
      </c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87">
        <f t="shared" si="28"/>
        <v>-50000</v>
      </c>
      <c r="BZ72" s="597"/>
      <c r="CA72" s="222"/>
      <c r="CB72" s="248"/>
      <c r="CC72" s="597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2"/>
      <c r="DI72" s="222"/>
      <c r="DJ72" s="222"/>
      <c r="DK72" s="222"/>
      <c r="DL72" s="222"/>
      <c r="DM72" s="222"/>
      <c r="DN72" s="222"/>
      <c r="DO72" s="222"/>
      <c r="DP72" s="222"/>
      <c r="DQ72" s="222"/>
      <c r="DR72" s="222"/>
      <c r="DS72" s="222"/>
      <c r="DT72" s="222"/>
      <c r="DU72" s="222"/>
      <c r="DV72" s="222"/>
      <c r="DW72" s="222"/>
      <c r="DX72" s="222"/>
      <c r="DY72" s="222"/>
      <c r="DZ72" s="222"/>
      <c r="EA72" s="222"/>
      <c r="EB72" s="222"/>
      <c r="EC72" s="222"/>
      <c r="ED72" s="222"/>
      <c r="EE72" s="222"/>
      <c r="EF72" s="222"/>
      <c r="EG72" s="222"/>
      <c r="EH72" s="222"/>
    </row>
    <row r="73" spans="1:138" ht="15.95" hidden="1" outlineLevel="1">
      <c r="A73" s="505"/>
      <c r="B73" s="600"/>
      <c r="C73" s="288" t="s">
        <v>266</v>
      </c>
      <c r="D73" s="250" t="s">
        <v>223</v>
      </c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87">
        <f t="shared" si="28"/>
        <v>0</v>
      </c>
      <c r="BZ73" s="597"/>
      <c r="CA73" s="222"/>
      <c r="CB73" s="248"/>
      <c r="CC73" s="597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  <c r="DI73" s="222"/>
      <c r="DJ73" s="222"/>
      <c r="DK73" s="222"/>
      <c r="DL73" s="222"/>
      <c r="DM73" s="222"/>
      <c r="DN73" s="222"/>
      <c r="DO73" s="222"/>
      <c r="DP73" s="222"/>
      <c r="DQ73" s="222"/>
      <c r="DR73" s="222"/>
      <c r="DS73" s="222"/>
      <c r="DT73" s="222"/>
      <c r="DU73" s="222"/>
      <c r="DV73" s="222"/>
      <c r="DW73" s="222"/>
      <c r="DX73" s="222"/>
      <c r="DY73" s="222"/>
      <c r="DZ73" s="222"/>
      <c r="EA73" s="222"/>
      <c r="EB73" s="222"/>
      <c r="EC73" s="222"/>
      <c r="ED73" s="222"/>
      <c r="EE73" s="222"/>
      <c r="EF73" s="222"/>
      <c r="EG73" s="222"/>
      <c r="EH73" s="222"/>
    </row>
    <row r="74" spans="1:138" ht="15.95" hidden="1" outlineLevel="1">
      <c r="A74" s="505"/>
      <c r="B74" s="600"/>
      <c r="C74" s="288" t="s">
        <v>267</v>
      </c>
      <c r="D74" s="250" t="s">
        <v>223</v>
      </c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87">
        <f t="shared" si="28"/>
        <v>0</v>
      </c>
      <c r="BZ74" s="597"/>
      <c r="CA74" s="222"/>
      <c r="CB74" s="248"/>
      <c r="CC74" s="597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2"/>
      <c r="DI74" s="222"/>
      <c r="DJ74" s="222"/>
      <c r="DK74" s="222"/>
      <c r="DL74" s="222"/>
      <c r="DM74" s="222"/>
      <c r="DN74" s="222"/>
      <c r="DO74" s="222"/>
      <c r="DP74" s="222"/>
      <c r="DQ74" s="222"/>
      <c r="DR74" s="222"/>
      <c r="DS74" s="222"/>
      <c r="DT74" s="222"/>
      <c r="DU74" s="222"/>
      <c r="DV74" s="222"/>
      <c r="DW74" s="222"/>
      <c r="DX74" s="222"/>
      <c r="DY74" s="222"/>
      <c r="DZ74" s="222"/>
      <c r="EA74" s="222"/>
      <c r="EB74" s="222"/>
      <c r="EC74" s="222"/>
      <c r="ED74" s="222"/>
      <c r="EE74" s="222"/>
      <c r="EF74" s="222"/>
      <c r="EG74" s="222"/>
      <c r="EH74" s="222"/>
    </row>
    <row r="75" spans="1:138" ht="15.95" hidden="1" outlineLevel="1">
      <c r="A75" s="505"/>
      <c r="B75" s="600"/>
      <c r="C75" s="288" t="s">
        <v>268</v>
      </c>
      <c r="D75" s="250" t="s">
        <v>223</v>
      </c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87">
        <f t="shared" si="28"/>
        <v>0</v>
      </c>
      <c r="BZ75" s="597"/>
      <c r="CA75" s="222"/>
      <c r="CB75" s="248"/>
      <c r="CC75" s="597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</row>
    <row r="76" spans="1:138" ht="15.95" hidden="1" outlineLevel="1">
      <c r="A76" s="505"/>
      <c r="B76" s="600"/>
      <c r="C76" s="288" t="s">
        <v>269</v>
      </c>
      <c r="D76" s="250" t="s">
        <v>223</v>
      </c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87">
        <f t="shared" si="28"/>
        <v>0</v>
      </c>
      <c r="BZ76" s="597"/>
      <c r="CA76" s="222"/>
      <c r="CB76" s="248"/>
      <c r="CC76" s="597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</row>
    <row r="77" spans="1:138" ht="15.95" hidden="1" outlineLevel="1">
      <c r="A77" s="505"/>
      <c r="B77" s="600"/>
      <c r="C77" s="288" t="s">
        <v>270</v>
      </c>
      <c r="D77" s="250" t="s">
        <v>223</v>
      </c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87">
        <f t="shared" si="28"/>
        <v>0</v>
      </c>
      <c r="BZ77" s="597"/>
      <c r="CA77" s="222"/>
      <c r="CB77" s="248"/>
      <c r="CC77" s="597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</row>
    <row r="78" spans="1:138" ht="15.95" hidden="1" outlineLevel="1">
      <c r="A78" s="505"/>
      <c r="B78" s="600"/>
      <c r="C78" s="288" t="s">
        <v>271</v>
      </c>
      <c r="D78" s="250" t="s">
        <v>223</v>
      </c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87">
        <f t="shared" si="28"/>
        <v>0</v>
      </c>
      <c r="BZ78" s="597"/>
      <c r="CA78" s="222"/>
      <c r="CB78" s="248"/>
      <c r="CC78" s="597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</row>
    <row r="79" spans="1:138" ht="15.95" hidden="1" outlineLevel="1">
      <c r="A79" s="505"/>
      <c r="B79" s="600"/>
      <c r="C79" s="288" t="s">
        <v>272</v>
      </c>
      <c r="D79" s="250" t="s">
        <v>223</v>
      </c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87">
        <f t="shared" si="28"/>
        <v>0</v>
      </c>
      <c r="BZ79" s="597"/>
      <c r="CA79" s="222"/>
      <c r="CB79" s="248"/>
      <c r="CC79" s="597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</row>
    <row r="80" spans="1:138" ht="15.95" hidden="1" outlineLevel="1">
      <c r="A80" s="505"/>
      <c r="B80" s="600"/>
      <c r="C80" s="288" t="s">
        <v>273</v>
      </c>
      <c r="D80" s="250" t="s">
        <v>223</v>
      </c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>
        <f>-39*Businessplan_prodej!$J$8*1.21</f>
        <v>-55146.233999999989</v>
      </c>
      <c r="S80" s="252">
        <f>-39*Businessplan_prodej!$J$8*1.21</f>
        <v>-55146.233999999989</v>
      </c>
      <c r="T80" s="252">
        <f>-39*Businessplan_prodej!$J$8*1.21</f>
        <v>-55146.233999999989</v>
      </c>
      <c r="U80" s="252">
        <f>-39*Businessplan_prodej!$J$8*1.21</f>
        <v>-55146.233999999989</v>
      </c>
      <c r="V80" s="252">
        <f>-39*Businessplan_prodej!$J$8*1.21</f>
        <v>-55146.233999999989</v>
      </c>
      <c r="W80" s="252">
        <f>-39*Businessplan_prodej!$J$8*1.21</f>
        <v>-55146.233999999989</v>
      </c>
      <c r="X80" s="252">
        <f>-39*Businessplan_prodej!$J$8*1.21</f>
        <v>-55146.233999999989</v>
      </c>
      <c r="Y80" s="252">
        <f>-39*Businessplan_prodej!$J$8*1.21</f>
        <v>-55146.233999999989</v>
      </c>
      <c r="Z80" s="252">
        <f>-39*Businessplan_prodej!$J$17*1.21</f>
        <v>-98230.703999999983</v>
      </c>
      <c r="AA80" s="252">
        <f>-39*Businessplan_prodej!$J$17*1.21</f>
        <v>-98230.703999999983</v>
      </c>
      <c r="AB80" s="252">
        <f>-39*Businessplan_prodej!$J$17*1.21</f>
        <v>-98230.703999999983</v>
      </c>
      <c r="AC80" s="252">
        <f>-39*Businessplan_prodej!$J$17*1.21</f>
        <v>-98230.703999999983</v>
      </c>
      <c r="AD80" s="252">
        <f>-39*Businessplan_prodej!$J$17*1.21</f>
        <v>-98230.703999999983</v>
      </c>
      <c r="AE80" s="252">
        <f>-39*Businessplan_prodej!$J$17*1.21</f>
        <v>-98230.703999999983</v>
      </c>
      <c r="AF80" s="252">
        <f>-39*Businessplan_prodej!$J$17*1.21</f>
        <v>-98230.703999999983</v>
      </c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87">
        <f t="shared" si="28"/>
        <v>-1128784.8</v>
      </c>
      <c r="BZ80" s="597"/>
      <c r="CA80" s="222"/>
      <c r="CB80" s="248"/>
      <c r="CC80" s="597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</row>
    <row r="81" spans="1:138" ht="15.95" hidden="1" outlineLevel="1">
      <c r="A81" s="505"/>
      <c r="B81" s="600"/>
      <c r="C81" s="288" t="s">
        <v>274</v>
      </c>
      <c r="D81" s="250" t="s">
        <v>223</v>
      </c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87">
        <f t="shared" si="28"/>
        <v>0</v>
      </c>
      <c r="BZ81" s="597"/>
      <c r="CA81" s="222"/>
      <c r="CB81" s="248"/>
      <c r="CC81" s="597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</row>
    <row r="82" spans="1:138" ht="15.95" hidden="1" outlineLevel="1">
      <c r="A82" s="505"/>
      <c r="B82" s="600"/>
      <c r="C82" s="289" t="s">
        <v>178</v>
      </c>
      <c r="D82" s="250" t="s">
        <v>223</v>
      </c>
      <c r="E82" s="252"/>
      <c r="F82" s="251"/>
      <c r="G82" s="251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87">
        <f t="shared" si="28"/>
        <v>0</v>
      </c>
      <c r="BZ82" s="597"/>
      <c r="CA82" s="222"/>
      <c r="CB82" s="248"/>
      <c r="CC82" s="597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</row>
    <row r="83" spans="1:138" ht="15.95" hidden="1" outlineLevel="1">
      <c r="A83" s="505"/>
      <c r="B83" s="600"/>
      <c r="C83" s="288" t="s">
        <v>179</v>
      </c>
      <c r="D83" s="250" t="s">
        <v>223</v>
      </c>
      <c r="E83" s="252"/>
      <c r="F83" s="251"/>
      <c r="G83" s="251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87">
        <f t="shared" si="28"/>
        <v>0</v>
      </c>
      <c r="BZ83" s="597"/>
      <c r="CA83" s="222"/>
      <c r="CB83" s="248"/>
      <c r="CC83" s="597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</row>
    <row r="84" spans="1:138" ht="15.95" hidden="1" outlineLevel="1">
      <c r="A84" s="505"/>
      <c r="B84" s="600"/>
      <c r="C84" s="288" t="s">
        <v>189</v>
      </c>
      <c r="D84" s="250" t="s">
        <v>223</v>
      </c>
      <c r="E84" s="252"/>
      <c r="F84" s="251"/>
      <c r="G84" s="251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87">
        <f t="shared" si="28"/>
        <v>0</v>
      </c>
      <c r="BZ84" s="597"/>
      <c r="CA84" s="222"/>
      <c r="CB84" s="248"/>
      <c r="CC84" s="597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</row>
    <row r="85" spans="1:138" ht="15.95" hidden="1" outlineLevel="1">
      <c r="A85" s="505"/>
      <c r="B85" s="600"/>
      <c r="C85" s="288" t="s">
        <v>190</v>
      </c>
      <c r="D85" s="250" t="s">
        <v>223</v>
      </c>
      <c r="E85" s="252"/>
      <c r="F85" s="251"/>
      <c r="G85" s="251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87">
        <f t="shared" si="28"/>
        <v>0</v>
      </c>
      <c r="BZ85" s="597"/>
      <c r="CA85" s="222"/>
      <c r="CB85" s="248"/>
      <c r="CC85" s="597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</row>
    <row r="86" spans="1:138" ht="15.95" hidden="1" outlineLevel="1">
      <c r="A86" s="505"/>
      <c r="B86" s="600"/>
      <c r="C86" s="290" t="s">
        <v>275</v>
      </c>
      <c r="D86" s="254" t="s">
        <v>223</v>
      </c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>
        <f>Businessplan_prodej!$N$21</f>
        <v>-694412.99079999968</v>
      </c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87">
        <f t="shared" si="28"/>
        <v>-694412.99079999968</v>
      </c>
      <c r="BZ86" s="597"/>
      <c r="CA86" s="222"/>
      <c r="CB86" s="248"/>
      <c r="CC86" s="597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</row>
    <row r="87" spans="1:138" ht="15.95" collapsed="1">
      <c r="A87" s="505"/>
      <c r="B87" s="600"/>
      <c r="C87" s="244" t="s">
        <v>276</v>
      </c>
      <c r="D87" s="245"/>
      <c r="E87" s="246">
        <f t="shared" ref="E87:BY87" si="29">SUM(E88:E89)</f>
        <v>0</v>
      </c>
      <c r="F87" s="246">
        <f t="shared" si="29"/>
        <v>0</v>
      </c>
      <c r="G87" s="246">
        <f t="shared" si="29"/>
        <v>0</v>
      </c>
      <c r="H87" s="246">
        <f t="shared" si="29"/>
        <v>0</v>
      </c>
      <c r="I87" s="246">
        <f t="shared" si="29"/>
        <v>0</v>
      </c>
      <c r="J87" s="246">
        <f t="shared" si="29"/>
        <v>0</v>
      </c>
      <c r="K87" s="246">
        <f t="shared" si="29"/>
        <v>0</v>
      </c>
      <c r="L87" s="246">
        <f t="shared" si="29"/>
        <v>0</v>
      </c>
      <c r="M87" s="246">
        <f t="shared" si="29"/>
        <v>0</v>
      </c>
      <c r="N87" s="246">
        <f t="shared" si="29"/>
        <v>0</v>
      </c>
      <c r="O87" s="246">
        <f t="shared" si="29"/>
        <v>0</v>
      </c>
      <c r="P87" s="246">
        <f t="shared" si="29"/>
        <v>0</v>
      </c>
      <c r="Q87" s="246">
        <f t="shared" si="29"/>
        <v>0</v>
      </c>
      <c r="R87" s="246">
        <f t="shared" si="29"/>
        <v>0</v>
      </c>
      <c r="S87" s="246">
        <f t="shared" si="29"/>
        <v>0</v>
      </c>
      <c r="T87" s="246">
        <f t="shared" si="29"/>
        <v>0</v>
      </c>
      <c r="U87" s="246">
        <f t="shared" si="29"/>
        <v>0</v>
      </c>
      <c r="V87" s="246">
        <f t="shared" si="29"/>
        <v>0</v>
      </c>
      <c r="W87" s="246">
        <f t="shared" si="29"/>
        <v>0</v>
      </c>
      <c r="X87" s="246">
        <f t="shared" si="29"/>
        <v>0</v>
      </c>
      <c r="Y87" s="246">
        <f t="shared" si="29"/>
        <v>0</v>
      </c>
      <c r="Z87" s="246">
        <f t="shared" si="29"/>
        <v>0</v>
      </c>
      <c r="AA87" s="246">
        <f t="shared" si="29"/>
        <v>0</v>
      </c>
      <c r="AB87" s="246">
        <f t="shared" si="29"/>
        <v>0</v>
      </c>
      <c r="AC87" s="246">
        <f t="shared" si="29"/>
        <v>0</v>
      </c>
      <c r="AD87" s="246">
        <f t="shared" si="29"/>
        <v>0</v>
      </c>
      <c r="AE87" s="246">
        <f t="shared" si="29"/>
        <v>0</v>
      </c>
      <c r="AF87" s="246">
        <f t="shared" si="29"/>
        <v>0</v>
      </c>
      <c r="AG87" s="246">
        <f t="shared" si="29"/>
        <v>0</v>
      </c>
      <c r="AH87" s="246">
        <f t="shared" si="29"/>
        <v>0</v>
      </c>
      <c r="AI87" s="246">
        <f t="shared" si="29"/>
        <v>0</v>
      </c>
      <c r="AJ87" s="246">
        <f t="shared" si="29"/>
        <v>0</v>
      </c>
      <c r="AK87" s="246">
        <f t="shared" si="29"/>
        <v>0</v>
      </c>
      <c r="AL87" s="246">
        <f t="shared" si="29"/>
        <v>0</v>
      </c>
      <c r="AM87" s="246">
        <f t="shared" si="29"/>
        <v>0</v>
      </c>
      <c r="AN87" s="246">
        <f t="shared" si="29"/>
        <v>0</v>
      </c>
      <c r="AO87" s="246">
        <f t="shared" si="29"/>
        <v>0</v>
      </c>
      <c r="AP87" s="246">
        <f t="shared" si="29"/>
        <v>0</v>
      </c>
      <c r="AQ87" s="246">
        <f t="shared" si="29"/>
        <v>0</v>
      </c>
      <c r="AR87" s="246">
        <f t="shared" si="29"/>
        <v>0</v>
      </c>
      <c r="AS87" s="246">
        <f t="shared" si="29"/>
        <v>0</v>
      </c>
      <c r="AT87" s="246">
        <f t="shared" si="29"/>
        <v>0</v>
      </c>
      <c r="AU87" s="246">
        <f t="shared" si="29"/>
        <v>0</v>
      </c>
      <c r="AV87" s="246">
        <f t="shared" si="29"/>
        <v>0</v>
      </c>
      <c r="AW87" s="246">
        <f t="shared" si="29"/>
        <v>0</v>
      </c>
      <c r="AX87" s="246">
        <f t="shared" si="29"/>
        <v>0</v>
      </c>
      <c r="AY87" s="246">
        <f t="shared" si="29"/>
        <v>0</v>
      </c>
      <c r="AZ87" s="246">
        <f t="shared" si="29"/>
        <v>0</v>
      </c>
      <c r="BA87" s="246">
        <f t="shared" si="29"/>
        <v>0</v>
      </c>
      <c r="BB87" s="246">
        <f t="shared" si="29"/>
        <v>0</v>
      </c>
      <c r="BC87" s="246">
        <f t="shared" si="29"/>
        <v>0</v>
      </c>
      <c r="BD87" s="246">
        <f t="shared" si="29"/>
        <v>0</v>
      </c>
      <c r="BE87" s="246">
        <f t="shared" si="29"/>
        <v>0</v>
      </c>
      <c r="BF87" s="246">
        <f t="shared" si="29"/>
        <v>0</v>
      </c>
      <c r="BG87" s="246">
        <f t="shared" si="29"/>
        <v>0</v>
      </c>
      <c r="BH87" s="246">
        <f t="shared" si="29"/>
        <v>0</v>
      </c>
      <c r="BI87" s="246">
        <f t="shared" si="29"/>
        <v>0</v>
      </c>
      <c r="BJ87" s="246">
        <f t="shared" si="29"/>
        <v>0</v>
      </c>
      <c r="BK87" s="246">
        <f t="shared" si="29"/>
        <v>0</v>
      </c>
      <c r="BL87" s="246">
        <f t="shared" si="29"/>
        <v>0</v>
      </c>
      <c r="BM87" s="246">
        <f t="shared" si="29"/>
        <v>0</v>
      </c>
      <c r="BN87" s="246">
        <f t="shared" si="29"/>
        <v>0</v>
      </c>
      <c r="BO87" s="246">
        <f t="shared" si="29"/>
        <v>0</v>
      </c>
      <c r="BP87" s="246">
        <f t="shared" si="29"/>
        <v>0</v>
      </c>
      <c r="BQ87" s="246">
        <f t="shared" si="29"/>
        <v>0</v>
      </c>
      <c r="BR87" s="246">
        <f t="shared" si="29"/>
        <v>0</v>
      </c>
      <c r="BS87" s="246">
        <f t="shared" si="29"/>
        <v>0</v>
      </c>
      <c r="BT87" s="246">
        <f t="shared" si="29"/>
        <v>0</v>
      </c>
      <c r="BU87" s="246">
        <f t="shared" si="29"/>
        <v>0</v>
      </c>
      <c r="BV87" s="246">
        <f t="shared" si="29"/>
        <v>0</v>
      </c>
      <c r="BW87" s="246">
        <f t="shared" si="29"/>
        <v>0</v>
      </c>
      <c r="BX87" s="246">
        <f t="shared" si="29"/>
        <v>0</v>
      </c>
      <c r="BY87" s="247">
        <f t="shared" si="29"/>
        <v>0</v>
      </c>
      <c r="BZ87" s="597"/>
      <c r="CA87" s="222"/>
      <c r="CB87" s="248"/>
      <c r="CC87" s="597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</row>
    <row r="88" spans="1:138" ht="15.95" hidden="1" outlineLevel="1">
      <c r="A88" s="505"/>
      <c r="B88" s="600"/>
      <c r="C88" s="286" t="s">
        <v>277</v>
      </c>
      <c r="D88" s="250" t="s">
        <v>223</v>
      </c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  <c r="AR88" s="256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92">
        <f t="shared" ref="BY88:BY89" si="30">SUM(E88:BX88)</f>
        <v>0</v>
      </c>
      <c r="BZ88" s="597"/>
      <c r="CA88" s="222"/>
      <c r="CB88" s="248"/>
      <c r="CC88" s="597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</row>
    <row r="89" spans="1:138" ht="15.95" hidden="1" outlineLevel="1">
      <c r="A89" s="505"/>
      <c r="B89" s="600"/>
      <c r="C89" s="290" t="s">
        <v>278</v>
      </c>
      <c r="D89" s="254" t="s">
        <v>223</v>
      </c>
      <c r="E89" s="283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  <c r="BS89" s="284"/>
      <c r="BT89" s="284"/>
      <c r="BU89" s="284"/>
      <c r="BV89" s="284"/>
      <c r="BW89" s="284"/>
      <c r="BX89" s="284"/>
      <c r="BY89" s="293">
        <f t="shared" si="30"/>
        <v>0</v>
      </c>
      <c r="BZ89" s="592"/>
      <c r="CA89" s="222"/>
      <c r="CB89" s="248"/>
      <c r="CC89" s="59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</row>
    <row r="90" spans="1:138">
      <c r="A90" s="505"/>
      <c r="B90" s="600"/>
      <c r="C90" s="244" t="s">
        <v>279</v>
      </c>
      <c r="D90" s="245"/>
      <c r="E90" s="246">
        <f t="shared" ref="E90:BX90" si="31">SUM(E91:E97)</f>
        <v>0</v>
      </c>
      <c r="F90" s="246">
        <f t="shared" si="31"/>
        <v>0</v>
      </c>
      <c r="G90" s="246">
        <f t="shared" si="31"/>
        <v>0</v>
      </c>
      <c r="H90" s="246">
        <f t="shared" si="31"/>
        <v>0</v>
      </c>
      <c r="I90" s="246">
        <f t="shared" si="31"/>
        <v>0</v>
      </c>
      <c r="J90" s="246">
        <f t="shared" si="31"/>
        <v>0</v>
      </c>
      <c r="K90" s="246">
        <f t="shared" si="31"/>
        <v>0</v>
      </c>
      <c r="L90" s="246">
        <f t="shared" si="31"/>
        <v>0</v>
      </c>
      <c r="M90" s="246">
        <f t="shared" si="31"/>
        <v>0</v>
      </c>
      <c r="N90" s="246">
        <f t="shared" si="31"/>
        <v>0</v>
      </c>
      <c r="O90" s="246">
        <f t="shared" si="31"/>
        <v>0</v>
      </c>
      <c r="P90" s="246">
        <f t="shared" si="31"/>
        <v>0</v>
      </c>
      <c r="Q90" s="246">
        <f t="shared" si="31"/>
        <v>-7000000</v>
      </c>
      <c r="R90" s="246">
        <f t="shared" si="31"/>
        <v>0</v>
      </c>
      <c r="S90" s="246">
        <f t="shared" si="31"/>
        <v>0</v>
      </c>
      <c r="T90" s="246">
        <f t="shared" si="31"/>
        <v>-65000</v>
      </c>
      <c r="U90" s="246">
        <f t="shared" si="31"/>
        <v>-65000</v>
      </c>
      <c r="V90" s="246">
        <f t="shared" si="31"/>
        <v>-65000</v>
      </c>
      <c r="W90" s="246">
        <f t="shared" si="31"/>
        <v>-65000</v>
      </c>
      <c r="X90" s="246">
        <f t="shared" si="31"/>
        <v>-65000</v>
      </c>
      <c r="Y90" s="246">
        <f t="shared" si="31"/>
        <v>-65000</v>
      </c>
      <c r="Z90" s="246">
        <f t="shared" si="31"/>
        <v>-100864.58919042983</v>
      </c>
      <c r="AA90" s="246">
        <f t="shared" si="31"/>
        <v>-100864.58919042983</v>
      </c>
      <c r="AB90" s="246">
        <f t="shared" si="31"/>
        <v>-100864.58919042983</v>
      </c>
      <c r="AC90" s="246">
        <f t="shared" si="31"/>
        <v>-100864.58919042983</v>
      </c>
      <c r="AD90" s="246">
        <f t="shared" si="31"/>
        <v>-100864.58919042983</v>
      </c>
      <c r="AE90" s="246">
        <f t="shared" si="31"/>
        <v>-100864.58919042983</v>
      </c>
      <c r="AF90" s="246">
        <f t="shared" si="31"/>
        <v>-109223495.79485743</v>
      </c>
      <c r="AG90" s="246">
        <f t="shared" si="31"/>
        <v>0</v>
      </c>
      <c r="AH90" s="246">
        <f t="shared" si="31"/>
        <v>0</v>
      </c>
      <c r="AI90" s="246">
        <f t="shared" si="31"/>
        <v>0</v>
      </c>
      <c r="AJ90" s="246">
        <f t="shared" si="31"/>
        <v>0</v>
      </c>
      <c r="AK90" s="246">
        <f t="shared" si="31"/>
        <v>0</v>
      </c>
      <c r="AL90" s="246">
        <f t="shared" si="31"/>
        <v>0</v>
      </c>
      <c r="AM90" s="246">
        <f t="shared" si="31"/>
        <v>0</v>
      </c>
      <c r="AN90" s="246">
        <f t="shared" si="31"/>
        <v>0</v>
      </c>
      <c r="AO90" s="246">
        <f t="shared" si="31"/>
        <v>0</v>
      </c>
      <c r="AP90" s="246">
        <f t="shared" si="31"/>
        <v>0</v>
      </c>
      <c r="AQ90" s="246">
        <f t="shared" si="31"/>
        <v>0</v>
      </c>
      <c r="AR90" s="246">
        <f t="shared" si="31"/>
        <v>0</v>
      </c>
      <c r="AS90" s="246">
        <f t="shared" si="31"/>
        <v>0</v>
      </c>
      <c r="AT90" s="246">
        <f t="shared" si="31"/>
        <v>0</v>
      </c>
      <c r="AU90" s="246">
        <f t="shared" si="31"/>
        <v>0</v>
      </c>
      <c r="AV90" s="246">
        <f t="shared" si="31"/>
        <v>0</v>
      </c>
      <c r="AW90" s="246">
        <f t="shared" si="31"/>
        <v>0</v>
      </c>
      <c r="AX90" s="246">
        <f t="shared" si="31"/>
        <v>0</v>
      </c>
      <c r="AY90" s="246">
        <f t="shared" si="31"/>
        <v>0</v>
      </c>
      <c r="AZ90" s="246">
        <f t="shared" si="31"/>
        <v>0</v>
      </c>
      <c r="BA90" s="246">
        <f t="shared" si="31"/>
        <v>0</v>
      </c>
      <c r="BB90" s="246">
        <f t="shared" si="31"/>
        <v>0</v>
      </c>
      <c r="BC90" s="246">
        <f t="shared" si="31"/>
        <v>0</v>
      </c>
      <c r="BD90" s="246">
        <f t="shared" si="31"/>
        <v>0</v>
      </c>
      <c r="BE90" s="246">
        <f t="shared" si="31"/>
        <v>0</v>
      </c>
      <c r="BF90" s="246">
        <f t="shared" si="31"/>
        <v>0</v>
      </c>
      <c r="BG90" s="246">
        <f t="shared" si="31"/>
        <v>0</v>
      </c>
      <c r="BH90" s="246">
        <f t="shared" si="31"/>
        <v>0</v>
      </c>
      <c r="BI90" s="246">
        <f t="shared" si="31"/>
        <v>0</v>
      </c>
      <c r="BJ90" s="246">
        <f t="shared" si="31"/>
        <v>0</v>
      </c>
      <c r="BK90" s="246">
        <f t="shared" si="31"/>
        <v>0</v>
      </c>
      <c r="BL90" s="246">
        <f t="shared" si="31"/>
        <v>0</v>
      </c>
      <c r="BM90" s="246">
        <f t="shared" si="31"/>
        <v>0</v>
      </c>
      <c r="BN90" s="246">
        <f t="shared" si="31"/>
        <v>0</v>
      </c>
      <c r="BO90" s="246">
        <f t="shared" si="31"/>
        <v>0</v>
      </c>
      <c r="BP90" s="246">
        <f t="shared" si="31"/>
        <v>0</v>
      </c>
      <c r="BQ90" s="246">
        <f t="shared" si="31"/>
        <v>0</v>
      </c>
      <c r="BR90" s="246">
        <f t="shared" si="31"/>
        <v>0</v>
      </c>
      <c r="BS90" s="246">
        <f t="shared" si="31"/>
        <v>0</v>
      </c>
      <c r="BT90" s="246">
        <f t="shared" si="31"/>
        <v>0</v>
      </c>
      <c r="BU90" s="246">
        <f t="shared" si="31"/>
        <v>0</v>
      </c>
      <c r="BV90" s="246">
        <f t="shared" si="31"/>
        <v>0</v>
      </c>
      <c r="BW90" s="246">
        <f t="shared" si="31"/>
        <v>0</v>
      </c>
      <c r="BX90" s="246">
        <f t="shared" si="31"/>
        <v>0</v>
      </c>
      <c r="BY90" s="564">
        <f>BZ17</f>
        <v>-127292570.85124931</v>
      </c>
      <c r="BZ90" s="599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</row>
    <row r="91" spans="1:138" outlineLevel="1">
      <c r="A91" s="505"/>
      <c r="B91" s="600"/>
      <c r="C91" s="249" t="s">
        <v>280</v>
      </c>
      <c r="D91" s="250" t="s">
        <v>223</v>
      </c>
      <c r="E91" s="251"/>
      <c r="F91" s="251"/>
      <c r="G91" s="251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1"/>
      <c r="V91" s="251"/>
      <c r="W91" s="251"/>
      <c r="X91" s="251"/>
      <c r="Y91" s="251"/>
      <c r="Z91" s="251"/>
      <c r="AA91" s="252"/>
      <c r="AB91" s="251"/>
      <c r="AC91" s="251"/>
      <c r="AD91" s="251"/>
      <c r="AE91" s="251"/>
      <c r="AF91" s="252">
        <f>-$BY$5-SUM($L$91:AE91)</f>
        <v>-16365002</v>
      </c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2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60"/>
      <c r="BY91" s="292">
        <f t="shared" ref="BY91:BY97" si="32">SUM(E91:BX91)</f>
        <v>-16365002</v>
      </c>
      <c r="BZ91" s="562">
        <f>SUM(BY91:BY97)</f>
        <v>-117218683.33000001</v>
      </c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</row>
    <row r="92" spans="1:138" outlineLevel="1">
      <c r="A92" s="249" t="s">
        <v>281</v>
      </c>
      <c r="B92" s="600"/>
      <c r="C92" s="249" t="s">
        <v>282</v>
      </c>
      <c r="D92" s="250" t="s">
        <v>223</v>
      </c>
      <c r="E92" s="251"/>
      <c r="F92" s="251"/>
      <c r="G92" s="251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1"/>
      <c r="V92" s="251"/>
      <c r="W92" s="251"/>
      <c r="X92" s="251"/>
      <c r="Y92" s="251"/>
      <c r="Z92" s="251"/>
      <c r="AA92" s="252"/>
      <c r="AB92" s="251"/>
      <c r="AC92" s="251"/>
      <c r="AD92" s="251"/>
      <c r="AE92" s="251"/>
      <c r="AF92" s="252">
        <f>-$BY$6-SUM($E$92:AE92)</f>
        <v>-24825000</v>
      </c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60"/>
      <c r="BY92" s="287">
        <f t="shared" si="32"/>
        <v>-24825000</v>
      </c>
      <c r="BZ92" s="597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</row>
    <row r="93" spans="1:138" outlineLevel="1">
      <c r="A93" s="249" t="s">
        <v>283</v>
      </c>
      <c r="B93" s="600"/>
      <c r="C93" s="289" t="s">
        <v>281</v>
      </c>
      <c r="D93" s="250" t="s">
        <v>223</v>
      </c>
      <c r="E93" s="251"/>
      <c r="F93" s="251"/>
      <c r="G93" s="251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1"/>
      <c r="V93" s="251"/>
      <c r="W93" s="251"/>
      <c r="X93" s="251"/>
      <c r="Y93" s="251"/>
      <c r="Z93" s="251"/>
      <c r="AA93" s="252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60"/>
      <c r="BY93" s="287">
        <f t="shared" si="32"/>
        <v>0</v>
      </c>
      <c r="BZ93" s="597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</row>
    <row r="94" spans="1:138" outlineLevel="1">
      <c r="A94" s="505"/>
      <c r="B94" s="600"/>
      <c r="C94" s="288" t="s">
        <v>283</v>
      </c>
      <c r="D94" s="250" t="s">
        <v>223</v>
      </c>
      <c r="E94" s="251"/>
      <c r="F94" s="251"/>
      <c r="G94" s="251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60"/>
      <c r="BY94" s="287">
        <f t="shared" si="32"/>
        <v>0</v>
      </c>
      <c r="BZ94" s="597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</row>
    <row r="95" spans="1:138" outlineLevel="1">
      <c r="A95" s="505"/>
      <c r="B95" s="600"/>
      <c r="C95" s="249" t="s">
        <v>284</v>
      </c>
      <c r="D95" s="250" t="s">
        <v>223</v>
      </c>
      <c r="E95" s="251"/>
      <c r="F95" s="251"/>
      <c r="G95" s="251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2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60"/>
      <c r="BY95" s="287">
        <f t="shared" si="32"/>
        <v>0</v>
      </c>
      <c r="BZ95" s="597"/>
      <c r="CA95" s="222"/>
      <c r="CB95" s="222"/>
      <c r="CC95" s="222"/>
      <c r="CD95" s="222"/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222"/>
      <c r="DU95" s="222"/>
      <c r="DV95" s="222"/>
      <c r="DW95" s="222"/>
      <c r="DX95" s="222"/>
      <c r="DY95" s="222"/>
      <c r="DZ95" s="222"/>
      <c r="EA95" s="222"/>
      <c r="EB95" s="222"/>
      <c r="EC95" s="222"/>
      <c r="ED95" s="222"/>
      <c r="EE95" s="222"/>
      <c r="EF95" s="222"/>
      <c r="EG95" s="222"/>
      <c r="EH95" s="222"/>
    </row>
    <row r="96" spans="1:138" outlineLevel="1">
      <c r="A96" s="505"/>
      <c r="B96" s="600"/>
      <c r="C96" s="249" t="s">
        <v>285</v>
      </c>
      <c r="D96" s="250" t="s">
        <v>223</v>
      </c>
      <c r="E96" s="251"/>
      <c r="F96" s="251"/>
      <c r="G96" s="251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1"/>
      <c r="V96" s="251"/>
      <c r="W96" s="251"/>
      <c r="X96" s="251"/>
      <c r="Y96" s="251"/>
      <c r="Z96" s="251">
        <f t="shared" ref="Z96:AE96" si="33">(PMT($D$61/12,25*12,$BY10)-Z61)</f>
        <v>-35864.589190429833</v>
      </c>
      <c r="AA96" s="251">
        <f t="shared" si="33"/>
        <v>-35864.589190429833</v>
      </c>
      <c r="AB96" s="251">
        <f t="shared" si="33"/>
        <v>-35864.589190429833</v>
      </c>
      <c r="AC96" s="251">
        <f t="shared" si="33"/>
        <v>-35864.589190429833</v>
      </c>
      <c r="AD96" s="251">
        <f t="shared" si="33"/>
        <v>-35864.589190429833</v>
      </c>
      <c r="AE96" s="251">
        <f t="shared" si="33"/>
        <v>-35864.589190429833</v>
      </c>
      <c r="AF96" s="251">
        <f>-$BY$10-$BY$9-SUM($E$96:AE96)</f>
        <v>-24491062.464857422</v>
      </c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2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60"/>
      <c r="BY96" s="294">
        <f t="shared" si="32"/>
        <v>-24706250</v>
      </c>
      <c r="BZ96" s="597"/>
      <c r="CA96" s="222"/>
      <c r="CB96" s="222"/>
      <c r="CC96" s="222"/>
      <c r="CD96" s="222"/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2"/>
      <c r="CQ96" s="222"/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2"/>
      <c r="DI96" s="222"/>
      <c r="DJ96" s="222"/>
      <c r="DK96" s="222"/>
      <c r="DL96" s="222"/>
      <c r="DM96" s="222"/>
      <c r="DN96" s="222"/>
      <c r="DO96" s="222"/>
      <c r="DP96" s="222"/>
      <c r="DQ96" s="222"/>
      <c r="DR96" s="222"/>
      <c r="DS96" s="222"/>
      <c r="DT96" s="222"/>
      <c r="DU96" s="222"/>
      <c r="DV96" s="222"/>
      <c r="DW96" s="222"/>
      <c r="DX96" s="222"/>
      <c r="DY96" s="222"/>
      <c r="DZ96" s="222"/>
      <c r="EA96" s="222"/>
      <c r="EB96" s="222"/>
      <c r="EC96" s="222"/>
      <c r="ED96" s="222"/>
      <c r="EE96" s="222"/>
      <c r="EF96" s="222"/>
      <c r="EG96" s="222"/>
      <c r="EH96" s="222"/>
    </row>
    <row r="97" spans="1:138" outlineLevel="1">
      <c r="A97" s="505"/>
      <c r="B97" s="601"/>
      <c r="C97" s="280" t="s">
        <v>286</v>
      </c>
      <c r="D97" s="295" t="s">
        <v>223</v>
      </c>
      <c r="E97" s="282"/>
      <c r="F97" s="282"/>
      <c r="G97" s="282"/>
      <c r="H97" s="283"/>
      <c r="I97" s="283"/>
      <c r="J97" s="283"/>
      <c r="K97" s="283"/>
      <c r="L97" s="283"/>
      <c r="M97" s="283"/>
      <c r="N97" s="283"/>
      <c r="O97" s="283"/>
      <c r="P97" s="283"/>
      <c r="Q97" s="283">
        <f>-7000000</f>
        <v>-7000000</v>
      </c>
      <c r="R97" s="283"/>
      <c r="S97" s="283"/>
      <c r="T97" s="283">
        <f t="shared" ref="T97:AE97" si="34">-2500*26</f>
        <v>-65000</v>
      </c>
      <c r="U97" s="283">
        <f t="shared" si="34"/>
        <v>-65000</v>
      </c>
      <c r="V97" s="283">
        <f t="shared" si="34"/>
        <v>-65000</v>
      </c>
      <c r="W97" s="283">
        <f t="shared" si="34"/>
        <v>-65000</v>
      </c>
      <c r="X97" s="283">
        <f t="shared" si="34"/>
        <v>-65000</v>
      </c>
      <c r="Y97" s="283">
        <f t="shared" si="34"/>
        <v>-65000</v>
      </c>
      <c r="Z97" s="283">
        <f t="shared" si="34"/>
        <v>-65000</v>
      </c>
      <c r="AA97" s="283">
        <f t="shared" si="34"/>
        <v>-65000</v>
      </c>
      <c r="AB97" s="283">
        <f t="shared" si="34"/>
        <v>-65000</v>
      </c>
      <c r="AC97" s="283">
        <f t="shared" si="34"/>
        <v>-65000</v>
      </c>
      <c r="AD97" s="283">
        <f t="shared" si="34"/>
        <v>-65000</v>
      </c>
      <c r="AE97" s="283">
        <f t="shared" si="34"/>
        <v>-65000</v>
      </c>
      <c r="AF97" s="283">
        <f>-$BY$11-SUM($P$97:AE97)</f>
        <v>-43542431.330000006</v>
      </c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  <c r="BW97" s="282"/>
      <c r="BX97" s="284"/>
      <c r="BY97" s="264">
        <f t="shared" si="32"/>
        <v>-51322431.330000006</v>
      </c>
      <c r="BZ97" s="602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2"/>
      <c r="DI97" s="222"/>
      <c r="DJ97" s="222"/>
      <c r="DK97" s="222"/>
      <c r="DL97" s="222"/>
      <c r="DM97" s="222"/>
      <c r="DN97" s="222"/>
      <c r="DO97" s="222"/>
      <c r="DP97" s="222"/>
      <c r="DQ97" s="222"/>
      <c r="DR97" s="222"/>
      <c r="DS97" s="222"/>
      <c r="DT97" s="222"/>
      <c r="DU97" s="222"/>
      <c r="DV97" s="222"/>
      <c r="DW97" s="222"/>
      <c r="DX97" s="222"/>
      <c r="DY97" s="222"/>
      <c r="DZ97" s="222"/>
      <c r="EA97" s="222"/>
      <c r="EB97" s="222"/>
      <c r="EC97" s="222"/>
      <c r="ED97" s="222"/>
      <c r="EE97" s="222"/>
      <c r="EF97" s="222"/>
      <c r="EG97" s="222"/>
      <c r="EH97" s="222"/>
    </row>
    <row r="98" spans="1:138" ht="15.95">
      <c r="A98" s="505"/>
      <c r="B98" s="571" t="s">
        <v>287</v>
      </c>
      <c r="C98" s="592"/>
      <c r="D98" s="296" t="s">
        <v>223</v>
      </c>
      <c r="E98" s="297">
        <f t="shared" ref="E98:BX98" si="35">(E17+E23+E26+E34+E37+E49+E55+E63+E87+E90)</f>
        <v>0</v>
      </c>
      <c r="F98" s="297">
        <f t="shared" si="35"/>
        <v>0</v>
      </c>
      <c r="G98" s="297">
        <f t="shared" si="35"/>
        <v>0</v>
      </c>
      <c r="H98" s="297">
        <f t="shared" si="35"/>
        <v>-10737799.354999999</v>
      </c>
      <c r="I98" s="297">
        <f t="shared" si="35"/>
        <v>-1867696.1950000001</v>
      </c>
      <c r="J98" s="297">
        <f t="shared" si="35"/>
        <v>-1817623.665</v>
      </c>
      <c r="K98" s="297">
        <f t="shared" si="35"/>
        <v>-902873.87700000009</v>
      </c>
      <c r="L98" s="297">
        <f t="shared" si="35"/>
        <v>-5038194.0799999991</v>
      </c>
      <c r="M98" s="297">
        <f t="shared" si="35"/>
        <v>-10761502.959999999</v>
      </c>
      <c r="N98" s="297">
        <f t="shared" si="35"/>
        <v>-20069846.199999999</v>
      </c>
      <c r="O98" s="297">
        <f t="shared" si="35"/>
        <v>-9758870.4799999986</v>
      </c>
      <c r="P98" s="297">
        <f t="shared" si="35"/>
        <v>-12889323.373000002</v>
      </c>
      <c r="Q98" s="297">
        <f t="shared" si="35"/>
        <v>-10518924.400999999</v>
      </c>
      <c r="R98" s="297">
        <f t="shared" si="35"/>
        <v>-2907933.0490000001</v>
      </c>
      <c r="S98" s="297">
        <f t="shared" si="35"/>
        <v>-1090232.4447999999</v>
      </c>
      <c r="T98" s="297">
        <f t="shared" si="35"/>
        <v>-1256596.6206666667</v>
      </c>
      <c r="U98" s="297">
        <f t="shared" si="35"/>
        <v>-7695495.0956666665</v>
      </c>
      <c r="V98" s="297">
        <f t="shared" si="35"/>
        <v>-6756595.0956666665</v>
      </c>
      <c r="W98" s="297">
        <f t="shared" si="35"/>
        <v>-6851335.0956666665</v>
      </c>
      <c r="X98" s="297">
        <f t="shared" si="35"/>
        <v>-6815885.0956666665</v>
      </c>
      <c r="Y98" s="297">
        <f t="shared" si="35"/>
        <v>-6955655.0956666665</v>
      </c>
      <c r="Z98" s="297">
        <f t="shared" si="35"/>
        <v>-1033893.9639904299</v>
      </c>
      <c r="AA98" s="297">
        <f t="shared" si="35"/>
        <v>-574180.56319042982</v>
      </c>
      <c r="AB98" s="297">
        <f t="shared" si="35"/>
        <v>-524180.56319042982</v>
      </c>
      <c r="AC98" s="297">
        <f t="shared" si="35"/>
        <v>-524180.56319042982</v>
      </c>
      <c r="AD98" s="297">
        <f t="shared" si="35"/>
        <v>-524180.56319042982</v>
      </c>
      <c r="AE98" s="297">
        <f t="shared" si="35"/>
        <v>-524180.56319042982</v>
      </c>
      <c r="AF98" s="297">
        <f t="shared" si="35"/>
        <v>-115599556.22250675</v>
      </c>
      <c r="AG98" s="297">
        <f t="shared" si="35"/>
        <v>0</v>
      </c>
      <c r="AH98" s="297">
        <f t="shared" si="35"/>
        <v>0</v>
      </c>
      <c r="AI98" s="297">
        <f t="shared" si="35"/>
        <v>0</v>
      </c>
      <c r="AJ98" s="297">
        <f t="shared" si="35"/>
        <v>0</v>
      </c>
      <c r="AK98" s="297">
        <f t="shared" si="35"/>
        <v>0</v>
      </c>
      <c r="AL98" s="297">
        <f t="shared" si="35"/>
        <v>0</v>
      </c>
      <c r="AM98" s="297">
        <f t="shared" si="35"/>
        <v>0</v>
      </c>
      <c r="AN98" s="297">
        <f t="shared" si="35"/>
        <v>0</v>
      </c>
      <c r="AO98" s="297">
        <f t="shared" si="35"/>
        <v>0</v>
      </c>
      <c r="AP98" s="297">
        <f t="shared" si="35"/>
        <v>0</v>
      </c>
      <c r="AQ98" s="297">
        <f t="shared" si="35"/>
        <v>0</v>
      </c>
      <c r="AR98" s="297">
        <f t="shared" si="35"/>
        <v>0</v>
      </c>
      <c r="AS98" s="297">
        <f t="shared" si="35"/>
        <v>0</v>
      </c>
      <c r="AT98" s="297">
        <f t="shared" si="35"/>
        <v>0</v>
      </c>
      <c r="AU98" s="297">
        <f t="shared" si="35"/>
        <v>0</v>
      </c>
      <c r="AV98" s="297">
        <f t="shared" si="35"/>
        <v>0</v>
      </c>
      <c r="AW98" s="297">
        <f t="shared" si="35"/>
        <v>0</v>
      </c>
      <c r="AX98" s="297">
        <f t="shared" si="35"/>
        <v>0</v>
      </c>
      <c r="AY98" s="297">
        <f t="shared" si="35"/>
        <v>0</v>
      </c>
      <c r="AZ98" s="297">
        <f t="shared" si="35"/>
        <v>0</v>
      </c>
      <c r="BA98" s="297">
        <f t="shared" si="35"/>
        <v>0</v>
      </c>
      <c r="BB98" s="297">
        <f t="shared" si="35"/>
        <v>0</v>
      </c>
      <c r="BC98" s="297">
        <f t="shared" si="35"/>
        <v>0</v>
      </c>
      <c r="BD98" s="297">
        <f t="shared" si="35"/>
        <v>0</v>
      </c>
      <c r="BE98" s="297">
        <f t="shared" si="35"/>
        <v>0</v>
      </c>
      <c r="BF98" s="297">
        <f t="shared" si="35"/>
        <v>0</v>
      </c>
      <c r="BG98" s="297">
        <f t="shared" si="35"/>
        <v>0</v>
      </c>
      <c r="BH98" s="297">
        <f t="shared" si="35"/>
        <v>0</v>
      </c>
      <c r="BI98" s="297">
        <f t="shared" si="35"/>
        <v>0</v>
      </c>
      <c r="BJ98" s="297">
        <f t="shared" si="35"/>
        <v>0</v>
      </c>
      <c r="BK98" s="297">
        <f t="shared" si="35"/>
        <v>0</v>
      </c>
      <c r="BL98" s="297">
        <f t="shared" si="35"/>
        <v>0</v>
      </c>
      <c r="BM98" s="297">
        <f t="shared" si="35"/>
        <v>0</v>
      </c>
      <c r="BN98" s="297">
        <f t="shared" si="35"/>
        <v>0</v>
      </c>
      <c r="BO98" s="297">
        <f t="shared" si="35"/>
        <v>0</v>
      </c>
      <c r="BP98" s="297">
        <f t="shared" si="35"/>
        <v>0</v>
      </c>
      <c r="BQ98" s="297">
        <f t="shared" si="35"/>
        <v>0</v>
      </c>
      <c r="BR98" s="297">
        <f t="shared" si="35"/>
        <v>0</v>
      </c>
      <c r="BS98" s="297">
        <f t="shared" si="35"/>
        <v>0</v>
      </c>
      <c r="BT98" s="297">
        <f t="shared" si="35"/>
        <v>0</v>
      </c>
      <c r="BU98" s="297">
        <f t="shared" si="35"/>
        <v>0</v>
      </c>
      <c r="BV98" s="297">
        <f t="shared" si="35"/>
        <v>0</v>
      </c>
      <c r="BW98" s="297">
        <f t="shared" si="35"/>
        <v>0</v>
      </c>
      <c r="BX98" s="297">
        <f t="shared" si="35"/>
        <v>0</v>
      </c>
      <c r="BY98" s="565">
        <f>BZ91</f>
        <v>-117218683.33000001</v>
      </c>
      <c r="BZ98" s="601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</row>
    <row r="99" spans="1:138" ht="15.95">
      <c r="A99" s="505"/>
      <c r="B99" s="507"/>
      <c r="C99" s="507"/>
      <c r="D99" s="298"/>
      <c r="E99" s="299"/>
      <c r="F99" s="299"/>
      <c r="G99" s="299"/>
      <c r="H99" s="299">
        <f>H98</f>
        <v>-10737799.354999999</v>
      </c>
      <c r="I99" s="299">
        <f t="shared" ref="I99:R99" si="36">H99+I98</f>
        <v>-12605495.549999999</v>
      </c>
      <c r="J99" s="299">
        <f t="shared" si="36"/>
        <v>-14423119.215</v>
      </c>
      <c r="K99" s="299">
        <f t="shared" si="36"/>
        <v>-15325993.092</v>
      </c>
      <c r="L99" s="299">
        <f t="shared" si="36"/>
        <v>-20364187.171999998</v>
      </c>
      <c r="M99" s="299">
        <f t="shared" si="36"/>
        <v>-31125690.131999999</v>
      </c>
      <c r="N99" s="299">
        <f t="shared" si="36"/>
        <v>-51195536.332000002</v>
      </c>
      <c r="O99" s="299">
        <f t="shared" si="36"/>
        <v>-60954406.811999999</v>
      </c>
      <c r="P99" s="299">
        <f t="shared" si="36"/>
        <v>-73843730.185000002</v>
      </c>
      <c r="Q99" s="299">
        <f t="shared" si="36"/>
        <v>-84362654.585999995</v>
      </c>
      <c r="R99" s="299">
        <f t="shared" si="36"/>
        <v>-87270587.63499999</v>
      </c>
      <c r="S99" s="300"/>
      <c r="T99" s="300"/>
      <c r="U99" s="299"/>
      <c r="V99" s="299"/>
      <c r="W99" s="299"/>
      <c r="X99" s="300"/>
      <c r="Y99" s="300"/>
      <c r="Z99" s="300"/>
      <c r="AA99" s="300"/>
      <c r="AB99" s="300"/>
      <c r="AC99" s="299"/>
      <c r="AD99" s="300"/>
      <c r="AE99" s="300"/>
      <c r="AF99" s="300"/>
      <c r="AG99" s="300"/>
      <c r="AH99" s="300"/>
      <c r="AI99" s="300"/>
      <c r="AJ99" s="300"/>
      <c r="AK99" s="300"/>
      <c r="AL99" s="300"/>
      <c r="AM99" s="300"/>
      <c r="AN99" s="300"/>
      <c r="AO99" s="299"/>
      <c r="AP99" s="300"/>
      <c r="AQ99" s="300"/>
      <c r="AR99" s="300"/>
      <c r="AS99" s="299"/>
      <c r="AT99" s="299"/>
      <c r="AU99" s="299"/>
      <c r="AV99" s="299"/>
      <c r="AW99" s="299"/>
      <c r="AX99" s="299"/>
      <c r="AY99" s="299"/>
      <c r="AZ99" s="299"/>
      <c r="BA99" s="299"/>
      <c r="BB99" s="299"/>
      <c r="BC99" s="299"/>
      <c r="BD99" s="299"/>
      <c r="BE99" s="299"/>
      <c r="BF99" s="299"/>
      <c r="BG99" s="299"/>
      <c r="BH99" s="299"/>
      <c r="BI99" s="299"/>
      <c r="BJ99" s="299"/>
      <c r="BK99" s="299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301"/>
      <c r="BW99" s="301"/>
      <c r="BX99" s="301"/>
      <c r="BY99" s="302"/>
      <c r="BZ99" s="302"/>
      <c r="CA99" s="222"/>
      <c r="CB99" s="222"/>
      <c r="CC99" s="222"/>
      <c r="CD99" s="222"/>
      <c r="CE99" s="238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2"/>
      <c r="DI99" s="222"/>
      <c r="DJ99" s="222"/>
      <c r="DK99" s="222"/>
      <c r="DL99" s="222"/>
      <c r="DM99" s="222"/>
      <c r="DN99" s="222"/>
      <c r="DO99" s="222"/>
      <c r="DP99" s="222"/>
      <c r="DQ99" s="222"/>
      <c r="DR99" s="222"/>
      <c r="DS99" s="222"/>
      <c r="DT99" s="222"/>
      <c r="DU99" s="222"/>
      <c r="DV99" s="222"/>
      <c r="DW99" s="222"/>
      <c r="DX99" s="222"/>
      <c r="DY99" s="222"/>
      <c r="DZ99" s="222"/>
      <c r="EA99" s="222"/>
      <c r="EB99" s="222"/>
      <c r="EC99" s="222"/>
      <c r="ED99" s="222"/>
      <c r="EE99" s="222"/>
      <c r="EF99" s="222"/>
      <c r="EG99" s="222"/>
      <c r="EH99" s="222"/>
    </row>
    <row r="100" spans="1:138" ht="15.95">
      <c r="A100" s="505"/>
      <c r="B100" s="572" t="s">
        <v>288</v>
      </c>
      <c r="C100" s="592"/>
      <c r="D100" s="303"/>
      <c r="E100" s="299">
        <f t="shared" ref="E100:BX100" si="37">E16+E98</f>
        <v>0</v>
      </c>
      <c r="F100" s="299">
        <f t="shared" si="37"/>
        <v>0</v>
      </c>
      <c r="G100" s="299">
        <f t="shared" si="37"/>
        <v>0</v>
      </c>
      <c r="H100" s="299">
        <f t="shared" si="37"/>
        <v>5627202.6450000014</v>
      </c>
      <c r="I100" s="299">
        <f t="shared" si="37"/>
        <v>-1861469.1950000001</v>
      </c>
      <c r="J100" s="299">
        <f t="shared" si="37"/>
        <v>-1803035.665</v>
      </c>
      <c r="K100" s="299">
        <f t="shared" si="37"/>
        <v>439594.12299999991</v>
      </c>
      <c r="L100" s="299">
        <f t="shared" si="37"/>
        <v>-3040677.0799999991</v>
      </c>
      <c r="M100" s="300">
        <f t="shared" si="37"/>
        <v>57291.090000001714</v>
      </c>
      <c r="N100" s="299">
        <f t="shared" si="37"/>
        <v>-75913.25</v>
      </c>
      <c r="O100" s="300">
        <f t="shared" si="37"/>
        <v>32310.750000001863</v>
      </c>
      <c r="P100" s="300">
        <f t="shared" si="37"/>
        <v>72433.306999998167</v>
      </c>
      <c r="Q100" s="300">
        <f t="shared" si="37"/>
        <v>1568038.199000001</v>
      </c>
      <c r="R100" s="300">
        <f t="shared" si="37"/>
        <v>-1335494.8836280992</v>
      </c>
      <c r="S100" s="300">
        <f t="shared" si="37"/>
        <v>3108575.0673900824</v>
      </c>
      <c r="T100" s="300">
        <f t="shared" si="37"/>
        <v>6854991.9593911851</v>
      </c>
      <c r="U100" s="299">
        <f t="shared" si="37"/>
        <v>-35463.93899889756</v>
      </c>
      <c r="V100" s="299">
        <f t="shared" si="37"/>
        <v>-1061743.7101294762</v>
      </c>
      <c r="W100" s="299">
        <f t="shared" si="37"/>
        <v>-232208.9334765831</v>
      </c>
      <c r="X100" s="300">
        <f t="shared" si="37"/>
        <v>-66868.933476583101</v>
      </c>
      <c r="Y100" s="300">
        <f t="shared" si="37"/>
        <v>35571.066523416899</v>
      </c>
      <c r="Z100" s="300">
        <f t="shared" si="37"/>
        <v>-473567.8018003474</v>
      </c>
      <c r="AA100" s="300">
        <f t="shared" si="37"/>
        <v>507522.50146631955</v>
      </c>
      <c r="AB100" s="300">
        <f t="shared" si="37"/>
        <v>524405.19561342697</v>
      </c>
      <c r="AC100" s="299">
        <f t="shared" si="37"/>
        <v>437678.07646631962</v>
      </c>
      <c r="AD100" s="300">
        <f t="shared" si="37"/>
        <v>435942.5392762369</v>
      </c>
      <c r="AE100" s="300">
        <f t="shared" si="37"/>
        <v>435942.5392762369</v>
      </c>
      <c r="AF100" s="300">
        <f t="shared" si="37"/>
        <v>24256068.011505857</v>
      </c>
      <c r="AG100" s="300">
        <f t="shared" si="37"/>
        <v>0</v>
      </c>
      <c r="AH100" s="300">
        <f t="shared" si="37"/>
        <v>0</v>
      </c>
      <c r="AI100" s="300">
        <f t="shared" si="37"/>
        <v>0</v>
      </c>
      <c r="AJ100" s="300">
        <f t="shared" si="37"/>
        <v>0</v>
      </c>
      <c r="AK100" s="300">
        <f t="shared" si="37"/>
        <v>0</v>
      </c>
      <c r="AL100" s="300">
        <f t="shared" si="37"/>
        <v>0</v>
      </c>
      <c r="AM100" s="300">
        <f t="shared" si="37"/>
        <v>0</v>
      </c>
      <c r="AN100" s="300">
        <f t="shared" si="37"/>
        <v>0</v>
      </c>
      <c r="AO100" s="299">
        <f t="shared" si="37"/>
        <v>0</v>
      </c>
      <c r="AP100" s="300">
        <f t="shared" si="37"/>
        <v>0</v>
      </c>
      <c r="AQ100" s="300">
        <f t="shared" si="37"/>
        <v>0</v>
      </c>
      <c r="AR100" s="300">
        <f t="shared" si="37"/>
        <v>0</v>
      </c>
      <c r="AS100" s="299">
        <f t="shared" si="37"/>
        <v>0</v>
      </c>
      <c r="AT100" s="299">
        <f t="shared" si="37"/>
        <v>0</v>
      </c>
      <c r="AU100" s="299">
        <f t="shared" si="37"/>
        <v>0</v>
      </c>
      <c r="AV100" s="299">
        <f t="shared" si="37"/>
        <v>0</v>
      </c>
      <c r="AW100" s="299">
        <f t="shared" si="37"/>
        <v>0</v>
      </c>
      <c r="AX100" s="299">
        <f t="shared" si="37"/>
        <v>0</v>
      </c>
      <c r="AY100" s="299">
        <f t="shared" si="37"/>
        <v>0</v>
      </c>
      <c r="AZ100" s="299">
        <f t="shared" si="37"/>
        <v>0</v>
      </c>
      <c r="BA100" s="299">
        <f t="shared" si="37"/>
        <v>0</v>
      </c>
      <c r="BB100" s="299">
        <f t="shared" si="37"/>
        <v>0</v>
      </c>
      <c r="BC100" s="299">
        <f t="shared" si="37"/>
        <v>0</v>
      </c>
      <c r="BD100" s="299">
        <f t="shared" si="37"/>
        <v>0</v>
      </c>
      <c r="BE100" s="299">
        <f t="shared" si="37"/>
        <v>0</v>
      </c>
      <c r="BF100" s="299">
        <f t="shared" si="37"/>
        <v>0</v>
      </c>
      <c r="BG100" s="299">
        <f t="shared" si="37"/>
        <v>0</v>
      </c>
      <c r="BH100" s="299">
        <f t="shared" si="37"/>
        <v>0</v>
      </c>
      <c r="BI100" s="299">
        <f t="shared" si="37"/>
        <v>0</v>
      </c>
      <c r="BJ100" s="299">
        <f t="shared" si="37"/>
        <v>0</v>
      </c>
      <c r="BK100" s="299">
        <f t="shared" si="37"/>
        <v>0</v>
      </c>
      <c r="BL100" s="304">
        <f t="shared" si="37"/>
        <v>0</v>
      </c>
      <c r="BM100" s="304">
        <f t="shared" si="37"/>
        <v>0</v>
      </c>
      <c r="BN100" s="304">
        <f t="shared" si="37"/>
        <v>0</v>
      </c>
      <c r="BO100" s="304">
        <f t="shared" si="37"/>
        <v>0</v>
      </c>
      <c r="BP100" s="304">
        <f t="shared" si="37"/>
        <v>0</v>
      </c>
      <c r="BQ100" s="304">
        <f t="shared" si="37"/>
        <v>0</v>
      </c>
      <c r="BR100" s="304">
        <f t="shared" si="37"/>
        <v>0</v>
      </c>
      <c r="BS100" s="304">
        <f t="shared" si="37"/>
        <v>0</v>
      </c>
      <c r="BT100" s="304">
        <f t="shared" si="37"/>
        <v>0</v>
      </c>
      <c r="BU100" s="304">
        <f t="shared" si="37"/>
        <v>0</v>
      </c>
      <c r="BV100" s="304">
        <f t="shared" si="37"/>
        <v>0</v>
      </c>
      <c r="BW100" s="304">
        <f t="shared" si="37"/>
        <v>0</v>
      </c>
      <c r="BX100" s="304">
        <f t="shared" si="37"/>
        <v>0</v>
      </c>
      <c r="BY100" s="566">
        <f>BY16+BY90+BY98</f>
        <v>33892604.679399073</v>
      </c>
      <c r="BZ100" s="603"/>
      <c r="CA100" s="222"/>
      <c r="CB100" s="222"/>
      <c r="CC100" s="222"/>
      <c r="CD100" s="222"/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2"/>
      <c r="CQ100" s="222"/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E100" s="222"/>
      <c r="EF100" s="222"/>
      <c r="EG100" s="222"/>
      <c r="EH100" s="222"/>
    </row>
    <row r="101" spans="1:138">
      <c r="A101" s="505"/>
      <c r="B101" s="573" t="s">
        <v>289</v>
      </c>
      <c r="C101" s="592"/>
      <c r="D101" s="305"/>
      <c r="E101" s="306">
        <f>E100</f>
        <v>0</v>
      </c>
      <c r="F101" s="306">
        <f>F100+E101</f>
        <v>0</v>
      </c>
      <c r="G101" s="306">
        <f>655760.63+24.98*24.5-16.85*22</f>
        <v>656001.94000000006</v>
      </c>
      <c r="H101" s="306">
        <f>H100+G101-66</f>
        <v>6283138.5850000018</v>
      </c>
      <c r="I101" s="306">
        <f t="shared" ref="I101:BX101" si="38">I100+H101</f>
        <v>4421669.3900000015</v>
      </c>
      <c r="J101" s="306">
        <f t="shared" si="38"/>
        <v>2618633.7250000015</v>
      </c>
      <c r="K101" s="306">
        <f t="shared" si="38"/>
        <v>3058227.8480000012</v>
      </c>
      <c r="L101" s="306">
        <f t="shared" si="38"/>
        <v>17550.768000002019</v>
      </c>
      <c r="M101" s="306">
        <f t="shared" si="38"/>
        <v>74841.858000003733</v>
      </c>
      <c r="N101" s="306">
        <f t="shared" si="38"/>
        <v>-1071.3919999962673</v>
      </c>
      <c r="O101" s="306">
        <f t="shared" si="38"/>
        <v>31239.358000005595</v>
      </c>
      <c r="P101" s="306">
        <f t="shared" si="38"/>
        <v>103672.66500000376</v>
      </c>
      <c r="Q101" s="306">
        <f t="shared" si="38"/>
        <v>1671710.8640000047</v>
      </c>
      <c r="R101" s="306">
        <f t="shared" si="38"/>
        <v>336215.98037190549</v>
      </c>
      <c r="S101" s="306">
        <f t="shared" si="38"/>
        <v>3444791.0477619879</v>
      </c>
      <c r="T101" s="306">
        <f t="shared" si="38"/>
        <v>10299783.007153172</v>
      </c>
      <c r="U101" s="306">
        <f t="shared" si="38"/>
        <v>10264319.068154275</v>
      </c>
      <c r="V101" s="306">
        <f t="shared" si="38"/>
        <v>9202575.3580247983</v>
      </c>
      <c r="W101" s="306">
        <f t="shared" si="38"/>
        <v>8970366.4245482162</v>
      </c>
      <c r="X101" s="306">
        <f t="shared" si="38"/>
        <v>8903497.491071634</v>
      </c>
      <c r="Y101" s="306">
        <f t="shared" si="38"/>
        <v>8939068.5575950518</v>
      </c>
      <c r="Z101" s="306">
        <f t="shared" si="38"/>
        <v>8465500.755794704</v>
      </c>
      <c r="AA101" s="306">
        <f t="shared" si="38"/>
        <v>8973023.2572610229</v>
      </c>
      <c r="AB101" s="306">
        <f t="shared" si="38"/>
        <v>9497428.45287445</v>
      </c>
      <c r="AC101" s="306">
        <f t="shared" si="38"/>
        <v>9935106.5293407701</v>
      </c>
      <c r="AD101" s="306">
        <f t="shared" si="38"/>
        <v>10371049.068617007</v>
      </c>
      <c r="AE101" s="306">
        <f t="shared" si="38"/>
        <v>10806991.607893243</v>
      </c>
      <c r="AF101" s="306">
        <f t="shared" si="38"/>
        <v>35063059.619399101</v>
      </c>
      <c r="AG101" s="306">
        <f t="shared" si="38"/>
        <v>35063059.619399101</v>
      </c>
      <c r="AH101" s="306">
        <f t="shared" si="38"/>
        <v>35063059.619399101</v>
      </c>
      <c r="AI101" s="306">
        <f t="shared" si="38"/>
        <v>35063059.619399101</v>
      </c>
      <c r="AJ101" s="306">
        <f t="shared" si="38"/>
        <v>35063059.619399101</v>
      </c>
      <c r="AK101" s="306">
        <f t="shared" si="38"/>
        <v>35063059.619399101</v>
      </c>
      <c r="AL101" s="306">
        <f t="shared" si="38"/>
        <v>35063059.619399101</v>
      </c>
      <c r="AM101" s="306">
        <f t="shared" si="38"/>
        <v>35063059.619399101</v>
      </c>
      <c r="AN101" s="306">
        <f t="shared" si="38"/>
        <v>35063059.619399101</v>
      </c>
      <c r="AO101" s="306">
        <f t="shared" si="38"/>
        <v>35063059.619399101</v>
      </c>
      <c r="AP101" s="306">
        <f t="shared" si="38"/>
        <v>35063059.619399101</v>
      </c>
      <c r="AQ101" s="306">
        <f t="shared" si="38"/>
        <v>35063059.619399101</v>
      </c>
      <c r="AR101" s="306">
        <f t="shared" si="38"/>
        <v>35063059.619399101</v>
      </c>
      <c r="AS101" s="306">
        <f t="shared" si="38"/>
        <v>35063059.619399101</v>
      </c>
      <c r="AT101" s="306">
        <f t="shared" si="38"/>
        <v>35063059.619399101</v>
      </c>
      <c r="AU101" s="306">
        <f t="shared" si="38"/>
        <v>35063059.619399101</v>
      </c>
      <c r="AV101" s="306">
        <f t="shared" si="38"/>
        <v>35063059.619399101</v>
      </c>
      <c r="AW101" s="306">
        <f t="shared" si="38"/>
        <v>35063059.619399101</v>
      </c>
      <c r="AX101" s="306">
        <f t="shared" si="38"/>
        <v>35063059.619399101</v>
      </c>
      <c r="AY101" s="306">
        <f t="shared" si="38"/>
        <v>35063059.619399101</v>
      </c>
      <c r="AZ101" s="306">
        <f t="shared" si="38"/>
        <v>35063059.619399101</v>
      </c>
      <c r="BA101" s="306">
        <f t="shared" si="38"/>
        <v>35063059.619399101</v>
      </c>
      <c r="BB101" s="306">
        <f t="shared" si="38"/>
        <v>35063059.619399101</v>
      </c>
      <c r="BC101" s="306">
        <f t="shared" si="38"/>
        <v>35063059.619399101</v>
      </c>
      <c r="BD101" s="306">
        <f t="shared" si="38"/>
        <v>35063059.619399101</v>
      </c>
      <c r="BE101" s="306">
        <f t="shared" si="38"/>
        <v>35063059.619399101</v>
      </c>
      <c r="BF101" s="306">
        <f t="shared" si="38"/>
        <v>35063059.619399101</v>
      </c>
      <c r="BG101" s="306">
        <f t="shared" si="38"/>
        <v>35063059.619399101</v>
      </c>
      <c r="BH101" s="306">
        <f t="shared" si="38"/>
        <v>35063059.619399101</v>
      </c>
      <c r="BI101" s="306">
        <f t="shared" si="38"/>
        <v>35063059.619399101</v>
      </c>
      <c r="BJ101" s="306">
        <f t="shared" si="38"/>
        <v>35063059.619399101</v>
      </c>
      <c r="BK101" s="306">
        <f t="shared" si="38"/>
        <v>35063059.619399101</v>
      </c>
      <c r="BL101" s="306">
        <f t="shared" si="38"/>
        <v>35063059.619399101</v>
      </c>
      <c r="BM101" s="306">
        <f t="shared" si="38"/>
        <v>35063059.619399101</v>
      </c>
      <c r="BN101" s="306">
        <f t="shared" si="38"/>
        <v>35063059.619399101</v>
      </c>
      <c r="BO101" s="306">
        <f t="shared" si="38"/>
        <v>35063059.619399101</v>
      </c>
      <c r="BP101" s="306">
        <f t="shared" si="38"/>
        <v>35063059.619399101</v>
      </c>
      <c r="BQ101" s="306">
        <f t="shared" si="38"/>
        <v>35063059.619399101</v>
      </c>
      <c r="BR101" s="306">
        <f t="shared" si="38"/>
        <v>35063059.619399101</v>
      </c>
      <c r="BS101" s="306">
        <f t="shared" si="38"/>
        <v>35063059.619399101</v>
      </c>
      <c r="BT101" s="306">
        <f t="shared" si="38"/>
        <v>35063059.619399101</v>
      </c>
      <c r="BU101" s="306">
        <f t="shared" si="38"/>
        <v>35063059.619399101</v>
      </c>
      <c r="BV101" s="306">
        <f t="shared" si="38"/>
        <v>35063059.619399101</v>
      </c>
      <c r="BW101" s="306">
        <f t="shared" si="38"/>
        <v>35063059.619399101</v>
      </c>
      <c r="BX101" s="306">
        <f t="shared" si="38"/>
        <v>35063059.619399101</v>
      </c>
      <c r="BY101" s="222"/>
      <c r="BZ101" s="222"/>
      <c r="CA101" s="222"/>
      <c r="CB101" s="222"/>
      <c r="CC101" s="222"/>
      <c r="CD101" s="222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2"/>
      <c r="CV101" s="222"/>
      <c r="CW101" s="222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2"/>
      <c r="DI101" s="222"/>
      <c r="DJ101" s="222"/>
      <c r="DK101" s="222"/>
      <c r="DL101" s="222"/>
      <c r="DM101" s="222"/>
      <c r="DN101" s="222"/>
      <c r="DO101" s="222"/>
      <c r="DP101" s="222"/>
      <c r="DQ101" s="222"/>
      <c r="DR101" s="222"/>
      <c r="DS101" s="222"/>
      <c r="DT101" s="222"/>
      <c r="DU101" s="222"/>
      <c r="DV101" s="222"/>
      <c r="DW101" s="222"/>
      <c r="DX101" s="222"/>
      <c r="DY101" s="222"/>
      <c r="DZ101" s="222"/>
      <c r="EA101" s="222"/>
      <c r="EB101" s="222"/>
      <c r="EC101" s="222"/>
      <c r="ED101" s="222"/>
      <c r="EE101" s="222"/>
      <c r="EF101" s="222"/>
      <c r="EG101" s="222"/>
      <c r="EH101" s="222"/>
    </row>
    <row r="102" spans="1:138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307"/>
      <c r="BZ102" s="222"/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</row>
    <row r="103" spans="1:138" hidden="1">
      <c r="A103" s="222"/>
      <c r="B103" s="222"/>
      <c r="C103" s="222"/>
      <c r="D103" s="308" t="s">
        <v>290</v>
      </c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9"/>
      <c r="W103" s="309"/>
      <c r="X103" s="309"/>
      <c r="Y103" s="309"/>
      <c r="Z103" s="309"/>
      <c r="AA103" s="309"/>
      <c r="AB103" s="309"/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09"/>
      <c r="AN103" s="309"/>
      <c r="AO103" s="309"/>
      <c r="AP103" s="309"/>
      <c r="AQ103" s="309"/>
      <c r="AR103" s="309"/>
      <c r="AS103" s="309"/>
      <c r="AT103" s="309"/>
      <c r="AU103" s="309"/>
      <c r="AV103" s="309"/>
      <c r="AW103" s="309"/>
      <c r="AX103" s="309"/>
      <c r="AY103" s="309"/>
      <c r="AZ103" s="309"/>
      <c r="BA103" s="309"/>
      <c r="BB103" s="309"/>
      <c r="BC103" s="309"/>
      <c r="BD103" s="309"/>
      <c r="BE103" s="309"/>
      <c r="BF103" s="309"/>
      <c r="BG103" s="309"/>
      <c r="BH103" s="309"/>
      <c r="BI103" s="309"/>
      <c r="BJ103" s="309"/>
      <c r="BK103" s="309"/>
      <c r="BL103" s="309"/>
      <c r="BM103" s="309"/>
      <c r="BN103" s="309"/>
      <c r="BO103" s="309"/>
      <c r="BP103" s="309"/>
      <c r="BQ103" s="309"/>
      <c r="BR103" s="309"/>
      <c r="BS103" s="309"/>
      <c r="BT103" s="309"/>
      <c r="BU103" s="309"/>
      <c r="BV103" s="309"/>
      <c r="BW103" s="309"/>
      <c r="BX103" s="309"/>
      <c r="BY103" s="307"/>
      <c r="BZ103" s="222"/>
      <c r="CA103" s="222"/>
      <c r="CB103" s="222"/>
      <c r="CC103" s="222"/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2"/>
      <c r="CV103" s="222"/>
      <c r="CW103" s="222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2"/>
      <c r="DI103" s="222"/>
      <c r="DJ103" s="222"/>
      <c r="DK103" s="222"/>
      <c r="DL103" s="222"/>
      <c r="DM103" s="222"/>
      <c r="DN103" s="222"/>
      <c r="DO103" s="222"/>
      <c r="DP103" s="222"/>
      <c r="DQ103" s="222"/>
      <c r="DR103" s="222"/>
      <c r="DS103" s="222"/>
      <c r="DT103" s="222"/>
      <c r="DU103" s="222"/>
      <c r="DV103" s="222"/>
      <c r="DW103" s="222"/>
      <c r="DX103" s="222"/>
      <c r="DY103" s="222"/>
      <c r="DZ103" s="222"/>
      <c r="EA103" s="222"/>
      <c r="EB103" s="222"/>
      <c r="EC103" s="222"/>
      <c r="ED103" s="222"/>
      <c r="EE103" s="222"/>
      <c r="EF103" s="222"/>
      <c r="EG103" s="222"/>
      <c r="EH103" s="222"/>
    </row>
    <row r="104" spans="1:138" hidden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307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</row>
    <row r="105" spans="1:138" hidden="1">
      <c r="A105" s="222"/>
      <c r="B105" s="222"/>
      <c r="C105" s="310" t="s">
        <v>291</v>
      </c>
      <c r="D105" s="311"/>
      <c r="E105" s="312">
        <f>E113+E131+E163+E179</f>
        <v>0</v>
      </c>
      <c r="F105" s="312">
        <f t="shared" ref="F105:BW105" si="39">F113+F179</f>
        <v>0</v>
      </c>
      <c r="G105" s="312">
        <f t="shared" si="39"/>
        <v>0</v>
      </c>
      <c r="H105" s="312">
        <f t="shared" si="39"/>
        <v>-5341205.5</v>
      </c>
      <c r="I105" s="312">
        <f t="shared" si="39"/>
        <v>0</v>
      </c>
      <c r="J105" s="312">
        <f t="shared" si="39"/>
        <v>0</v>
      </c>
      <c r="K105" s="312">
        <f t="shared" si="39"/>
        <v>-885000</v>
      </c>
      <c r="L105" s="312">
        <f t="shared" si="39"/>
        <v>-1940000</v>
      </c>
      <c r="M105" s="312">
        <f t="shared" si="39"/>
        <v>-4260000</v>
      </c>
      <c r="N105" s="312">
        <f t="shared" si="39"/>
        <v>0</v>
      </c>
      <c r="O105" s="312">
        <f t="shared" si="39"/>
        <v>-320000</v>
      </c>
      <c r="P105" s="312">
        <f t="shared" si="39"/>
        <v>-320000</v>
      </c>
      <c r="Q105" s="312">
        <f t="shared" si="39"/>
        <v>0</v>
      </c>
      <c r="R105" s="312">
        <f t="shared" si="39"/>
        <v>-1500000</v>
      </c>
      <c r="S105" s="312">
        <f t="shared" si="39"/>
        <v>-2300000</v>
      </c>
      <c r="T105" s="312">
        <f t="shared" si="39"/>
        <v>-1958794.5</v>
      </c>
      <c r="U105" s="312">
        <f t="shared" si="39"/>
        <v>-5000000</v>
      </c>
      <c r="V105" s="312">
        <f t="shared" si="39"/>
        <v>-1000000</v>
      </c>
      <c r="W105" s="312">
        <f t="shared" si="39"/>
        <v>0</v>
      </c>
      <c r="X105" s="312">
        <f t="shared" si="39"/>
        <v>0</v>
      </c>
      <c r="Y105" s="312">
        <f t="shared" si="39"/>
        <v>0</v>
      </c>
      <c r="Z105" s="312">
        <f t="shared" si="39"/>
        <v>0</v>
      </c>
      <c r="AA105" s="312">
        <f t="shared" si="39"/>
        <v>0</v>
      </c>
      <c r="AB105" s="312">
        <f t="shared" si="39"/>
        <v>0</v>
      </c>
      <c r="AC105" s="312">
        <f t="shared" si="39"/>
        <v>0</v>
      </c>
      <c r="AD105" s="312">
        <f t="shared" si="39"/>
        <v>0</v>
      </c>
      <c r="AE105" s="312">
        <f t="shared" si="39"/>
        <v>0</v>
      </c>
      <c r="AF105" s="312">
        <f t="shared" si="39"/>
        <v>41190002</v>
      </c>
      <c r="AG105" s="312">
        <f t="shared" si="39"/>
        <v>0</v>
      </c>
      <c r="AH105" s="312">
        <f t="shared" si="39"/>
        <v>0</v>
      </c>
      <c r="AI105" s="312">
        <f t="shared" si="39"/>
        <v>0</v>
      </c>
      <c r="AJ105" s="312">
        <f t="shared" si="39"/>
        <v>0</v>
      </c>
      <c r="AK105" s="312">
        <f t="shared" si="39"/>
        <v>0</v>
      </c>
      <c r="AL105" s="312">
        <f t="shared" si="39"/>
        <v>0</v>
      </c>
      <c r="AM105" s="312">
        <f t="shared" si="39"/>
        <v>0</v>
      </c>
      <c r="AN105" s="312">
        <f t="shared" si="39"/>
        <v>0</v>
      </c>
      <c r="AO105" s="312">
        <f t="shared" si="39"/>
        <v>0</v>
      </c>
      <c r="AP105" s="312">
        <f t="shared" si="39"/>
        <v>0</v>
      </c>
      <c r="AQ105" s="312">
        <f t="shared" si="39"/>
        <v>0</v>
      </c>
      <c r="AR105" s="312">
        <f t="shared" si="39"/>
        <v>0</v>
      </c>
      <c r="AS105" s="312">
        <f t="shared" si="39"/>
        <v>0</v>
      </c>
      <c r="AT105" s="312">
        <f t="shared" si="39"/>
        <v>0</v>
      </c>
      <c r="AU105" s="312">
        <f t="shared" si="39"/>
        <v>0</v>
      </c>
      <c r="AV105" s="312">
        <f t="shared" si="39"/>
        <v>0</v>
      </c>
      <c r="AW105" s="312">
        <f t="shared" si="39"/>
        <v>0</v>
      </c>
      <c r="AX105" s="312">
        <f t="shared" si="39"/>
        <v>0</v>
      </c>
      <c r="AY105" s="312">
        <f t="shared" si="39"/>
        <v>0</v>
      </c>
      <c r="AZ105" s="312">
        <f t="shared" si="39"/>
        <v>0</v>
      </c>
      <c r="BA105" s="312">
        <f t="shared" si="39"/>
        <v>0</v>
      </c>
      <c r="BB105" s="312">
        <f t="shared" si="39"/>
        <v>0</v>
      </c>
      <c r="BC105" s="312">
        <f t="shared" si="39"/>
        <v>0</v>
      </c>
      <c r="BD105" s="312">
        <f t="shared" si="39"/>
        <v>0</v>
      </c>
      <c r="BE105" s="312">
        <f t="shared" si="39"/>
        <v>0</v>
      </c>
      <c r="BF105" s="312">
        <f t="shared" si="39"/>
        <v>0</v>
      </c>
      <c r="BG105" s="312">
        <f t="shared" si="39"/>
        <v>0</v>
      </c>
      <c r="BH105" s="312">
        <f t="shared" si="39"/>
        <v>0</v>
      </c>
      <c r="BI105" s="312">
        <f t="shared" si="39"/>
        <v>0</v>
      </c>
      <c r="BJ105" s="312">
        <f t="shared" si="39"/>
        <v>0</v>
      </c>
      <c r="BK105" s="312">
        <f t="shared" si="39"/>
        <v>0</v>
      </c>
      <c r="BL105" s="312">
        <f t="shared" si="39"/>
        <v>0</v>
      </c>
      <c r="BM105" s="312">
        <f t="shared" si="39"/>
        <v>0</v>
      </c>
      <c r="BN105" s="312">
        <f t="shared" si="39"/>
        <v>0</v>
      </c>
      <c r="BO105" s="312">
        <f t="shared" si="39"/>
        <v>0</v>
      </c>
      <c r="BP105" s="312">
        <f t="shared" si="39"/>
        <v>0</v>
      </c>
      <c r="BQ105" s="312">
        <f t="shared" si="39"/>
        <v>0</v>
      </c>
      <c r="BR105" s="312">
        <f t="shared" si="39"/>
        <v>0</v>
      </c>
      <c r="BS105" s="312">
        <f t="shared" si="39"/>
        <v>0</v>
      </c>
      <c r="BT105" s="312">
        <f t="shared" si="39"/>
        <v>0</v>
      </c>
      <c r="BU105" s="312">
        <f t="shared" si="39"/>
        <v>0</v>
      </c>
      <c r="BV105" s="312">
        <f t="shared" si="39"/>
        <v>0</v>
      </c>
      <c r="BW105" s="312">
        <f t="shared" si="39"/>
        <v>0</v>
      </c>
      <c r="BX105" s="312">
        <f>BX113+BX179+BX101</f>
        <v>35063059.619399101</v>
      </c>
      <c r="BY105" s="307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</row>
    <row r="106" spans="1:138" hidden="1">
      <c r="A106" s="222"/>
      <c r="B106" s="222"/>
      <c r="C106" s="313" t="s">
        <v>292</v>
      </c>
      <c r="D106" s="574">
        <f>IRR(E105:BX105)*12</f>
        <v>0.46400492796730575</v>
      </c>
      <c r="E106" s="599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22"/>
      <c r="BU106" s="222"/>
      <c r="BV106" s="222"/>
      <c r="BW106" s="222"/>
      <c r="BX106" s="222"/>
      <c r="BY106" s="307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  <c r="DF106" s="222"/>
      <c r="DG106" s="222"/>
      <c r="DH106" s="222"/>
      <c r="DI106" s="222"/>
      <c r="DJ106" s="222"/>
      <c r="DK106" s="222"/>
      <c r="DL106" s="222"/>
      <c r="DM106" s="222"/>
      <c r="DN106" s="222"/>
      <c r="DO106" s="222"/>
      <c r="DP106" s="222"/>
      <c r="DQ106" s="222"/>
      <c r="DR106" s="222"/>
      <c r="DS106" s="222"/>
      <c r="DT106" s="222"/>
      <c r="DU106" s="222"/>
      <c r="DV106" s="222"/>
      <c r="DW106" s="222"/>
      <c r="DX106" s="222"/>
      <c r="DY106" s="222"/>
      <c r="DZ106" s="222"/>
      <c r="EA106" s="222"/>
      <c r="EB106" s="222"/>
      <c r="EC106" s="222"/>
      <c r="ED106" s="222"/>
      <c r="EE106" s="222"/>
      <c r="EF106" s="222"/>
      <c r="EG106" s="222"/>
      <c r="EH106" s="222"/>
    </row>
    <row r="107" spans="1:138" hidden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307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2"/>
      <c r="DD107" s="222"/>
      <c r="DE107" s="222"/>
      <c r="DF107" s="222"/>
      <c r="DG107" s="222"/>
      <c r="DH107" s="222"/>
      <c r="DI107" s="222"/>
      <c r="DJ107" s="222"/>
      <c r="DK107" s="222"/>
      <c r="DL107" s="222"/>
      <c r="DM107" s="222"/>
      <c r="DN107" s="222"/>
      <c r="DO107" s="222"/>
      <c r="DP107" s="222"/>
      <c r="DQ107" s="222"/>
      <c r="DR107" s="222"/>
      <c r="DS107" s="222"/>
      <c r="DT107" s="222"/>
      <c r="DU107" s="222"/>
      <c r="DV107" s="222"/>
      <c r="DW107" s="222"/>
      <c r="DX107" s="222"/>
      <c r="DY107" s="222"/>
      <c r="DZ107" s="222"/>
      <c r="EA107" s="222"/>
      <c r="EB107" s="222"/>
      <c r="EC107" s="222"/>
      <c r="ED107" s="222"/>
      <c r="EE107" s="222"/>
      <c r="EF107" s="222"/>
      <c r="EG107" s="222"/>
      <c r="EH107" s="222"/>
    </row>
    <row r="108" spans="1:138" hidden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  <c r="BB108" s="222"/>
      <c r="BC108" s="222"/>
      <c r="BD108" s="222"/>
      <c r="BE108" s="222"/>
      <c r="BF108" s="222"/>
      <c r="BG108" s="222"/>
      <c r="BH108" s="222"/>
      <c r="BI108" s="222"/>
      <c r="BJ108" s="222"/>
      <c r="BK108" s="222"/>
      <c r="BL108" s="222"/>
      <c r="BM108" s="222"/>
      <c r="BN108" s="222"/>
      <c r="BO108" s="222"/>
      <c r="BP108" s="222"/>
      <c r="BQ108" s="222"/>
      <c r="BR108" s="222"/>
      <c r="BS108" s="222"/>
      <c r="BT108" s="222"/>
      <c r="BU108" s="222"/>
      <c r="BV108" s="222"/>
      <c r="BW108" s="222"/>
      <c r="BX108" s="222"/>
      <c r="BY108" s="307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2"/>
      <c r="DD108" s="222"/>
      <c r="DE108" s="222"/>
      <c r="DF108" s="222"/>
      <c r="DG108" s="222"/>
      <c r="DH108" s="222"/>
      <c r="DI108" s="222"/>
      <c r="DJ108" s="222"/>
      <c r="DK108" s="222"/>
      <c r="DL108" s="222"/>
      <c r="DM108" s="222"/>
      <c r="DN108" s="222"/>
      <c r="DO108" s="222"/>
      <c r="DP108" s="222"/>
      <c r="DQ108" s="222"/>
      <c r="DR108" s="222"/>
      <c r="DS108" s="222"/>
      <c r="DT108" s="222"/>
      <c r="DU108" s="222"/>
      <c r="DV108" s="222"/>
      <c r="DW108" s="222"/>
      <c r="DX108" s="222"/>
      <c r="DY108" s="222"/>
      <c r="DZ108" s="222"/>
      <c r="EA108" s="222"/>
      <c r="EB108" s="222"/>
      <c r="EC108" s="222"/>
      <c r="ED108" s="222"/>
      <c r="EE108" s="222"/>
      <c r="EF108" s="222"/>
      <c r="EG108" s="222"/>
      <c r="EH108" s="222"/>
    </row>
    <row r="109" spans="1:138" ht="17.100000000000001" hidden="1">
      <c r="A109" s="222"/>
      <c r="B109" s="222"/>
      <c r="C109" s="310" t="s">
        <v>293</v>
      </c>
      <c r="D109" s="604"/>
      <c r="E109" s="598"/>
      <c r="F109" s="598"/>
      <c r="G109" s="598"/>
      <c r="H109" s="598"/>
      <c r="I109" s="598"/>
      <c r="J109" s="598"/>
      <c r="K109" s="598"/>
      <c r="L109" s="598"/>
      <c r="M109" s="598"/>
      <c r="N109" s="598"/>
      <c r="O109" s="598"/>
      <c r="P109" s="598"/>
      <c r="Q109" s="598"/>
      <c r="R109" s="598"/>
      <c r="S109" s="598"/>
      <c r="T109" s="598"/>
      <c r="U109" s="598"/>
      <c r="V109" s="598"/>
      <c r="W109" s="598"/>
      <c r="X109" s="598"/>
      <c r="Y109" s="598"/>
      <c r="Z109" s="598"/>
      <c r="AA109" s="598"/>
      <c r="AB109" s="598"/>
      <c r="AC109" s="598"/>
      <c r="AD109" s="598"/>
      <c r="AE109" s="598"/>
      <c r="AF109" s="598"/>
      <c r="AG109" s="598"/>
      <c r="AH109" s="598"/>
      <c r="AI109" s="598"/>
      <c r="AJ109" s="598"/>
      <c r="AK109" s="598"/>
      <c r="AL109" s="598"/>
      <c r="AM109" s="598"/>
      <c r="AN109" s="598"/>
      <c r="AO109" s="598"/>
      <c r="AP109" s="598"/>
      <c r="AQ109" s="598"/>
      <c r="AR109" s="598"/>
      <c r="AS109" s="598"/>
      <c r="AT109" s="598"/>
      <c r="AU109" s="598"/>
      <c r="AV109" s="598"/>
      <c r="AW109" s="598"/>
      <c r="AX109" s="598"/>
      <c r="AY109" s="598"/>
      <c r="AZ109" s="598"/>
      <c r="BA109" s="598"/>
      <c r="BB109" s="598"/>
      <c r="BC109" s="598"/>
      <c r="BD109" s="598"/>
      <c r="BE109" s="598"/>
      <c r="BF109" s="598"/>
      <c r="BG109" s="598"/>
      <c r="BH109" s="598"/>
      <c r="BI109" s="598"/>
      <c r="BJ109" s="598"/>
      <c r="BK109" s="598"/>
      <c r="BL109" s="598"/>
      <c r="BM109" s="598"/>
      <c r="BN109" s="598"/>
      <c r="BO109" s="598"/>
      <c r="BP109" s="598"/>
      <c r="BQ109" s="598"/>
      <c r="BR109" s="598"/>
      <c r="BS109" s="598"/>
      <c r="BT109" s="598"/>
      <c r="BU109" s="598"/>
      <c r="BV109" s="598"/>
      <c r="BW109" s="599"/>
      <c r="BX109" s="315">
        <f>BX101*C110</f>
        <v>7012611.9238798209</v>
      </c>
      <c r="BY109" s="307"/>
      <c r="BZ109" s="222"/>
      <c r="CA109" s="222"/>
      <c r="CB109" s="222"/>
      <c r="CC109" s="222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222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222"/>
      <c r="DA109" s="222"/>
      <c r="DB109" s="222"/>
      <c r="DC109" s="222"/>
      <c r="DD109" s="222"/>
      <c r="DE109" s="222"/>
      <c r="DF109" s="222"/>
      <c r="DG109" s="222"/>
      <c r="DH109" s="222"/>
      <c r="DI109" s="222"/>
      <c r="DJ109" s="222"/>
      <c r="DK109" s="222"/>
      <c r="DL109" s="222"/>
      <c r="DM109" s="222"/>
      <c r="DN109" s="222"/>
      <c r="DO109" s="222"/>
      <c r="DP109" s="222"/>
      <c r="DQ109" s="222"/>
      <c r="DR109" s="222"/>
      <c r="DS109" s="222"/>
      <c r="DT109" s="222"/>
      <c r="DU109" s="222"/>
      <c r="DV109" s="222"/>
      <c r="DW109" s="222"/>
      <c r="DX109" s="222"/>
      <c r="DY109" s="222"/>
      <c r="DZ109" s="222"/>
      <c r="EA109" s="222"/>
      <c r="EB109" s="222"/>
      <c r="EC109" s="222"/>
      <c r="ED109" s="222"/>
      <c r="EE109" s="222"/>
      <c r="EF109" s="222"/>
      <c r="EG109" s="222"/>
      <c r="EH109" s="222"/>
    </row>
    <row r="110" spans="1:138" ht="18.95" hidden="1">
      <c r="A110" s="222"/>
      <c r="B110" s="222"/>
      <c r="C110" s="316">
        <v>0.2</v>
      </c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  <c r="AL110" s="222"/>
      <c r="AM110" s="222"/>
      <c r="AN110" s="222"/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  <c r="BB110" s="222"/>
      <c r="BC110" s="222"/>
      <c r="BD110" s="222"/>
      <c r="BE110" s="222"/>
      <c r="BF110" s="222"/>
      <c r="BG110" s="222"/>
      <c r="BH110" s="222"/>
      <c r="BI110" s="222"/>
      <c r="BJ110" s="222"/>
      <c r="BK110" s="222"/>
      <c r="BL110" s="222"/>
      <c r="BM110" s="222"/>
      <c r="BN110" s="222"/>
      <c r="BO110" s="222"/>
      <c r="BP110" s="222"/>
      <c r="BQ110" s="222"/>
      <c r="BR110" s="222"/>
      <c r="BS110" s="222"/>
      <c r="BT110" s="222"/>
      <c r="BU110" s="222"/>
      <c r="BV110" s="222"/>
      <c r="BW110" s="222"/>
      <c r="BX110" s="222"/>
      <c r="BY110" s="307"/>
      <c r="BZ110" s="222"/>
      <c r="CA110" s="222"/>
      <c r="CB110" s="222"/>
      <c r="CC110" s="222"/>
      <c r="CD110" s="222"/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2"/>
      <c r="CQ110" s="222"/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2"/>
      <c r="DD110" s="222"/>
      <c r="DE110" s="222"/>
      <c r="DF110" s="222"/>
      <c r="DG110" s="222"/>
      <c r="DH110" s="222"/>
      <c r="DI110" s="222"/>
      <c r="DJ110" s="222"/>
      <c r="DK110" s="222"/>
      <c r="DL110" s="222"/>
      <c r="DM110" s="222"/>
      <c r="DN110" s="222"/>
      <c r="DO110" s="222"/>
      <c r="DP110" s="222"/>
      <c r="DQ110" s="222"/>
      <c r="DR110" s="222"/>
      <c r="DS110" s="222"/>
      <c r="DT110" s="222"/>
      <c r="DU110" s="222"/>
      <c r="DV110" s="222"/>
      <c r="DW110" s="222"/>
      <c r="DX110" s="222"/>
      <c r="DY110" s="222"/>
      <c r="DZ110" s="222"/>
      <c r="EA110" s="222"/>
      <c r="EB110" s="222"/>
      <c r="EC110" s="222"/>
      <c r="ED110" s="222"/>
      <c r="EE110" s="222"/>
      <c r="EF110" s="222"/>
      <c r="EG110" s="222"/>
      <c r="EH110" s="222"/>
    </row>
    <row r="111" spans="1:138" hidden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222"/>
      <c r="AF111" s="222"/>
      <c r="AG111" s="222"/>
      <c r="AH111" s="222"/>
      <c r="AI111" s="222"/>
      <c r="AJ111" s="222"/>
      <c r="AK111" s="222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2"/>
      <c r="BH111" s="222"/>
      <c r="BI111" s="222"/>
      <c r="BJ111" s="222"/>
      <c r="BK111" s="222"/>
      <c r="BL111" s="222"/>
      <c r="BM111" s="222"/>
      <c r="BN111" s="222"/>
      <c r="BO111" s="222"/>
      <c r="BP111" s="222"/>
      <c r="BQ111" s="222"/>
      <c r="BR111" s="222"/>
      <c r="BS111" s="222"/>
      <c r="BT111" s="222"/>
      <c r="BU111" s="222"/>
      <c r="BV111" s="222"/>
      <c r="BW111" s="222"/>
      <c r="BX111" s="222"/>
      <c r="BY111" s="307"/>
      <c r="BZ111" s="222"/>
      <c r="CA111" s="222"/>
      <c r="CB111" s="222"/>
      <c r="CC111" s="222"/>
      <c r="CD111" s="222"/>
      <c r="CE111" s="222"/>
      <c r="CF111" s="222"/>
      <c r="CG111" s="222"/>
      <c r="CH111" s="222"/>
      <c r="CI111" s="222"/>
      <c r="CJ111" s="222"/>
      <c r="CK111" s="222"/>
      <c r="CL111" s="222"/>
      <c r="CM111" s="222"/>
      <c r="CN111" s="222"/>
      <c r="CO111" s="222"/>
      <c r="CP111" s="222"/>
      <c r="CQ111" s="222"/>
      <c r="CR111" s="222"/>
      <c r="CS111" s="222"/>
      <c r="CT111" s="222"/>
      <c r="CU111" s="222"/>
      <c r="CV111" s="222"/>
      <c r="CW111" s="222"/>
      <c r="CX111" s="222"/>
      <c r="CY111" s="222"/>
      <c r="CZ111" s="222"/>
      <c r="DA111" s="222"/>
      <c r="DB111" s="222"/>
      <c r="DC111" s="222"/>
      <c r="DD111" s="222"/>
      <c r="DE111" s="222"/>
      <c r="DF111" s="222"/>
      <c r="DG111" s="222"/>
      <c r="DH111" s="222"/>
      <c r="DI111" s="222"/>
      <c r="DJ111" s="222"/>
      <c r="DK111" s="222"/>
      <c r="DL111" s="222"/>
      <c r="DM111" s="222"/>
      <c r="DN111" s="222"/>
      <c r="DO111" s="222"/>
      <c r="DP111" s="222"/>
      <c r="DQ111" s="222"/>
      <c r="DR111" s="222"/>
      <c r="DS111" s="222"/>
      <c r="DT111" s="222"/>
      <c r="DU111" s="222"/>
      <c r="DV111" s="222"/>
      <c r="DW111" s="222"/>
      <c r="DX111" s="222"/>
      <c r="DY111" s="222"/>
      <c r="DZ111" s="222"/>
      <c r="EA111" s="222"/>
      <c r="EB111" s="222"/>
      <c r="EC111" s="222"/>
      <c r="ED111" s="222"/>
      <c r="EE111" s="222"/>
      <c r="EF111" s="222"/>
      <c r="EG111" s="222"/>
      <c r="EH111" s="222"/>
    </row>
    <row r="112" spans="1:138" hidden="1">
      <c r="A112" s="222"/>
      <c r="B112" s="222"/>
      <c r="C112" s="317"/>
      <c r="D112" s="317"/>
      <c r="E112" s="317"/>
      <c r="F112" s="317"/>
      <c r="G112" s="317"/>
      <c r="H112" s="317"/>
      <c r="I112" s="317"/>
      <c r="J112" s="317"/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7"/>
      <c r="V112" s="317"/>
      <c r="W112" s="317"/>
      <c r="X112" s="317"/>
      <c r="Y112" s="317"/>
      <c r="Z112" s="317"/>
      <c r="AA112" s="317"/>
      <c r="AB112" s="317"/>
      <c r="AC112" s="317"/>
      <c r="AD112" s="317"/>
      <c r="AE112" s="317"/>
      <c r="AF112" s="317"/>
      <c r="AG112" s="317"/>
      <c r="AH112" s="317"/>
      <c r="AI112" s="317"/>
      <c r="AJ112" s="317"/>
      <c r="AK112" s="317"/>
      <c r="AL112" s="317"/>
      <c r="AM112" s="317"/>
      <c r="AN112" s="317"/>
      <c r="AO112" s="317"/>
      <c r="AP112" s="317"/>
      <c r="AQ112" s="317"/>
      <c r="AR112" s="317"/>
      <c r="AS112" s="317"/>
      <c r="AT112" s="317"/>
      <c r="AU112" s="317"/>
      <c r="AV112" s="317"/>
      <c r="AW112" s="317"/>
      <c r="AX112" s="317"/>
      <c r="AY112" s="317"/>
      <c r="AZ112" s="317"/>
      <c r="BA112" s="317"/>
      <c r="BB112" s="317"/>
      <c r="BC112" s="317"/>
      <c r="BD112" s="317"/>
      <c r="BE112" s="317"/>
      <c r="BF112" s="317"/>
      <c r="BG112" s="317"/>
      <c r="BH112" s="317"/>
      <c r="BI112" s="317"/>
      <c r="BJ112" s="317"/>
      <c r="BK112" s="317"/>
      <c r="BL112" s="317"/>
      <c r="BM112" s="222"/>
      <c r="BN112" s="222"/>
      <c r="BO112" s="222"/>
      <c r="BP112" s="222"/>
      <c r="BQ112" s="222"/>
      <c r="BR112" s="222"/>
      <c r="BS112" s="222"/>
      <c r="BT112" s="222"/>
      <c r="BU112" s="222"/>
      <c r="BV112" s="222"/>
      <c r="BW112" s="222"/>
      <c r="BX112" s="222"/>
      <c r="BY112" s="222"/>
      <c r="BZ112" s="222"/>
      <c r="CA112" s="222"/>
      <c r="CB112" s="222"/>
      <c r="CC112" s="222"/>
      <c r="CD112" s="222"/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2"/>
      <c r="CQ112" s="222"/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2"/>
      <c r="DD112" s="222"/>
      <c r="DE112" s="222"/>
      <c r="DF112" s="222"/>
      <c r="DG112" s="222"/>
      <c r="DH112" s="222"/>
      <c r="DI112" s="222"/>
      <c r="DJ112" s="222"/>
      <c r="DK112" s="222"/>
      <c r="DL112" s="222"/>
      <c r="DM112" s="222"/>
      <c r="DN112" s="222"/>
      <c r="DO112" s="222"/>
      <c r="DP112" s="222"/>
      <c r="DQ112" s="222"/>
      <c r="DR112" s="222"/>
      <c r="DS112" s="222"/>
      <c r="DT112" s="222"/>
      <c r="DU112" s="222"/>
      <c r="DV112" s="222"/>
      <c r="DW112" s="222"/>
      <c r="DX112" s="222"/>
      <c r="DY112" s="222"/>
      <c r="DZ112" s="222"/>
      <c r="EA112" s="222"/>
      <c r="EB112" s="222"/>
      <c r="EC112" s="222"/>
      <c r="ED112" s="222"/>
      <c r="EE112" s="222"/>
      <c r="EF112" s="222"/>
      <c r="EG112" s="222"/>
      <c r="EH112" s="222"/>
    </row>
    <row r="113" spans="1:138">
      <c r="A113" s="222"/>
      <c r="B113" s="318"/>
      <c r="C113" s="310" t="s">
        <v>294</v>
      </c>
      <c r="D113" s="311"/>
      <c r="E113" s="312">
        <f t="shared" ref="E113:G113" si="40">-(E5+E6+E91+E92)</f>
        <v>0</v>
      </c>
      <c r="F113" s="312">
        <f t="shared" si="40"/>
        <v>0</v>
      </c>
      <c r="G113" s="312">
        <f t="shared" si="40"/>
        <v>0</v>
      </c>
      <c r="H113" s="312">
        <f>-(+H6+H91+H92)</f>
        <v>0</v>
      </c>
      <c r="I113" s="312">
        <f t="shared" ref="I113:BM113" si="41">-(I5+I6+I91+I92)</f>
        <v>0</v>
      </c>
      <c r="J113" s="312">
        <f t="shared" si="41"/>
        <v>0</v>
      </c>
      <c r="K113" s="312">
        <f t="shared" si="41"/>
        <v>-885000</v>
      </c>
      <c r="L113" s="312">
        <f t="shared" si="41"/>
        <v>-1940000</v>
      </c>
      <c r="M113" s="312">
        <f t="shared" si="41"/>
        <v>-4260000</v>
      </c>
      <c r="N113" s="312">
        <f t="shared" si="41"/>
        <v>0</v>
      </c>
      <c r="O113" s="312">
        <f t="shared" si="41"/>
        <v>-320000</v>
      </c>
      <c r="P113" s="312">
        <f t="shared" si="41"/>
        <v>-320000</v>
      </c>
      <c r="Q113" s="312">
        <f t="shared" si="41"/>
        <v>0</v>
      </c>
      <c r="R113" s="312">
        <f t="shared" si="41"/>
        <v>-1500000</v>
      </c>
      <c r="S113" s="312">
        <f t="shared" si="41"/>
        <v>-2300000</v>
      </c>
      <c r="T113" s="312">
        <f t="shared" si="41"/>
        <v>-7300000</v>
      </c>
      <c r="U113" s="312">
        <f t="shared" si="41"/>
        <v>-5000000</v>
      </c>
      <c r="V113" s="312">
        <f t="shared" si="41"/>
        <v>-1000000</v>
      </c>
      <c r="W113" s="312">
        <f t="shared" si="41"/>
        <v>0</v>
      </c>
      <c r="X113" s="312">
        <f t="shared" si="41"/>
        <v>0</v>
      </c>
      <c r="Y113" s="312">
        <f t="shared" si="41"/>
        <v>0</v>
      </c>
      <c r="Z113" s="312">
        <f t="shared" si="41"/>
        <v>0</v>
      </c>
      <c r="AA113" s="312">
        <f t="shared" si="41"/>
        <v>0</v>
      </c>
      <c r="AB113" s="312">
        <f t="shared" si="41"/>
        <v>0</v>
      </c>
      <c r="AC113" s="312">
        <f t="shared" si="41"/>
        <v>0</v>
      </c>
      <c r="AD113" s="312">
        <f t="shared" si="41"/>
        <v>0</v>
      </c>
      <c r="AE113" s="312">
        <f t="shared" si="41"/>
        <v>0</v>
      </c>
      <c r="AF113" s="312">
        <f t="shared" si="41"/>
        <v>41190002</v>
      </c>
      <c r="AG113" s="312">
        <f t="shared" si="41"/>
        <v>0</v>
      </c>
      <c r="AH113" s="312">
        <f t="shared" si="41"/>
        <v>0</v>
      </c>
      <c r="AI113" s="312">
        <f t="shared" si="41"/>
        <v>0</v>
      </c>
      <c r="AJ113" s="312">
        <f t="shared" si="41"/>
        <v>0</v>
      </c>
      <c r="AK113" s="312">
        <f t="shared" si="41"/>
        <v>0</v>
      </c>
      <c r="AL113" s="312">
        <f t="shared" si="41"/>
        <v>0</v>
      </c>
      <c r="AM113" s="312">
        <f t="shared" si="41"/>
        <v>0</v>
      </c>
      <c r="AN113" s="312">
        <f t="shared" si="41"/>
        <v>0</v>
      </c>
      <c r="AO113" s="312">
        <f t="shared" si="41"/>
        <v>0</v>
      </c>
      <c r="AP113" s="312">
        <f t="shared" si="41"/>
        <v>0</v>
      </c>
      <c r="AQ113" s="312">
        <f t="shared" si="41"/>
        <v>0</v>
      </c>
      <c r="AR113" s="312">
        <f t="shared" si="41"/>
        <v>0</v>
      </c>
      <c r="AS113" s="312">
        <f t="shared" si="41"/>
        <v>0</v>
      </c>
      <c r="AT113" s="312">
        <f t="shared" si="41"/>
        <v>0</v>
      </c>
      <c r="AU113" s="312">
        <f t="shared" si="41"/>
        <v>0</v>
      </c>
      <c r="AV113" s="312">
        <f t="shared" si="41"/>
        <v>0</v>
      </c>
      <c r="AW113" s="312">
        <f t="shared" si="41"/>
        <v>0</v>
      </c>
      <c r="AX113" s="312">
        <f t="shared" si="41"/>
        <v>0</v>
      </c>
      <c r="AY113" s="312">
        <f t="shared" si="41"/>
        <v>0</v>
      </c>
      <c r="AZ113" s="312">
        <f t="shared" si="41"/>
        <v>0</v>
      </c>
      <c r="BA113" s="312">
        <f t="shared" si="41"/>
        <v>0</v>
      </c>
      <c r="BB113" s="312">
        <f t="shared" si="41"/>
        <v>0</v>
      </c>
      <c r="BC113" s="312">
        <f t="shared" si="41"/>
        <v>0</v>
      </c>
      <c r="BD113" s="312">
        <f t="shared" si="41"/>
        <v>0</v>
      </c>
      <c r="BE113" s="312">
        <f t="shared" si="41"/>
        <v>0</v>
      </c>
      <c r="BF113" s="312">
        <f t="shared" si="41"/>
        <v>0</v>
      </c>
      <c r="BG113" s="312">
        <f t="shared" si="41"/>
        <v>0</v>
      </c>
      <c r="BH113" s="312">
        <f t="shared" si="41"/>
        <v>0</v>
      </c>
      <c r="BI113" s="312">
        <f t="shared" si="41"/>
        <v>0</v>
      </c>
      <c r="BJ113" s="312">
        <f t="shared" si="41"/>
        <v>0</v>
      </c>
      <c r="BK113" s="312">
        <f t="shared" si="41"/>
        <v>0</v>
      </c>
      <c r="BL113" s="312">
        <f t="shared" si="41"/>
        <v>0</v>
      </c>
      <c r="BM113" s="312">
        <f t="shared" si="41"/>
        <v>0</v>
      </c>
      <c r="BN113" s="312">
        <f t="shared" ref="BN113:BX113" si="42">-(BN5+BN91)</f>
        <v>0</v>
      </c>
      <c r="BO113" s="312">
        <f t="shared" si="42"/>
        <v>0</v>
      </c>
      <c r="BP113" s="312">
        <f t="shared" si="42"/>
        <v>0</v>
      </c>
      <c r="BQ113" s="312">
        <f t="shared" si="42"/>
        <v>0</v>
      </c>
      <c r="BR113" s="312">
        <f t="shared" si="42"/>
        <v>0</v>
      </c>
      <c r="BS113" s="312">
        <f t="shared" si="42"/>
        <v>0</v>
      </c>
      <c r="BT113" s="312">
        <f t="shared" si="42"/>
        <v>0</v>
      </c>
      <c r="BU113" s="312">
        <f t="shared" si="42"/>
        <v>0</v>
      </c>
      <c r="BV113" s="312">
        <f t="shared" si="42"/>
        <v>0</v>
      </c>
      <c r="BW113" s="312">
        <f t="shared" si="42"/>
        <v>0</v>
      </c>
      <c r="BX113" s="312">
        <f t="shared" si="42"/>
        <v>0</v>
      </c>
      <c r="BY113" s="222"/>
      <c r="BZ113" s="222"/>
      <c r="CA113" s="222"/>
      <c r="CB113" s="222"/>
      <c r="CC113" s="222"/>
      <c r="CD113" s="222"/>
      <c r="CE113" s="222"/>
      <c r="CF113" s="222"/>
      <c r="CG113" s="222"/>
      <c r="CH113" s="222"/>
      <c r="CI113" s="222"/>
      <c r="CJ113" s="222"/>
      <c r="CK113" s="222"/>
      <c r="CL113" s="222"/>
      <c r="CM113" s="222"/>
      <c r="CN113" s="222"/>
      <c r="CO113" s="222"/>
      <c r="CP113" s="222"/>
      <c r="CQ113" s="222"/>
      <c r="CR113" s="222"/>
      <c r="CS113" s="222"/>
      <c r="CT113" s="222"/>
      <c r="CU113" s="222"/>
      <c r="CV113" s="222"/>
      <c r="CW113" s="222"/>
      <c r="CX113" s="222"/>
      <c r="CY113" s="222"/>
      <c r="CZ113" s="222"/>
      <c r="DA113" s="222"/>
      <c r="DB113" s="222"/>
      <c r="DC113" s="222"/>
      <c r="DD113" s="222"/>
      <c r="DE113" s="222"/>
      <c r="DF113" s="222"/>
      <c r="DG113" s="222"/>
      <c r="DH113" s="222"/>
      <c r="DI113" s="222"/>
      <c r="DJ113" s="222"/>
      <c r="DK113" s="222"/>
      <c r="DL113" s="222"/>
      <c r="DM113" s="222"/>
      <c r="DN113" s="222"/>
      <c r="DO113" s="222"/>
      <c r="DP113" s="222"/>
      <c r="DQ113" s="222"/>
      <c r="DR113" s="222"/>
      <c r="DS113" s="222"/>
      <c r="DT113" s="222"/>
      <c r="DU113" s="222"/>
      <c r="DV113" s="222"/>
      <c r="DW113" s="222"/>
      <c r="DX113" s="222"/>
      <c r="DY113" s="222"/>
      <c r="DZ113" s="222"/>
      <c r="EA113" s="222"/>
      <c r="EB113" s="222"/>
      <c r="EC113" s="222"/>
      <c r="ED113" s="222"/>
      <c r="EE113" s="222"/>
      <c r="EF113" s="222"/>
      <c r="EG113" s="222"/>
      <c r="EH113" s="222"/>
    </row>
    <row r="114" spans="1:138">
      <c r="A114" s="222"/>
      <c r="B114" s="318"/>
      <c r="C114" s="310" t="s">
        <v>295</v>
      </c>
      <c r="D114" s="319"/>
      <c r="E114" s="311"/>
      <c r="F114" s="311"/>
      <c r="G114" s="311"/>
      <c r="H114" s="311">
        <f>-Businessplan_prodej!F9</f>
        <v>-8333333</v>
      </c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222"/>
      <c r="BZ114" s="222"/>
      <c r="CA114" s="222"/>
      <c r="CB114" s="222"/>
      <c r="CC114" s="222"/>
      <c r="CD114" s="222"/>
      <c r="CE114" s="222"/>
      <c r="CF114" s="222"/>
      <c r="CG114" s="222"/>
      <c r="CH114" s="222"/>
      <c r="CI114" s="222"/>
      <c r="CJ114" s="222"/>
      <c r="CK114" s="222"/>
      <c r="CL114" s="222"/>
      <c r="CM114" s="222"/>
      <c r="CN114" s="222"/>
      <c r="CO114" s="222"/>
      <c r="CP114" s="222"/>
      <c r="CQ114" s="222"/>
      <c r="CR114" s="222"/>
      <c r="CS114" s="222"/>
      <c r="CT114" s="222"/>
      <c r="CU114" s="222"/>
      <c r="CV114" s="222"/>
      <c r="CW114" s="222"/>
      <c r="CX114" s="222"/>
      <c r="CY114" s="222"/>
      <c r="CZ114" s="222"/>
      <c r="DA114" s="222"/>
      <c r="DB114" s="222"/>
      <c r="DC114" s="222"/>
      <c r="DD114" s="222"/>
      <c r="DE114" s="222"/>
      <c r="DF114" s="222"/>
      <c r="DG114" s="222"/>
      <c r="DH114" s="222"/>
      <c r="DI114" s="222"/>
      <c r="DJ114" s="222"/>
      <c r="DK114" s="222"/>
      <c r="DL114" s="222"/>
      <c r="DM114" s="222"/>
      <c r="DN114" s="222"/>
      <c r="DO114" s="222"/>
      <c r="DP114" s="222"/>
      <c r="DQ114" s="222"/>
      <c r="DR114" s="222"/>
      <c r="DS114" s="222"/>
      <c r="DT114" s="222"/>
      <c r="DU114" s="222"/>
      <c r="DV114" s="222"/>
      <c r="DW114" s="222"/>
      <c r="DX114" s="222"/>
      <c r="DY114" s="222"/>
      <c r="DZ114" s="222"/>
      <c r="EA114" s="222"/>
      <c r="EB114" s="222"/>
      <c r="EC114" s="222"/>
      <c r="ED114" s="222"/>
      <c r="EE114" s="222"/>
      <c r="EF114" s="222"/>
      <c r="EG114" s="222"/>
      <c r="EH114" s="222"/>
    </row>
    <row r="115" spans="1:138">
      <c r="A115" s="222"/>
      <c r="B115" s="318"/>
      <c r="C115" s="310" t="s">
        <v>296</v>
      </c>
      <c r="D115" s="319"/>
      <c r="E115" s="311">
        <f t="shared" ref="E115:S115" si="43">-E56</f>
        <v>0</v>
      </c>
      <c r="F115" s="311">
        <f t="shared" si="43"/>
        <v>0</v>
      </c>
      <c r="G115" s="311">
        <f t="shared" si="43"/>
        <v>0</v>
      </c>
      <c r="H115" s="311">
        <f t="shared" si="43"/>
        <v>0</v>
      </c>
      <c r="I115" s="311">
        <f t="shared" si="43"/>
        <v>0</v>
      </c>
      <c r="J115" s="311">
        <f t="shared" si="43"/>
        <v>0</v>
      </c>
      <c r="K115" s="311">
        <f t="shared" si="43"/>
        <v>0</v>
      </c>
      <c r="L115" s="311">
        <f t="shared" si="43"/>
        <v>0</v>
      </c>
      <c r="M115" s="311">
        <f t="shared" si="43"/>
        <v>0</v>
      </c>
      <c r="N115" s="311">
        <f t="shared" si="43"/>
        <v>0</v>
      </c>
      <c r="O115" s="311">
        <f t="shared" si="43"/>
        <v>0</v>
      </c>
      <c r="P115" s="311">
        <f t="shared" si="43"/>
        <v>0</v>
      </c>
      <c r="Q115" s="311">
        <f t="shared" si="43"/>
        <v>0</v>
      </c>
      <c r="R115" s="311">
        <f t="shared" si="43"/>
        <v>0</v>
      </c>
      <c r="S115" s="311">
        <f t="shared" si="43"/>
        <v>0</v>
      </c>
      <c r="T115" s="311">
        <f>-T56-T57</f>
        <v>0</v>
      </c>
      <c r="U115" s="311">
        <f t="shared" ref="U115:Z115" si="44">-U56</f>
        <v>0</v>
      </c>
      <c r="V115" s="311">
        <f t="shared" si="44"/>
        <v>0</v>
      </c>
      <c r="W115" s="311">
        <f t="shared" si="44"/>
        <v>0</v>
      </c>
      <c r="X115" s="311">
        <f t="shared" si="44"/>
        <v>0</v>
      </c>
      <c r="Y115" s="311">
        <f t="shared" si="44"/>
        <v>0</v>
      </c>
      <c r="Z115" s="311">
        <f t="shared" si="44"/>
        <v>0</v>
      </c>
      <c r="AA115" s="311">
        <f>-AA56-AA57</f>
        <v>0</v>
      </c>
      <c r="AB115" s="311">
        <f t="shared" ref="AB115:AE115" si="45">-AB56</f>
        <v>0</v>
      </c>
      <c r="AC115" s="311">
        <f t="shared" si="45"/>
        <v>0</v>
      </c>
      <c r="AD115" s="311">
        <f t="shared" si="45"/>
        <v>0</v>
      </c>
      <c r="AE115" s="311">
        <f t="shared" si="45"/>
        <v>0</v>
      </c>
      <c r="AF115" s="311">
        <f>-AF56-AF57</f>
        <v>5258331.4628493153</v>
      </c>
      <c r="AG115" s="311">
        <f t="shared" ref="AG115:BX115" si="46">-AG56</f>
        <v>0</v>
      </c>
      <c r="AH115" s="311">
        <f t="shared" si="46"/>
        <v>0</v>
      </c>
      <c r="AI115" s="311">
        <f t="shared" si="46"/>
        <v>0</v>
      </c>
      <c r="AJ115" s="311">
        <f t="shared" si="46"/>
        <v>0</v>
      </c>
      <c r="AK115" s="311">
        <f t="shared" si="46"/>
        <v>0</v>
      </c>
      <c r="AL115" s="311">
        <f t="shared" si="46"/>
        <v>0</v>
      </c>
      <c r="AM115" s="311">
        <f t="shared" si="46"/>
        <v>0</v>
      </c>
      <c r="AN115" s="311">
        <f t="shared" si="46"/>
        <v>0</v>
      </c>
      <c r="AO115" s="311">
        <f t="shared" si="46"/>
        <v>0</v>
      </c>
      <c r="AP115" s="311">
        <f t="shared" si="46"/>
        <v>0</v>
      </c>
      <c r="AQ115" s="311">
        <f t="shared" si="46"/>
        <v>0</v>
      </c>
      <c r="AR115" s="311">
        <f t="shared" si="46"/>
        <v>0</v>
      </c>
      <c r="AS115" s="311">
        <f t="shared" si="46"/>
        <v>0</v>
      </c>
      <c r="AT115" s="311">
        <f t="shared" si="46"/>
        <v>0</v>
      </c>
      <c r="AU115" s="311">
        <f t="shared" si="46"/>
        <v>0</v>
      </c>
      <c r="AV115" s="311">
        <f t="shared" si="46"/>
        <v>0</v>
      </c>
      <c r="AW115" s="311">
        <f t="shared" si="46"/>
        <v>0</v>
      </c>
      <c r="AX115" s="311">
        <f t="shared" si="46"/>
        <v>0</v>
      </c>
      <c r="AY115" s="311">
        <f t="shared" si="46"/>
        <v>0</v>
      </c>
      <c r="AZ115" s="311">
        <f t="shared" si="46"/>
        <v>0</v>
      </c>
      <c r="BA115" s="311">
        <f t="shared" si="46"/>
        <v>0</v>
      </c>
      <c r="BB115" s="311">
        <f t="shared" si="46"/>
        <v>0</v>
      </c>
      <c r="BC115" s="311">
        <f t="shared" si="46"/>
        <v>0</v>
      </c>
      <c r="BD115" s="311">
        <f t="shared" si="46"/>
        <v>0</v>
      </c>
      <c r="BE115" s="311">
        <f t="shared" si="46"/>
        <v>0</v>
      </c>
      <c r="BF115" s="311">
        <f t="shared" si="46"/>
        <v>0</v>
      </c>
      <c r="BG115" s="311">
        <f t="shared" si="46"/>
        <v>0</v>
      </c>
      <c r="BH115" s="311">
        <f t="shared" si="46"/>
        <v>0</v>
      </c>
      <c r="BI115" s="311">
        <f t="shared" si="46"/>
        <v>0</v>
      </c>
      <c r="BJ115" s="311">
        <f t="shared" si="46"/>
        <v>0</v>
      </c>
      <c r="BK115" s="311">
        <f t="shared" si="46"/>
        <v>0</v>
      </c>
      <c r="BL115" s="311">
        <f t="shared" si="46"/>
        <v>0</v>
      </c>
      <c r="BM115" s="311">
        <f t="shared" si="46"/>
        <v>0</v>
      </c>
      <c r="BN115" s="311">
        <f t="shared" si="46"/>
        <v>0</v>
      </c>
      <c r="BO115" s="311">
        <f t="shared" si="46"/>
        <v>0</v>
      </c>
      <c r="BP115" s="311">
        <f t="shared" si="46"/>
        <v>0</v>
      </c>
      <c r="BQ115" s="311">
        <f t="shared" si="46"/>
        <v>0</v>
      </c>
      <c r="BR115" s="311">
        <f t="shared" si="46"/>
        <v>0</v>
      </c>
      <c r="BS115" s="311">
        <f t="shared" si="46"/>
        <v>0</v>
      </c>
      <c r="BT115" s="311">
        <f t="shared" si="46"/>
        <v>0</v>
      </c>
      <c r="BU115" s="311">
        <f t="shared" si="46"/>
        <v>0</v>
      </c>
      <c r="BV115" s="311">
        <f t="shared" si="46"/>
        <v>0</v>
      </c>
      <c r="BW115" s="311">
        <f t="shared" si="46"/>
        <v>0</v>
      </c>
      <c r="BX115" s="311">
        <f t="shared" si="46"/>
        <v>0</v>
      </c>
      <c r="BY115" s="222"/>
      <c r="BZ115" s="238"/>
      <c r="CA115" s="222"/>
      <c r="CB115" s="222"/>
      <c r="CC115" s="222"/>
      <c r="CD115" s="222"/>
      <c r="CE115" s="222"/>
      <c r="CF115" s="222"/>
      <c r="CG115" s="222"/>
      <c r="CH115" s="222"/>
      <c r="CI115" s="222"/>
      <c r="CJ115" s="222"/>
      <c r="CK115" s="222"/>
      <c r="CL115" s="222"/>
      <c r="CM115" s="222"/>
      <c r="CN115" s="222"/>
      <c r="CO115" s="222"/>
      <c r="CP115" s="222"/>
      <c r="CQ115" s="222"/>
      <c r="CR115" s="222"/>
      <c r="CS115" s="222"/>
      <c r="CT115" s="222"/>
      <c r="CU115" s="222"/>
      <c r="CV115" s="222"/>
      <c r="CW115" s="222"/>
      <c r="CX115" s="222"/>
      <c r="CY115" s="222"/>
      <c r="CZ115" s="222"/>
      <c r="DA115" s="222"/>
      <c r="DB115" s="222"/>
      <c r="DC115" s="222"/>
      <c r="DD115" s="222"/>
      <c r="DE115" s="222"/>
      <c r="DF115" s="222"/>
      <c r="DG115" s="222"/>
      <c r="DH115" s="222"/>
      <c r="DI115" s="222"/>
      <c r="DJ115" s="222"/>
      <c r="DK115" s="222"/>
      <c r="DL115" s="222"/>
      <c r="DM115" s="222"/>
      <c r="DN115" s="222"/>
      <c r="DO115" s="222"/>
      <c r="DP115" s="222"/>
      <c r="DQ115" s="222"/>
      <c r="DR115" s="222"/>
      <c r="DS115" s="222"/>
      <c r="DT115" s="222"/>
      <c r="DU115" s="222"/>
      <c r="DV115" s="222"/>
      <c r="DW115" s="222"/>
      <c r="DX115" s="222"/>
      <c r="DY115" s="222"/>
      <c r="DZ115" s="222"/>
      <c r="EA115" s="222"/>
      <c r="EB115" s="222"/>
      <c r="EC115" s="222"/>
      <c r="ED115" s="222"/>
      <c r="EE115" s="222"/>
      <c r="EF115" s="222"/>
      <c r="EG115" s="222"/>
      <c r="EH115" s="222"/>
    </row>
    <row r="116" spans="1:138">
      <c r="A116" s="222"/>
      <c r="B116" s="318"/>
      <c r="C116" s="310" t="s">
        <v>297</v>
      </c>
      <c r="D116" s="319"/>
      <c r="E116" s="311"/>
      <c r="F116" s="311"/>
      <c r="G116" s="311"/>
      <c r="H116" s="311">
        <f>-H5</f>
        <v>-16365002</v>
      </c>
      <c r="I116" s="311"/>
      <c r="J116" s="311"/>
      <c r="K116" s="311"/>
      <c r="L116" s="311"/>
      <c r="M116" s="311"/>
      <c r="N116" s="311"/>
      <c r="O116" s="311"/>
      <c r="P116" s="311"/>
      <c r="Q116" s="311"/>
      <c r="R116" s="311"/>
      <c r="S116" s="311"/>
      <c r="T116" s="311"/>
      <c r="U116" s="311"/>
      <c r="V116" s="311"/>
      <c r="W116" s="311"/>
      <c r="X116" s="311"/>
      <c r="Y116" s="311"/>
      <c r="Z116" s="311"/>
      <c r="AA116" s="311"/>
      <c r="AB116" s="311"/>
      <c r="AC116" s="311"/>
      <c r="AD116" s="311"/>
      <c r="AE116" s="311"/>
      <c r="AF116" s="311">
        <f>AF101</f>
        <v>35063059.619399101</v>
      </c>
      <c r="AG116" s="311"/>
      <c r="AH116" s="311"/>
      <c r="AI116" s="311"/>
      <c r="AJ116" s="311"/>
      <c r="AK116" s="311"/>
      <c r="AL116" s="311"/>
      <c r="AM116" s="311"/>
      <c r="AN116" s="311"/>
      <c r="AO116" s="311"/>
      <c r="AP116" s="311"/>
      <c r="AQ116" s="311"/>
      <c r="AR116" s="311"/>
      <c r="AS116" s="311"/>
      <c r="AT116" s="311"/>
      <c r="AU116" s="311"/>
      <c r="AV116" s="311"/>
      <c r="AW116" s="311"/>
      <c r="AX116" s="311"/>
      <c r="AY116" s="311"/>
      <c r="AZ116" s="311"/>
      <c r="BA116" s="311"/>
      <c r="BB116" s="311"/>
      <c r="BC116" s="311"/>
      <c r="BD116" s="311"/>
      <c r="BE116" s="311"/>
      <c r="BF116" s="311"/>
      <c r="BG116" s="311"/>
      <c r="BH116" s="311"/>
      <c r="BI116" s="311"/>
      <c r="BJ116" s="311"/>
      <c r="BK116" s="311"/>
      <c r="BL116" s="311"/>
      <c r="BM116" s="311"/>
      <c r="BN116" s="311"/>
      <c r="BO116" s="311"/>
      <c r="BP116" s="311"/>
      <c r="BQ116" s="311"/>
      <c r="BR116" s="311"/>
      <c r="BS116" s="311"/>
      <c r="BT116" s="311"/>
      <c r="BU116" s="311"/>
      <c r="BV116" s="311"/>
      <c r="BW116" s="311"/>
      <c r="BX116" s="311">
        <f>IF(D106&gt;0.25,(BX101-BX109)*D118,BX101*D118)</f>
        <v>28050447.69551928</v>
      </c>
      <c r="BY116" s="222"/>
      <c r="BZ116" s="222"/>
      <c r="CA116" s="222"/>
      <c r="CB116" s="222"/>
      <c r="CC116" s="222"/>
      <c r="CD116" s="222"/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2"/>
      <c r="CQ116" s="222"/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2"/>
      <c r="DD116" s="222"/>
      <c r="DE116" s="222"/>
      <c r="DF116" s="222"/>
      <c r="DG116" s="222"/>
      <c r="DH116" s="222"/>
      <c r="DI116" s="222"/>
      <c r="DJ116" s="222"/>
      <c r="DK116" s="222"/>
      <c r="DL116" s="222"/>
      <c r="DM116" s="222"/>
      <c r="DN116" s="222"/>
      <c r="DO116" s="222"/>
      <c r="DP116" s="222"/>
      <c r="DQ116" s="222"/>
      <c r="DR116" s="222"/>
      <c r="DS116" s="222"/>
      <c r="DT116" s="222"/>
      <c r="DU116" s="222"/>
      <c r="DV116" s="222"/>
      <c r="DW116" s="222"/>
      <c r="DX116" s="222"/>
      <c r="DY116" s="222"/>
      <c r="DZ116" s="222"/>
      <c r="EA116" s="222"/>
      <c r="EB116" s="222"/>
      <c r="EC116" s="222"/>
      <c r="ED116" s="222"/>
      <c r="EE116" s="222"/>
      <c r="EF116" s="222"/>
      <c r="EG116" s="222"/>
      <c r="EH116" s="222"/>
    </row>
    <row r="117" spans="1:138">
      <c r="A117" s="222"/>
      <c r="B117" s="318"/>
      <c r="C117" s="310" t="s">
        <v>293</v>
      </c>
      <c r="D117" s="319"/>
      <c r="E117" s="311"/>
      <c r="F117" s="311"/>
      <c r="G117" s="311"/>
      <c r="H117" s="311"/>
      <c r="I117" s="311"/>
      <c r="J117" s="311"/>
      <c r="K117" s="311"/>
      <c r="L117" s="311"/>
      <c r="M117" s="311"/>
      <c r="N117" s="311"/>
      <c r="O117" s="311"/>
      <c r="P117" s="311"/>
      <c r="Q117" s="311"/>
      <c r="R117" s="311"/>
      <c r="S117" s="311"/>
      <c r="T117" s="311"/>
      <c r="U117" s="311"/>
      <c r="V117" s="311"/>
      <c r="W117" s="311"/>
      <c r="X117" s="311"/>
      <c r="Y117" s="311"/>
      <c r="Z117" s="311"/>
      <c r="AA117" s="311"/>
      <c r="AB117" s="311"/>
      <c r="AC117" s="311"/>
      <c r="AD117" s="311"/>
      <c r="AE117" s="311"/>
      <c r="AF117" s="311"/>
      <c r="AG117" s="311"/>
      <c r="AH117" s="311"/>
      <c r="AI117" s="311"/>
      <c r="AJ117" s="311"/>
      <c r="AK117" s="311"/>
      <c r="AL117" s="311"/>
      <c r="AM117" s="311"/>
      <c r="AN117" s="311"/>
      <c r="AO117" s="311"/>
      <c r="AP117" s="311"/>
      <c r="AQ117" s="311"/>
      <c r="AR117" s="311"/>
      <c r="AS117" s="311"/>
      <c r="AT117" s="311"/>
      <c r="AU117" s="311"/>
      <c r="AV117" s="311"/>
      <c r="AW117" s="311"/>
      <c r="AX117" s="311"/>
      <c r="AY117" s="311"/>
      <c r="AZ117" s="311"/>
      <c r="BA117" s="311"/>
      <c r="BB117" s="311"/>
      <c r="BC117" s="311"/>
      <c r="BD117" s="311"/>
      <c r="BE117" s="311"/>
      <c r="BF117" s="311"/>
      <c r="BG117" s="311"/>
      <c r="BH117" s="311"/>
      <c r="BI117" s="311"/>
      <c r="BJ117" s="311"/>
      <c r="BK117" s="311"/>
      <c r="BL117" s="311"/>
      <c r="BM117" s="311"/>
      <c r="BN117" s="311"/>
      <c r="BO117" s="311"/>
      <c r="BP117" s="311"/>
      <c r="BQ117" s="311"/>
      <c r="BR117" s="311"/>
      <c r="BS117" s="311"/>
      <c r="BT117" s="311"/>
      <c r="BU117" s="311"/>
      <c r="BV117" s="311"/>
      <c r="BW117" s="311"/>
      <c r="BX117" s="311">
        <f>IF(D106&gt;0.25,BX109,0)</f>
        <v>7012611.9238798209</v>
      </c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</row>
    <row r="118" spans="1:138">
      <c r="A118" s="222"/>
      <c r="B118" s="318"/>
      <c r="C118" s="313" t="s">
        <v>298</v>
      </c>
      <c r="D118" s="319">
        <v>1</v>
      </c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320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2"/>
      <c r="CQ118" s="222"/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2"/>
      <c r="DD118" s="222"/>
      <c r="DE118" s="222"/>
      <c r="DF118" s="222"/>
      <c r="DG118" s="222"/>
      <c r="DH118" s="222"/>
      <c r="DI118" s="222"/>
      <c r="DJ118" s="222"/>
      <c r="DK118" s="222"/>
      <c r="DL118" s="222"/>
      <c r="DM118" s="222"/>
      <c r="DN118" s="222"/>
      <c r="DO118" s="222"/>
      <c r="DP118" s="222"/>
      <c r="DQ118" s="222"/>
      <c r="DR118" s="222"/>
      <c r="DS118" s="222"/>
      <c r="DT118" s="222"/>
      <c r="DU118" s="222"/>
      <c r="DV118" s="222"/>
      <c r="DW118" s="222"/>
      <c r="DX118" s="222"/>
      <c r="DY118" s="222"/>
      <c r="DZ118" s="222"/>
      <c r="EA118" s="222"/>
      <c r="EB118" s="222"/>
      <c r="EC118" s="222"/>
      <c r="ED118" s="222"/>
      <c r="EE118" s="222"/>
      <c r="EF118" s="222"/>
      <c r="EG118" s="222"/>
      <c r="EH118" s="222"/>
    </row>
    <row r="119" spans="1:138">
      <c r="A119" s="222"/>
      <c r="B119" s="318"/>
      <c r="C119" s="310" t="s">
        <v>299</v>
      </c>
      <c r="D119" s="314"/>
      <c r="E119" s="321">
        <f t="shared" ref="E119:BW119" si="47">E113+E114+E115+E116+E118</f>
        <v>0</v>
      </c>
      <c r="F119" s="321">
        <f t="shared" si="47"/>
        <v>0</v>
      </c>
      <c r="G119" s="321">
        <f t="shared" si="47"/>
        <v>0</v>
      </c>
      <c r="H119" s="321">
        <f t="shared" si="47"/>
        <v>-24698335</v>
      </c>
      <c r="I119" s="321">
        <f t="shared" si="47"/>
        <v>0</v>
      </c>
      <c r="J119" s="321">
        <f t="shared" si="47"/>
        <v>0</v>
      </c>
      <c r="K119" s="321">
        <f t="shared" si="47"/>
        <v>-885000</v>
      </c>
      <c r="L119" s="321">
        <f t="shared" si="47"/>
        <v>-1940000</v>
      </c>
      <c r="M119" s="321">
        <f t="shared" si="47"/>
        <v>-4260000</v>
      </c>
      <c r="N119" s="321">
        <f t="shared" si="47"/>
        <v>0</v>
      </c>
      <c r="O119" s="321">
        <f t="shared" si="47"/>
        <v>-320000</v>
      </c>
      <c r="P119" s="321">
        <f t="shared" si="47"/>
        <v>-320000</v>
      </c>
      <c r="Q119" s="321">
        <f t="shared" si="47"/>
        <v>0</v>
      </c>
      <c r="R119" s="321">
        <f t="shared" si="47"/>
        <v>-1500000</v>
      </c>
      <c r="S119" s="321">
        <f t="shared" si="47"/>
        <v>-2300000</v>
      </c>
      <c r="T119" s="321">
        <f t="shared" si="47"/>
        <v>-7300000</v>
      </c>
      <c r="U119" s="321">
        <f t="shared" si="47"/>
        <v>-5000000</v>
      </c>
      <c r="V119" s="321">
        <f t="shared" si="47"/>
        <v>-1000000</v>
      </c>
      <c r="W119" s="321">
        <f t="shared" si="47"/>
        <v>0</v>
      </c>
      <c r="X119" s="321">
        <f t="shared" si="47"/>
        <v>0</v>
      </c>
      <c r="Y119" s="321">
        <f t="shared" si="47"/>
        <v>0</v>
      </c>
      <c r="Z119" s="321">
        <f t="shared" si="47"/>
        <v>0</v>
      </c>
      <c r="AA119" s="321">
        <f t="shared" si="47"/>
        <v>0</v>
      </c>
      <c r="AB119" s="321">
        <f t="shared" si="47"/>
        <v>0</v>
      </c>
      <c r="AC119" s="321">
        <f t="shared" si="47"/>
        <v>0</v>
      </c>
      <c r="AD119" s="321">
        <f t="shared" si="47"/>
        <v>0</v>
      </c>
      <c r="AE119" s="321">
        <f t="shared" si="47"/>
        <v>0</v>
      </c>
      <c r="AF119" s="321">
        <f t="shared" si="47"/>
        <v>81511393.08224842</v>
      </c>
      <c r="AG119" s="321">
        <f t="shared" si="47"/>
        <v>0</v>
      </c>
      <c r="AH119" s="321">
        <f t="shared" si="47"/>
        <v>0</v>
      </c>
      <c r="AI119" s="321">
        <f t="shared" si="47"/>
        <v>0</v>
      </c>
      <c r="AJ119" s="321">
        <f t="shared" si="47"/>
        <v>0</v>
      </c>
      <c r="AK119" s="321">
        <f t="shared" si="47"/>
        <v>0</v>
      </c>
      <c r="AL119" s="321">
        <f t="shared" si="47"/>
        <v>0</v>
      </c>
      <c r="AM119" s="321">
        <f t="shared" si="47"/>
        <v>0</v>
      </c>
      <c r="AN119" s="321">
        <f t="shared" si="47"/>
        <v>0</v>
      </c>
      <c r="AO119" s="321">
        <f t="shared" si="47"/>
        <v>0</v>
      </c>
      <c r="AP119" s="321">
        <f t="shared" si="47"/>
        <v>0</v>
      </c>
      <c r="AQ119" s="321">
        <f t="shared" si="47"/>
        <v>0</v>
      </c>
      <c r="AR119" s="321">
        <f t="shared" si="47"/>
        <v>0</v>
      </c>
      <c r="AS119" s="321">
        <f t="shared" si="47"/>
        <v>0</v>
      </c>
      <c r="AT119" s="321">
        <f t="shared" si="47"/>
        <v>0</v>
      </c>
      <c r="AU119" s="321">
        <f t="shared" si="47"/>
        <v>0</v>
      </c>
      <c r="AV119" s="321">
        <f t="shared" si="47"/>
        <v>0</v>
      </c>
      <c r="AW119" s="321">
        <f t="shared" si="47"/>
        <v>0</v>
      </c>
      <c r="AX119" s="321">
        <f t="shared" si="47"/>
        <v>0</v>
      </c>
      <c r="AY119" s="321">
        <f t="shared" si="47"/>
        <v>0</v>
      </c>
      <c r="AZ119" s="321">
        <f t="shared" si="47"/>
        <v>0</v>
      </c>
      <c r="BA119" s="321">
        <f t="shared" si="47"/>
        <v>0</v>
      </c>
      <c r="BB119" s="321">
        <f t="shared" si="47"/>
        <v>0</v>
      </c>
      <c r="BC119" s="321">
        <f t="shared" si="47"/>
        <v>0</v>
      </c>
      <c r="BD119" s="321">
        <f t="shared" si="47"/>
        <v>0</v>
      </c>
      <c r="BE119" s="321">
        <f t="shared" si="47"/>
        <v>0</v>
      </c>
      <c r="BF119" s="321">
        <f t="shared" si="47"/>
        <v>0</v>
      </c>
      <c r="BG119" s="321">
        <f t="shared" si="47"/>
        <v>0</v>
      </c>
      <c r="BH119" s="321">
        <f t="shared" si="47"/>
        <v>0</v>
      </c>
      <c r="BI119" s="321">
        <f t="shared" si="47"/>
        <v>0</v>
      </c>
      <c r="BJ119" s="321">
        <f t="shared" si="47"/>
        <v>0</v>
      </c>
      <c r="BK119" s="321">
        <f t="shared" si="47"/>
        <v>0</v>
      </c>
      <c r="BL119" s="321">
        <f t="shared" si="47"/>
        <v>0</v>
      </c>
      <c r="BM119" s="321">
        <f t="shared" si="47"/>
        <v>0</v>
      </c>
      <c r="BN119" s="321">
        <f t="shared" si="47"/>
        <v>0</v>
      </c>
      <c r="BO119" s="321">
        <f t="shared" si="47"/>
        <v>0</v>
      </c>
      <c r="BP119" s="321">
        <f t="shared" si="47"/>
        <v>0</v>
      </c>
      <c r="BQ119" s="321">
        <f t="shared" si="47"/>
        <v>0</v>
      </c>
      <c r="BR119" s="321">
        <f t="shared" si="47"/>
        <v>0</v>
      </c>
      <c r="BS119" s="321">
        <f t="shared" si="47"/>
        <v>0</v>
      </c>
      <c r="BT119" s="321">
        <f t="shared" si="47"/>
        <v>0</v>
      </c>
      <c r="BU119" s="321">
        <f t="shared" si="47"/>
        <v>0</v>
      </c>
      <c r="BV119" s="321">
        <f t="shared" si="47"/>
        <v>0</v>
      </c>
      <c r="BW119" s="321">
        <f t="shared" si="47"/>
        <v>0</v>
      </c>
      <c r="BX119" s="321">
        <f>BX113+BX114+BX115+BX116+BX117+BX118</f>
        <v>35063059.619399101</v>
      </c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  <c r="CY119" s="222"/>
      <c r="CZ119" s="222"/>
      <c r="DA119" s="222"/>
      <c r="DB119" s="222"/>
      <c r="DC119" s="222"/>
      <c r="DD119" s="222"/>
      <c r="DE119" s="222"/>
      <c r="DF119" s="222"/>
      <c r="DG119" s="222"/>
      <c r="DH119" s="222"/>
      <c r="DI119" s="222"/>
      <c r="DJ119" s="222"/>
      <c r="DK119" s="222"/>
      <c r="DL119" s="222"/>
      <c r="DM119" s="222"/>
      <c r="DN119" s="222"/>
      <c r="DO119" s="222"/>
      <c r="DP119" s="222"/>
      <c r="DQ119" s="222"/>
      <c r="DR119" s="222"/>
      <c r="DS119" s="222"/>
      <c r="DT119" s="222"/>
      <c r="DU119" s="222"/>
      <c r="DV119" s="222"/>
      <c r="DW119" s="222"/>
      <c r="DX119" s="222"/>
      <c r="DY119" s="222"/>
      <c r="DZ119" s="222"/>
      <c r="EA119" s="222"/>
      <c r="EB119" s="222"/>
      <c r="EC119" s="222"/>
      <c r="ED119" s="222"/>
      <c r="EE119" s="222"/>
      <c r="EF119" s="222"/>
      <c r="EG119" s="222"/>
      <c r="EH119" s="222"/>
    </row>
    <row r="120" spans="1:138">
      <c r="A120" s="222"/>
      <c r="B120" s="318"/>
      <c r="C120" s="313" t="s">
        <v>292</v>
      </c>
      <c r="D120" s="322">
        <f>IRR(H119:AF119)*12</f>
        <v>0.3111668459029433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2"/>
      <c r="BN120" s="222"/>
      <c r="BO120" s="222"/>
      <c r="BP120" s="222"/>
      <c r="BQ120" s="222"/>
      <c r="BR120" s="222"/>
      <c r="BS120" s="222"/>
      <c r="BT120" s="222"/>
      <c r="BU120" s="222"/>
      <c r="BV120" s="222"/>
      <c r="BW120" s="222"/>
      <c r="BX120" s="222"/>
      <c r="BY120" s="222"/>
      <c r="BZ120" s="222"/>
      <c r="CA120" s="222"/>
      <c r="CB120" s="222"/>
      <c r="CC120" s="222"/>
      <c r="CD120" s="222"/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2"/>
      <c r="CQ120" s="222"/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2"/>
      <c r="DD120" s="222"/>
      <c r="DE120" s="222"/>
      <c r="DF120" s="222"/>
      <c r="DG120" s="222"/>
      <c r="DH120" s="222"/>
      <c r="DI120" s="222"/>
      <c r="DJ120" s="222"/>
      <c r="DK120" s="222"/>
      <c r="DL120" s="222"/>
      <c r="DM120" s="222"/>
      <c r="DN120" s="222"/>
      <c r="DO120" s="222"/>
      <c r="DP120" s="222"/>
      <c r="DQ120" s="222"/>
      <c r="DR120" s="222"/>
      <c r="DS120" s="222"/>
      <c r="DT120" s="222"/>
      <c r="DU120" s="222"/>
      <c r="DV120" s="222"/>
      <c r="DW120" s="222"/>
      <c r="DX120" s="222"/>
      <c r="DY120" s="222"/>
      <c r="DZ120" s="222"/>
      <c r="EA120" s="222"/>
      <c r="EB120" s="222"/>
      <c r="EC120" s="222"/>
      <c r="ED120" s="222"/>
      <c r="EE120" s="222"/>
      <c r="EF120" s="222"/>
      <c r="EG120" s="222"/>
      <c r="EH120" s="222"/>
    </row>
    <row r="121" spans="1:138">
      <c r="A121" s="222"/>
      <c r="B121" s="318"/>
      <c r="C121" s="323" t="s">
        <v>300</v>
      </c>
      <c r="D121" s="324">
        <f>SUM(BY5:BY6)</f>
        <v>41190002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2"/>
      <c r="BN121" s="222"/>
      <c r="BO121" s="222"/>
      <c r="BP121" s="222"/>
      <c r="BQ121" s="222"/>
      <c r="BR121" s="222"/>
      <c r="BS121" s="222"/>
      <c r="BT121" s="222"/>
      <c r="BU121" s="222"/>
      <c r="BV121" s="222"/>
      <c r="BW121" s="222"/>
      <c r="BX121" s="222"/>
      <c r="BY121" s="222"/>
      <c r="BZ121" s="222"/>
      <c r="CA121" s="222"/>
      <c r="CB121" s="222"/>
      <c r="CC121" s="222"/>
      <c r="CD121" s="222"/>
      <c r="CE121" s="222"/>
      <c r="CF121" s="222"/>
      <c r="CG121" s="222"/>
      <c r="CH121" s="222"/>
      <c r="CI121" s="222"/>
      <c r="CJ121" s="222"/>
      <c r="CK121" s="222"/>
      <c r="CL121" s="222"/>
      <c r="CM121" s="222"/>
      <c r="CN121" s="222"/>
      <c r="CO121" s="222"/>
      <c r="CP121" s="222"/>
      <c r="CQ121" s="222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222"/>
      <c r="DC121" s="222"/>
      <c r="DD121" s="222"/>
      <c r="DE121" s="222"/>
      <c r="DF121" s="222"/>
      <c r="DG121" s="222"/>
      <c r="DH121" s="222"/>
      <c r="DI121" s="222"/>
      <c r="DJ121" s="222"/>
      <c r="DK121" s="222"/>
      <c r="DL121" s="222"/>
      <c r="DM121" s="222"/>
      <c r="DN121" s="222"/>
      <c r="DO121" s="222"/>
      <c r="DP121" s="222"/>
      <c r="DQ121" s="222"/>
      <c r="DR121" s="222"/>
      <c r="DS121" s="222"/>
      <c r="DT121" s="222"/>
      <c r="DU121" s="222"/>
      <c r="DV121" s="222"/>
      <c r="DW121" s="222"/>
      <c r="DX121" s="222"/>
      <c r="DY121" s="222"/>
      <c r="DZ121" s="222"/>
      <c r="EA121" s="222"/>
      <c r="EB121" s="222"/>
      <c r="EC121" s="222"/>
      <c r="ED121" s="222"/>
      <c r="EE121" s="222"/>
      <c r="EF121" s="222"/>
      <c r="EG121" s="222"/>
      <c r="EH121" s="222"/>
    </row>
    <row r="122" spans="1:138">
      <c r="A122" s="222"/>
      <c r="B122" s="318"/>
      <c r="C122" s="323" t="s">
        <v>301</v>
      </c>
      <c r="D122" s="324">
        <f>-SUM(E114:BM114)</f>
        <v>8333333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>
        <f>AF119</f>
        <v>81511393.08224842</v>
      </c>
      <c r="AG122" s="222">
        <f>AF122-AF113-AF115</f>
        <v>35063059.619399101</v>
      </c>
      <c r="AH122" s="222">
        <f>AG122-D122</f>
        <v>26729726.619399101</v>
      </c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2"/>
      <c r="BN122" s="222"/>
      <c r="BO122" s="222"/>
      <c r="BP122" s="222"/>
      <c r="BQ122" s="222"/>
      <c r="BR122" s="222"/>
      <c r="BS122" s="222"/>
      <c r="BT122" s="222"/>
      <c r="BU122" s="222"/>
      <c r="BV122" s="222"/>
      <c r="BW122" s="222"/>
      <c r="BX122" s="222"/>
      <c r="BY122" s="222"/>
      <c r="BZ122" s="222"/>
      <c r="CA122" s="222"/>
      <c r="CB122" s="222"/>
      <c r="CC122" s="222"/>
      <c r="CD122" s="222"/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2"/>
      <c r="CQ122" s="222"/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22"/>
      <c r="DO122" s="222"/>
      <c r="DP122" s="222"/>
      <c r="DQ122" s="222"/>
      <c r="DR122" s="222"/>
      <c r="DS122" s="222"/>
      <c r="DT122" s="222"/>
      <c r="DU122" s="222"/>
      <c r="DV122" s="222"/>
      <c r="DW122" s="325"/>
      <c r="DX122" s="325"/>
      <c r="DY122" s="325"/>
      <c r="DZ122" s="325"/>
      <c r="EA122" s="325"/>
      <c r="EB122" s="325"/>
      <c r="EC122" s="325"/>
      <c r="ED122" s="325"/>
      <c r="EE122" s="325"/>
      <c r="EF122" s="325"/>
      <c r="EG122" s="325"/>
      <c r="EH122" s="325"/>
    </row>
    <row r="123" spans="1:138">
      <c r="A123" s="222"/>
      <c r="B123" s="318"/>
      <c r="C123" s="313" t="s">
        <v>302</v>
      </c>
      <c r="D123" s="326">
        <f>D121+D122</f>
        <v>49523335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605"/>
      <c r="T123" s="588"/>
      <c r="U123" s="222"/>
      <c r="V123" s="222"/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>
        <f>AF122-D123</f>
        <v>31988058.08224842</v>
      </c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2"/>
      <c r="BN123" s="222"/>
      <c r="BO123" s="222"/>
      <c r="BP123" s="222"/>
      <c r="BQ123" s="222"/>
      <c r="BR123" s="222"/>
      <c r="BS123" s="222"/>
      <c r="BT123" s="222"/>
      <c r="BU123" s="222"/>
      <c r="BV123" s="222"/>
      <c r="BW123" s="222"/>
      <c r="BX123" s="222"/>
      <c r="BY123" s="222"/>
      <c r="BZ123" s="222"/>
      <c r="CA123" s="222"/>
      <c r="CB123" s="222"/>
      <c r="CC123" s="222"/>
      <c r="CD123" s="222"/>
      <c r="CE123" s="222"/>
      <c r="CF123" s="222"/>
      <c r="CG123" s="222"/>
      <c r="CH123" s="222"/>
      <c r="CI123" s="222"/>
      <c r="CJ123" s="222"/>
      <c r="CK123" s="222"/>
      <c r="CL123" s="222"/>
      <c r="CM123" s="222"/>
      <c r="CN123" s="222"/>
      <c r="CO123" s="222"/>
      <c r="CP123" s="222"/>
      <c r="CQ123" s="222"/>
      <c r="CR123" s="222"/>
      <c r="CS123" s="222"/>
      <c r="CT123" s="222"/>
      <c r="CU123" s="222"/>
      <c r="CV123" s="222"/>
      <c r="CW123" s="222"/>
      <c r="CX123" s="222"/>
      <c r="CY123" s="222"/>
      <c r="CZ123" s="222"/>
      <c r="DA123" s="222"/>
      <c r="DB123" s="222"/>
      <c r="DC123" s="222"/>
      <c r="DD123" s="222"/>
      <c r="DE123" s="222"/>
      <c r="DF123" s="222"/>
      <c r="DG123" s="222"/>
      <c r="DH123" s="222"/>
      <c r="DI123" s="222"/>
      <c r="DJ123" s="222"/>
      <c r="DK123" s="222"/>
      <c r="DL123" s="222"/>
      <c r="DM123" s="222"/>
      <c r="DN123" s="222"/>
      <c r="DO123" s="222"/>
      <c r="DP123" s="222"/>
      <c r="DQ123" s="222"/>
      <c r="DR123" s="222"/>
      <c r="DS123" s="222"/>
      <c r="DT123" s="222"/>
      <c r="DU123" s="222"/>
      <c r="DV123" s="222"/>
      <c r="DW123" s="325"/>
      <c r="DX123" s="325"/>
      <c r="DY123" s="325"/>
      <c r="DZ123" s="325"/>
      <c r="EA123" s="325"/>
      <c r="EB123" s="325"/>
      <c r="EC123" s="325"/>
      <c r="ED123" s="325"/>
      <c r="EE123" s="325"/>
      <c r="EF123" s="325"/>
      <c r="EG123" s="325"/>
      <c r="EH123" s="325"/>
    </row>
    <row r="124" spans="1:138">
      <c r="A124" s="222"/>
      <c r="B124" s="318"/>
      <c r="C124" s="313" t="s">
        <v>303</v>
      </c>
      <c r="D124" s="326">
        <f>AF115+AF116</f>
        <v>40321391.08224842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605"/>
      <c r="T124" s="588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  <c r="BB124" s="222"/>
      <c r="BC124" s="222"/>
      <c r="BD124" s="222"/>
      <c r="BE124" s="222"/>
      <c r="BF124" s="222"/>
      <c r="BG124" s="222"/>
      <c r="BH124" s="222"/>
      <c r="BI124" s="222"/>
      <c r="BJ124" s="222"/>
      <c r="BK124" s="222"/>
      <c r="BL124" s="222"/>
      <c r="BM124" s="222"/>
      <c r="BN124" s="222"/>
      <c r="BO124" s="222"/>
      <c r="BP124" s="222"/>
      <c r="BQ124" s="222"/>
      <c r="BR124" s="222"/>
      <c r="BS124" s="222"/>
      <c r="BT124" s="222"/>
      <c r="BU124" s="222"/>
      <c r="BV124" s="222"/>
      <c r="BW124" s="222"/>
      <c r="BX124" s="222"/>
      <c r="BY124" s="222"/>
      <c r="BZ124" s="238"/>
      <c r="CA124" s="222"/>
      <c r="CB124" s="222"/>
      <c r="CC124" s="222"/>
      <c r="CD124" s="222"/>
      <c r="CE124" s="222"/>
      <c r="CF124" s="222"/>
      <c r="CG124" s="222"/>
      <c r="CH124" s="222"/>
      <c r="CI124" s="222"/>
      <c r="CJ124" s="222"/>
      <c r="CK124" s="222"/>
      <c r="CL124" s="222"/>
      <c r="CM124" s="222"/>
      <c r="CN124" s="222"/>
      <c r="CO124" s="222"/>
      <c r="CP124" s="222"/>
      <c r="CQ124" s="222"/>
      <c r="CR124" s="222"/>
      <c r="CS124" s="222"/>
      <c r="CT124" s="222"/>
      <c r="CU124" s="222"/>
      <c r="CV124" s="222"/>
      <c r="CW124" s="222"/>
      <c r="CX124" s="222"/>
      <c r="CY124" s="222"/>
      <c r="CZ124" s="222"/>
      <c r="DA124" s="222"/>
      <c r="DB124" s="222"/>
      <c r="DC124" s="222"/>
      <c r="DD124" s="222"/>
      <c r="DE124" s="222"/>
      <c r="DF124" s="222"/>
      <c r="DG124" s="222"/>
      <c r="DH124" s="222"/>
      <c r="DI124" s="222"/>
      <c r="DJ124" s="222"/>
      <c r="DK124" s="222"/>
      <c r="DL124" s="222"/>
      <c r="DM124" s="222"/>
      <c r="DN124" s="222"/>
      <c r="DO124" s="222"/>
      <c r="DP124" s="222"/>
      <c r="DQ124" s="222"/>
      <c r="DR124" s="222"/>
      <c r="DS124" s="222"/>
      <c r="DT124" s="222"/>
      <c r="DU124" s="222"/>
      <c r="DV124" s="222"/>
      <c r="DW124" s="325"/>
      <c r="DX124" s="325"/>
      <c r="DY124" s="325"/>
      <c r="DZ124" s="325"/>
      <c r="EA124" s="325"/>
      <c r="EB124" s="325"/>
      <c r="EC124" s="325"/>
      <c r="ED124" s="325"/>
      <c r="EE124" s="325"/>
      <c r="EF124" s="325"/>
      <c r="EG124" s="325"/>
      <c r="EH124" s="325"/>
    </row>
    <row r="125" spans="1:138">
      <c r="A125" s="222"/>
      <c r="B125" s="318"/>
      <c r="C125" s="313" t="s">
        <v>147</v>
      </c>
      <c r="D125" s="322">
        <f>(D124-D122)/D123</f>
        <v>0.64591890029717136</v>
      </c>
      <c r="E125" s="222"/>
      <c r="F125" s="238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>
        <f>D123</f>
        <v>49523335</v>
      </c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325"/>
      <c r="DX125" s="325"/>
      <c r="DY125" s="325"/>
      <c r="DZ125" s="325"/>
      <c r="EA125" s="325"/>
      <c r="EB125" s="325"/>
      <c r="EC125" s="325"/>
      <c r="ED125" s="325"/>
      <c r="EE125" s="325"/>
      <c r="EF125" s="325"/>
      <c r="EG125" s="325"/>
      <c r="EH125" s="325"/>
    </row>
    <row r="126" spans="1:138">
      <c r="A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38"/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  <c r="BB126" s="222"/>
      <c r="BC126" s="222"/>
      <c r="BD126" s="222"/>
      <c r="BE126" s="222"/>
      <c r="BF126" s="222"/>
      <c r="BG126" s="222"/>
      <c r="BH126" s="222"/>
      <c r="BI126" s="222"/>
      <c r="BJ126" s="222"/>
      <c r="BK126" s="222"/>
      <c r="BL126" s="222"/>
      <c r="BM126" s="222"/>
      <c r="BN126" s="222"/>
      <c r="BO126" s="222"/>
      <c r="BP126" s="222"/>
      <c r="BQ126" s="222"/>
      <c r="BR126" s="222"/>
      <c r="BS126" s="222"/>
      <c r="BT126" s="222"/>
      <c r="BU126" s="222"/>
      <c r="BV126" s="222"/>
      <c r="BW126" s="222"/>
      <c r="BX126" s="222"/>
      <c r="BY126" s="222"/>
      <c r="BZ126" s="222"/>
      <c r="CA126" s="222"/>
      <c r="CB126" s="222"/>
      <c r="CC126" s="222"/>
      <c r="CD126" s="222"/>
      <c r="CE126" s="222"/>
      <c r="CF126" s="222"/>
      <c r="CG126" s="222"/>
      <c r="CH126" s="222"/>
      <c r="CI126" s="222"/>
      <c r="CJ126" s="222"/>
      <c r="CK126" s="222"/>
      <c r="CL126" s="222"/>
      <c r="CM126" s="222"/>
      <c r="CN126" s="222"/>
      <c r="CO126" s="222"/>
      <c r="CP126" s="222"/>
      <c r="CQ126" s="222"/>
      <c r="CR126" s="222"/>
      <c r="CS126" s="222"/>
      <c r="CT126" s="222"/>
      <c r="CU126" s="222"/>
      <c r="CV126" s="222"/>
      <c r="CW126" s="222"/>
      <c r="CX126" s="222"/>
      <c r="CY126" s="222"/>
      <c r="CZ126" s="222"/>
      <c r="DA126" s="222"/>
      <c r="DB126" s="222"/>
      <c r="DC126" s="222"/>
      <c r="DD126" s="222"/>
      <c r="DE126" s="222"/>
      <c r="DF126" s="222"/>
      <c r="DG126" s="222"/>
      <c r="DH126" s="222"/>
      <c r="DI126" s="222"/>
      <c r="DJ126" s="222"/>
      <c r="DK126" s="222"/>
      <c r="DL126" s="222"/>
      <c r="DM126" s="222"/>
      <c r="DN126" s="222"/>
      <c r="DO126" s="222"/>
      <c r="DP126" s="222"/>
      <c r="DQ126" s="222"/>
      <c r="DR126" s="222"/>
      <c r="DS126" s="222"/>
      <c r="DT126" s="222"/>
      <c r="DU126" s="222"/>
      <c r="DV126" s="222"/>
      <c r="DW126" s="325"/>
      <c r="DX126" s="325"/>
      <c r="DY126" s="325"/>
      <c r="DZ126" s="325"/>
      <c r="EA126" s="325"/>
      <c r="EB126" s="325"/>
      <c r="EC126" s="325"/>
      <c r="ED126" s="325"/>
      <c r="EE126" s="325"/>
      <c r="EF126" s="325"/>
      <c r="EG126" s="325"/>
      <c r="EH126" s="325"/>
    </row>
    <row r="127" spans="1:138">
      <c r="A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  <c r="BB127" s="222"/>
      <c r="BC127" s="222"/>
      <c r="BD127" s="222"/>
      <c r="BE127" s="222"/>
      <c r="BF127" s="222"/>
      <c r="BG127" s="222"/>
      <c r="BH127" s="222"/>
      <c r="BI127" s="222"/>
      <c r="BJ127" s="222"/>
      <c r="BK127" s="222"/>
      <c r="BL127" s="222"/>
      <c r="BM127" s="222"/>
      <c r="BN127" s="222"/>
      <c r="BO127" s="222"/>
      <c r="BP127" s="222"/>
      <c r="BQ127" s="222"/>
      <c r="BR127" s="222"/>
      <c r="BS127" s="222"/>
      <c r="BT127" s="222"/>
      <c r="BU127" s="222"/>
      <c r="BV127" s="222"/>
      <c r="BW127" s="222"/>
      <c r="BX127" s="222"/>
      <c r="BY127" s="222"/>
      <c r="BZ127" s="222"/>
      <c r="CA127" s="222"/>
      <c r="CB127" s="222"/>
      <c r="CC127" s="222"/>
      <c r="CD127" s="222"/>
      <c r="CE127" s="222"/>
      <c r="CF127" s="222"/>
      <c r="CG127" s="222"/>
      <c r="CH127" s="222"/>
      <c r="CI127" s="222"/>
      <c r="CJ127" s="222"/>
      <c r="CK127" s="222"/>
      <c r="CL127" s="222"/>
      <c r="CM127" s="222"/>
      <c r="CN127" s="222"/>
      <c r="CO127" s="222"/>
      <c r="CP127" s="222"/>
      <c r="CQ127" s="222"/>
      <c r="CR127" s="222"/>
      <c r="CS127" s="222"/>
      <c r="CT127" s="222"/>
      <c r="CU127" s="222"/>
      <c r="CV127" s="222"/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2"/>
      <c r="DI127" s="222"/>
      <c r="DJ127" s="222"/>
      <c r="DK127" s="222"/>
      <c r="DL127" s="222"/>
      <c r="DM127" s="222"/>
      <c r="DN127" s="222"/>
      <c r="DO127" s="222"/>
      <c r="DP127" s="222"/>
      <c r="DQ127" s="222"/>
      <c r="DR127" s="222"/>
      <c r="DS127" s="222"/>
      <c r="DT127" s="222"/>
      <c r="DU127" s="222"/>
      <c r="DV127" s="222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</row>
    <row r="128" spans="1:138" hidden="1">
      <c r="A128" s="222"/>
      <c r="E128" s="222"/>
      <c r="F128" s="222"/>
      <c r="G128" s="222"/>
      <c r="H128" s="222">
        <f t="shared" ref="H128:Z128" si="48">-SUM(H5:H6)</f>
        <v>-16365002</v>
      </c>
      <c r="I128" s="222">
        <f t="shared" si="48"/>
        <v>0</v>
      </c>
      <c r="J128" s="222">
        <f t="shared" si="48"/>
        <v>0</v>
      </c>
      <c r="K128" s="222">
        <f t="shared" si="48"/>
        <v>-885000</v>
      </c>
      <c r="L128" s="222">
        <f t="shared" si="48"/>
        <v>-1940000</v>
      </c>
      <c r="M128" s="222">
        <f t="shared" si="48"/>
        <v>-4260000</v>
      </c>
      <c r="N128" s="222">
        <f t="shared" si="48"/>
        <v>0</v>
      </c>
      <c r="O128" s="222">
        <f t="shared" si="48"/>
        <v>-320000</v>
      </c>
      <c r="P128" s="222">
        <f t="shared" si="48"/>
        <v>-320000</v>
      </c>
      <c r="Q128" s="222">
        <f t="shared" si="48"/>
        <v>0</v>
      </c>
      <c r="R128" s="222">
        <f t="shared" si="48"/>
        <v>-1500000</v>
      </c>
      <c r="S128" s="222">
        <f t="shared" si="48"/>
        <v>-2300000</v>
      </c>
      <c r="T128" s="222">
        <f t="shared" si="48"/>
        <v>-7300000</v>
      </c>
      <c r="U128" s="222">
        <f t="shared" si="48"/>
        <v>-5000000</v>
      </c>
      <c r="V128" s="222">
        <f t="shared" si="48"/>
        <v>-1000000</v>
      </c>
      <c r="W128" s="222">
        <f t="shared" si="48"/>
        <v>0</v>
      </c>
      <c r="X128" s="222">
        <f t="shared" si="48"/>
        <v>0</v>
      </c>
      <c r="Y128" s="222">
        <f t="shared" si="48"/>
        <v>0</v>
      </c>
      <c r="Z128" s="222">
        <f t="shared" si="48"/>
        <v>0</v>
      </c>
      <c r="AA128" s="222">
        <f>-SUM(H128:Z128)+AA101-AA56-AA57-5000000</f>
        <v>45163025.257261023</v>
      </c>
      <c r="AB128" s="222">
        <f>AA128+SUM(H128:Z128)</f>
        <v>3973023.2572610229</v>
      </c>
      <c r="AC128" s="238">
        <f>AB128/-SUM(H128:Z128)</f>
        <v>9.6456010302233608E-2</v>
      </c>
      <c r="AD128" s="222"/>
      <c r="AE128" s="222"/>
      <c r="AF128" s="222"/>
      <c r="AG128" s="222"/>
      <c r="AH128" s="222"/>
      <c r="AI128" s="222"/>
      <c r="AJ128" s="222"/>
      <c r="AK128" s="222"/>
      <c r="AL128" s="222"/>
      <c r="AM128" s="222"/>
      <c r="AN128" s="222"/>
      <c r="AO128" s="238">
        <f>AC128/20*12</f>
        <v>5.7873606181340159E-2</v>
      </c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22"/>
      <c r="BC128" s="222"/>
      <c r="BD128" s="222"/>
      <c r="BE128" s="222"/>
      <c r="BF128" s="222"/>
      <c r="BG128" s="222"/>
      <c r="BH128" s="222"/>
      <c r="BI128" s="222"/>
      <c r="BJ128" s="222"/>
      <c r="BK128" s="222"/>
      <c r="BL128" s="222"/>
      <c r="BM128" s="222"/>
      <c r="BN128" s="222"/>
      <c r="BO128" s="222"/>
      <c r="BP128" s="222"/>
      <c r="BQ128" s="222"/>
      <c r="BR128" s="222"/>
      <c r="BS128" s="222"/>
      <c r="BT128" s="222"/>
      <c r="BU128" s="222"/>
      <c r="BV128" s="222"/>
      <c r="BW128" s="222"/>
      <c r="BX128" s="222"/>
      <c r="BY128" s="222"/>
      <c r="BZ128" s="222"/>
      <c r="CA128" s="222"/>
      <c r="CB128" s="222"/>
      <c r="CC128" s="222"/>
      <c r="CD128" s="222"/>
      <c r="CE128" s="222"/>
      <c r="CF128" s="222"/>
      <c r="CG128" s="222"/>
      <c r="CH128" s="222"/>
      <c r="CI128" s="222"/>
      <c r="CJ128" s="222"/>
      <c r="CK128" s="222"/>
      <c r="CL128" s="222"/>
      <c r="CM128" s="222"/>
      <c r="CN128" s="222"/>
      <c r="CO128" s="222"/>
      <c r="CP128" s="222"/>
      <c r="CQ128" s="222"/>
      <c r="CR128" s="222"/>
      <c r="CS128" s="222"/>
      <c r="CT128" s="222"/>
      <c r="CU128" s="222"/>
      <c r="CV128" s="222"/>
      <c r="CW128" s="222"/>
      <c r="CX128" s="222"/>
      <c r="CY128" s="222"/>
      <c r="CZ128" s="222"/>
      <c r="DA128" s="222"/>
      <c r="DB128" s="222"/>
      <c r="DC128" s="222"/>
      <c r="DD128" s="222"/>
      <c r="DE128" s="222"/>
      <c r="DF128" s="222"/>
      <c r="DG128" s="222"/>
      <c r="DH128" s="222"/>
      <c r="DI128" s="222"/>
      <c r="DJ128" s="222"/>
      <c r="DK128" s="222"/>
      <c r="DL128" s="222"/>
      <c r="DM128" s="222"/>
      <c r="DN128" s="222"/>
      <c r="DO128" s="222"/>
      <c r="DP128" s="222"/>
      <c r="DQ128" s="222"/>
      <c r="DR128" s="222"/>
      <c r="DS128" s="222"/>
      <c r="DT128" s="222"/>
      <c r="DU128" s="222"/>
      <c r="DV128" s="222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</row>
    <row r="129" spans="1:138" hidden="1">
      <c r="A129" s="222"/>
      <c r="E129" s="222"/>
      <c r="F129" s="222"/>
      <c r="G129" s="238">
        <f>IRR(H128:AA128)*12</f>
        <v>8.4022166919983654E-2</v>
      </c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2"/>
      <c r="AQ129" s="222"/>
      <c r="AR129" s="222"/>
      <c r="AS129" s="222"/>
      <c r="AT129" s="222"/>
      <c r="AU129" s="222"/>
      <c r="AV129" s="222"/>
      <c r="AW129" s="222"/>
      <c r="AX129" s="222"/>
      <c r="AY129" s="222"/>
      <c r="AZ129" s="222"/>
      <c r="BA129" s="222"/>
      <c r="BB129" s="222"/>
      <c r="BC129" s="222"/>
      <c r="BD129" s="222"/>
      <c r="BE129" s="222"/>
      <c r="BF129" s="222"/>
      <c r="BG129" s="222"/>
      <c r="BH129" s="222"/>
      <c r="BI129" s="222"/>
      <c r="BJ129" s="222"/>
      <c r="BK129" s="222"/>
      <c r="BL129" s="222"/>
      <c r="BM129" s="222"/>
      <c r="BN129" s="222"/>
      <c r="BO129" s="222"/>
      <c r="BP129" s="222"/>
      <c r="BQ129" s="222"/>
      <c r="BR129" s="222"/>
      <c r="BS129" s="222"/>
      <c r="BT129" s="222"/>
      <c r="BU129" s="222"/>
      <c r="BV129" s="222"/>
      <c r="BW129" s="222"/>
      <c r="BX129" s="222"/>
      <c r="BY129" s="222"/>
      <c r="BZ129" s="222"/>
      <c r="CA129" s="222"/>
      <c r="CB129" s="222"/>
      <c r="CC129" s="222"/>
      <c r="CD129" s="222"/>
      <c r="CE129" s="222"/>
      <c r="CF129" s="222"/>
      <c r="CG129" s="222"/>
      <c r="CH129" s="222"/>
      <c r="CI129" s="222"/>
      <c r="CJ129" s="222"/>
      <c r="CK129" s="222"/>
      <c r="CL129" s="222"/>
      <c r="CM129" s="222"/>
      <c r="CN129" s="222"/>
      <c r="CO129" s="222"/>
      <c r="CP129" s="222"/>
      <c r="CQ129" s="222"/>
      <c r="CR129" s="222"/>
      <c r="CS129" s="222"/>
      <c r="CT129" s="222"/>
      <c r="CU129" s="222"/>
      <c r="CV129" s="222"/>
      <c r="CW129" s="222"/>
      <c r="CX129" s="222"/>
      <c r="CY129" s="222"/>
      <c r="CZ129" s="222"/>
      <c r="DA129" s="222"/>
      <c r="DB129" s="222"/>
      <c r="DC129" s="222"/>
      <c r="DD129" s="222"/>
      <c r="DE129" s="222"/>
      <c r="DF129" s="222"/>
      <c r="DG129" s="222"/>
      <c r="DH129" s="222"/>
      <c r="DI129" s="222"/>
      <c r="DJ129" s="222"/>
      <c r="DK129" s="222"/>
      <c r="DL129" s="222"/>
      <c r="DM129" s="222"/>
      <c r="DN129" s="222"/>
      <c r="DO129" s="222"/>
      <c r="DP129" s="222"/>
      <c r="DQ129" s="222"/>
      <c r="DR129" s="222"/>
      <c r="DS129" s="222"/>
      <c r="DT129" s="222"/>
      <c r="DU129" s="222"/>
      <c r="DV129" s="222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</row>
    <row r="130" spans="1:138" hidden="1">
      <c r="A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222"/>
      <c r="AF130" s="222"/>
      <c r="AG130" s="222"/>
      <c r="AH130" s="222"/>
      <c r="AI130" s="222"/>
      <c r="AJ130" s="222"/>
      <c r="AK130" s="222"/>
      <c r="AL130" s="222"/>
      <c r="AM130" s="222"/>
      <c r="AN130" s="222"/>
      <c r="AO130" s="222"/>
      <c r="AP130" s="222"/>
      <c r="AQ130" s="222"/>
      <c r="AR130" s="222"/>
      <c r="AS130" s="222"/>
      <c r="AT130" s="222"/>
      <c r="AU130" s="222"/>
      <c r="AV130" s="222"/>
      <c r="AW130" s="222"/>
      <c r="AX130" s="222"/>
      <c r="AY130" s="222"/>
      <c r="AZ130" s="222"/>
      <c r="BA130" s="222"/>
      <c r="BB130" s="222"/>
      <c r="BC130" s="222"/>
      <c r="BD130" s="222"/>
      <c r="BE130" s="222"/>
      <c r="BF130" s="222"/>
      <c r="BG130" s="222"/>
      <c r="BH130" s="222"/>
      <c r="BI130" s="222"/>
      <c r="BJ130" s="222"/>
      <c r="BK130" s="222"/>
      <c r="BL130" s="222"/>
      <c r="BM130" s="222"/>
      <c r="BN130" s="222"/>
      <c r="BO130" s="222"/>
      <c r="BP130" s="222"/>
      <c r="BQ130" s="222"/>
      <c r="BR130" s="222"/>
      <c r="BS130" s="222"/>
      <c r="BT130" s="222"/>
      <c r="BU130" s="222"/>
      <c r="BV130" s="222"/>
      <c r="BW130" s="222"/>
      <c r="BX130" s="222"/>
      <c r="BY130" s="222"/>
      <c r="BZ130" s="222"/>
      <c r="CA130" s="222"/>
      <c r="CB130" s="222"/>
      <c r="CC130" s="222"/>
      <c r="CD130" s="222"/>
      <c r="CE130" s="222"/>
      <c r="CF130" s="222"/>
      <c r="CG130" s="222"/>
      <c r="CH130" s="222"/>
      <c r="CI130" s="222"/>
      <c r="CJ130" s="222"/>
      <c r="CK130" s="222"/>
      <c r="CL130" s="222"/>
      <c r="CM130" s="222"/>
      <c r="CN130" s="222"/>
      <c r="CO130" s="222"/>
      <c r="CP130" s="222"/>
      <c r="CQ130" s="222"/>
      <c r="CR130" s="222"/>
      <c r="CS130" s="222"/>
      <c r="CT130" s="222"/>
      <c r="CU130" s="222"/>
      <c r="CV130" s="222"/>
      <c r="CW130" s="222"/>
      <c r="CX130" s="222"/>
      <c r="CY130" s="222"/>
      <c r="CZ130" s="222"/>
      <c r="DA130" s="222"/>
      <c r="DB130" s="222"/>
      <c r="DC130" s="222"/>
      <c r="DD130" s="222"/>
      <c r="DE130" s="222"/>
      <c r="DF130" s="222"/>
      <c r="DG130" s="222"/>
      <c r="DH130" s="222"/>
      <c r="DI130" s="222"/>
      <c r="DJ130" s="222"/>
      <c r="DK130" s="222"/>
      <c r="DL130" s="222"/>
      <c r="DM130" s="222"/>
      <c r="DN130" s="222"/>
      <c r="DO130" s="222"/>
      <c r="DP130" s="222"/>
      <c r="DQ130" s="222"/>
      <c r="DR130" s="222"/>
      <c r="DS130" s="222"/>
      <c r="DT130" s="222"/>
      <c r="DU130" s="222"/>
      <c r="DV130" s="222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</row>
    <row r="131" spans="1:138" hidden="1">
      <c r="A131" s="222"/>
      <c r="B131" s="318"/>
      <c r="C131" s="310" t="s">
        <v>304</v>
      </c>
      <c r="D131" s="311"/>
      <c r="E131" s="311">
        <f t="shared" ref="E131:BX131" si="49">-(E6+E92)</f>
        <v>0</v>
      </c>
      <c r="F131" s="311">
        <f t="shared" si="49"/>
        <v>0</v>
      </c>
      <c r="G131" s="311">
        <f t="shared" si="49"/>
        <v>0</v>
      </c>
      <c r="H131" s="311">
        <f t="shared" si="49"/>
        <v>0</v>
      </c>
      <c r="I131" s="311">
        <f t="shared" si="49"/>
        <v>0</v>
      </c>
      <c r="J131" s="311">
        <f t="shared" si="49"/>
        <v>0</v>
      </c>
      <c r="K131" s="311">
        <f t="shared" si="49"/>
        <v>-885000</v>
      </c>
      <c r="L131" s="311">
        <f t="shared" si="49"/>
        <v>-1940000</v>
      </c>
      <c r="M131" s="311">
        <f t="shared" si="49"/>
        <v>-4260000</v>
      </c>
      <c r="N131" s="311">
        <f t="shared" si="49"/>
        <v>0</v>
      </c>
      <c r="O131" s="311">
        <f t="shared" si="49"/>
        <v>-320000</v>
      </c>
      <c r="P131" s="311">
        <f t="shared" si="49"/>
        <v>-320000</v>
      </c>
      <c r="Q131" s="311">
        <f t="shared" si="49"/>
        <v>0</v>
      </c>
      <c r="R131" s="311">
        <f t="shared" si="49"/>
        <v>-1500000</v>
      </c>
      <c r="S131" s="311">
        <f t="shared" si="49"/>
        <v>-2300000</v>
      </c>
      <c r="T131" s="311">
        <f t="shared" si="49"/>
        <v>-7300000</v>
      </c>
      <c r="U131" s="311">
        <f t="shared" si="49"/>
        <v>-5000000</v>
      </c>
      <c r="V131" s="311">
        <f t="shared" si="49"/>
        <v>-1000000</v>
      </c>
      <c r="W131" s="311">
        <f t="shared" si="49"/>
        <v>0</v>
      </c>
      <c r="X131" s="311">
        <f t="shared" si="49"/>
        <v>0</v>
      </c>
      <c r="Y131" s="311">
        <f t="shared" si="49"/>
        <v>0</v>
      </c>
      <c r="Z131" s="311">
        <f t="shared" si="49"/>
        <v>0</v>
      </c>
      <c r="AA131" s="311">
        <f t="shared" si="49"/>
        <v>0</v>
      </c>
      <c r="AB131" s="311">
        <f t="shared" si="49"/>
        <v>0</v>
      </c>
      <c r="AC131" s="311">
        <f t="shared" si="49"/>
        <v>0</v>
      </c>
      <c r="AD131" s="311">
        <f t="shared" si="49"/>
        <v>0</v>
      </c>
      <c r="AE131" s="311">
        <f t="shared" si="49"/>
        <v>0</v>
      </c>
      <c r="AF131" s="311">
        <f t="shared" si="49"/>
        <v>24825000</v>
      </c>
      <c r="AG131" s="311">
        <f t="shared" si="49"/>
        <v>0</v>
      </c>
      <c r="AH131" s="311">
        <f t="shared" si="49"/>
        <v>0</v>
      </c>
      <c r="AI131" s="311">
        <f t="shared" si="49"/>
        <v>0</v>
      </c>
      <c r="AJ131" s="311">
        <f t="shared" si="49"/>
        <v>0</v>
      </c>
      <c r="AK131" s="311">
        <f t="shared" si="49"/>
        <v>0</v>
      </c>
      <c r="AL131" s="311">
        <f t="shared" si="49"/>
        <v>0</v>
      </c>
      <c r="AM131" s="311">
        <f t="shared" si="49"/>
        <v>0</v>
      </c>
      <c r="AN131" s="311">
        <f t="shared" si="49"/>
        <v>0</v>
      </c>
      <c r="AO131" s="311">
        <f t="shared" si="49"/>
        <v>0</v>
      </c>
      <c r="AP131" s="311">
        <f t="shared" si="49"/>
        <v>0</v>
      </c>
      <c r="AQ131" s="311">
        <f t="shared" si="49"/>
        <v>0</v>
      </c>
      <c r="AR131" s="311">
        <f t="shared" si="49"/>
        <v>0</v>
      </c>
      <c r="AS131" s="311">
        <f t="shared" si="49"/>
        <v>0</v>
      </c>
      <c r="AT131" s="311">
        <f t="shared" si="49"/>
        <v>0</v>
      </c>
      <c r="AU131" s="311">
        <f t="shared" si="49"/>
        <v>0</v>
      </c>
      <c r="AV131" s="311">
        <f t="shared" si="49"/>
        <v>0</v>
      </c>
      <c r="AW131" s="311">
        <f t="shared" si="49"/>
        <v>0</v>
      </c>
      <c r="AX131" s="311">
        <f t="shared" si="49"/>
        <v>0</v>
      </c>
      <c r="AY131" s="311">
        <f t="shared" si="49"/>
        <v>0</v>
      </c>
      <c r="AZ131" s="311">
        <f t="shared" si="49"/>
        <v>0</v>
      </c>
      <c r="BA131" s="311">
        <f t="shared" si="49"/>
        <v>0</v>
      </c>
      <c r="BB131" s="311">
        <f t="shared" si="49"/>
        <v>0</v>
      </c>
      <c r="BC131" s="311">
        <f t="shared" si="49"/>
        <v>0</v>
      </c>
      <c r="BD131" s="311">
        <f t="shared" si="49"/>
        <v>0</v>
      </c>
      <c r="BE131" s="311">
        <f t="shared" si="49"/>
        <v>0</v>
      </c>
      <c r="BF131" s="311">
        <f t="shared" si="49"/>
        <v>0</v>
      </c>
      <c r="BG131" s="311">
        <f t="shared" si="49"/>
        <v>0</v>
      </c>
      <c r="BH131" s="311">
        <f t="shared" si="49"/>
        <v>0</v>
      </c>
      <c r="BI131" s="311">
        <f t="shared" si="49"/>
        <v>0</v>
      </c>
      <c r="BJ131" s="311">
        <f t="shared" si="49"/>
        <v>0</v>
      </c>
      <c r="BK131" s="311">
        <f t="shared" si="49"/>
        <v>0</v>
      </c>
      <c r="BL131" s="311">
        <f t="shared" si="49"/>
        <v>0</v>
      </c>
      <c r="BM131" s="311">
        <f t="shared" si="49"/>
        <v>0</v>
      </c>
      <c r="BN131" s="311">
        <f t="shared" si="49"/>
        <v>0</v>
      </c>
      <c r="BO131" s="311">
        <f t="shared" si="49"/>
        <v>0</v>
      </c>
      <c r="BP131" s="311">
        <f t="shared" si="49"/>
        <v>0</v>
      </c>
      <c r="BQ131" s="311">
        <f t="shared" si="49"/>
        <v>0</v>
      </c>
      <c r="BR131" s="311">
        <f t="shared" si="49"/>
        <v>0</v>
      </c>
      <c r="BS131" s="311">
        <f t="shared" si="49"/>
        <v>0</v>
      </c>
      <c r="BT131" s="311">
        <f t="shared" si="49"/>
        <v>0</v>
      </c>
      <c r="BU131" s="311">
        <f t="shared" si="49"/>
        <v>0</v>
      </c>
      <c r="BV131" s="311">
        <f t="shared" si="49"/>
        <v>0</v>
      </c>
      <c r="BW131" s="311">
        <f t="shared" si="49"/>
        <v>0</v>
      </c>
      <c r="BX131" s="311">
        <f t="shared" si="49"/>
        <v>0</v>
      </c>
      <c r="BY131" s="222"/>
      <c r="BZ131" s="222"/>
      <c r="CA131" s="222"/>
      <c r="CB131" s="222"/>
      <c r="CC131" s="222"/>
      <c r="CD131" s="222"/>
      <c r="CE131" s="222"/>
      <c r="CF131" s="222"/>
      <c r="CG131" s="222"/>
      <c r="CH131" s="222"/>
      <c r="CI131" s="222"/>
      <c r="CJ131" s="222"/>
      <c r="CK131" s="222"/>
      <c r="CL131" s="222"/>
      <c r="CM131" s="222"/>
      <c r="CN131" s="222"/>
      <c r="CO131" s="222"/>
      <c r="CP131" s="222"/>
      <c r="CQ131" s="222"/>
      <c r="CR131" s="222"/>
      <c r="CS131" s="222"/>
      <c r="CT131" s="222"/>
      <c r="CU131" s="222"/>
      <c r="CV131" s="222"/>
      <c r="CW131" s="222"/>
      <c r="CX131" s="222"/>
      <c r="CY131" s="222"/>
      <c r="CZ131" s="222"/>
      <c r="DA131" s="222"/>
      <c r="DB131" s="222"/>
      <c r="DC131" s="222"/>
      <c r="DD131" s="222"/>
      <c r="DE131" s="222"/>
      <c r="DF131" s="222"/>
      <c r="DG131" s="222"/>
      <c r="DH131" s="222"/>
      <c r="DI131" s="222"/>
      <c r="DJ131" s="222"/>
      <c r="DK131" s="222"/>
      <c r="DL131" s="222"/>
      <c r="DM131" s="222"/>
      <c r="DN131" s="222"/>
      <c r="DO131" s="222"/>
      <c r="DP131" s="222"/>
      <c r="DQ131" s="222"/>
      <c r="DR131" s="222"/>
      <c r="DS131" s="222"/>
      <c r="DT131" s="222"/>
      <c r="DU131" s="222"/>
      <c r="DV131" s="222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</row>
    <row r="132" spans="1:138" hidden="1">
      <c r="A132" s="222"/>
      <c r="B132" s="318"/>
      <c r="C132" s="310" t="s">
        <v>305</v>
      </c>
      <c r="D132" s="319"/>
      <c r="E132" s="311"/>
      <c r="F132" s="311"/>
      <c r="G132" s="311"/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  <c r="T132" s="311"/>
      <c r="U132" s="311"/>
      <c r="V132" s="311"/>
      <c r="W132" s="311"/>
      <c r="X132" s="311"/>
      <c r="Y132" s="311"/>
      <c r="Z132" s="311"/>
      <c r="AA132" s="311"/>
      <c r="AB132" s="311"/>
      <c r="AC132" s="311"/>
      <c r="AD132" s="311"/>
      <c r="AE132" s="311"/>
      <c r="AF132" s="311"/>
      <c r="AG132" s="311"/>
      <c r="AH132" s="311"/>
      <c r="AI132" s="311"/>
      <c r="AJ132" s="311"/>
      <c r="AK132" s="311"/>
      <c r="AL132" s="311"/>
      <c r="AM132" s="311"/>
      <c r="AN132" s="311"/>
      <c r="AO132" s="311"/>
      <c r="AP132" s="311"/>
      <c r="AQ132" s="311"/>
      <c r="AR132" s="311"/>
      <c r="AS132" s="311"/>
      <c r="AT132" s="311"/>
      <c r="AU132" s="311"/>
      <c r="AV132" s="311"/>
      <c r="AW132" s="311"/>
      <c r="AX132" s="311"/>
      <c r="AY132" s="311"/>
      <c r="AZ132" s="311"/>
      <c r="BA132" s="311"/>
      <c r="BB132" s="311"/>
      <c r="BC132" s="311"/>
      <c r="BD132" s="311"/>
      <c r="BE132" s="311"/>
      <c r="BF132" s="311"/>
      <c r="BG132" s="311"/>
      <c r="BH132" s="311"/>
      <c r="BI132" s="311"/>
      <c r="BJ132" s="311"/>
      <c r="BK132" s="311"/>
      <c r="BL132" s="311"/>
      <c r="BM132" s="311"/>
      <c r="BN132" s="311"/>
      <c r="BO132" s="311"/>
      <c r="BP132" s="311"/>
      <c r="BQ132" s="311"/>
      <c r="BR132" s="311"/>
      <c r="BS132" s="311"/>
      <c r="BT132" s="311"/>
      <c r="BU132" s="311"/>
      <c r="BV132" s="311"/>
      <c r="BW132" s="311"/>
      <c r="BX132" s="311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2"/>
      <c r="DL132" s="222"/>
      <c r="DM132" s="222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</row>
    <row r="133" spans="1:138" hidden="1">
      <c r="A133" s="222"/>
      <c r="B133" s="318"/>
      <c r="C133" s="310" t="s">
        <v>296</v>
      </c>
      <c r="D133" s="319"/>
      <c r="E133" s="311">
        <f t="shared" ref="E133:BX133" si="50">-E57</f>
        <v>0</v>
      </c>
      <c r="F133" s="311">
        <f t="shared" si="50"/>
        <v>0</v>
      </c>
      <c r="G133" s="311">
        <f t="shared" si="50"/>
        <v>0</v>
      </c>
      <c r="H133" s="311">
        <f t="shared" si="50"/>
        <v>0</v>
      </c>
      <c r="I133" s="311">
        <f t="shared" si="50"/>
        <v>0</v>
      </c>
      <c r="J133" s="311">
        <f t="shared" si="50"/>
        <v>0</v>
      </c>
      <c r="K133" s="311">
        <f t="shared" si="50"/>
        <v>0</v>
      </c>
      <c r="L133" s="311">
        <f t="shared" si="50"/>
        <v>0</v>
      </c>
      <c r="M133" s="311">
        <f t="shared" si="50"/>
        <v>0</v>
      </c>
      <c r="N133" s="311">
        <f t="shared" si="50"/>
        <v>0</v>
      </c>
      <c r="O133" s="311">
        <f t="shared" si="50"/>
        <v>0</v>
      </c>
      <c r="P133" s="311">
        <f t="shared" si="50"/>
        <v>0</v>
      </c>
      <c r="Q133" s="311">
        <f t="shared" si="50"/>
        <v>0</v>
      </c>
      <c r="R133" s="311">
        <f t="shared" si="50"/>
        <v>0</v>
      </c>
      <c r="S133" s="311">
        <f t="shared" si="50"/>
        <v>0</v>
      </c>
      <c r="T133" s="311">
        <f t="shared" si="50"/>
        <v>0</v>
      </c>
      <c r="U133" s="311">
        <f t="shared" si="50"/>
        <v>0</v>
      </c>
      <c r="V133" s="311">
        <f t="shared" si="50"/>
        <v>0</v>
      </c>
      <c r="W133" s="311">
        <f t="shared" si="50"/>
        <v>0</v>
      </c>
      <c r="X133" s="311">
        <f t="shared" si="50"/>
        <v>0</v>
      </c>
      <c r="Y133" s="311">
        <f t="shared" si="50"/>
        <v>0</v>
      </c>
      <c r="Z133" s="311">
        <f t="shared" si="50"/>
        <v>0</v>
      </c>
      <c r="AA133" s="311">
        <f t="shared" si="50"/>
        <v>0</v>
      </c>
      <c r="AB133" s="311">
        <f t="shared" si="50"/>
        <v>0</v>
      </c>
      <c r="AC133" s="311">
        <f t="shared" si="50"/>
        <v>0</v>
      </c>
      <c r="AD133" s="311">
        <f t="shared" si="50"/>
        <v>0</v>
      </c>
      <c r="AE133" s="311">
        <f t="shared" si="50"/>
        <v>0</v>
      </c>
      <c r="AF133" s="311">
        <f t="shared" si="50"/>
        <v>2535912.5</v>
      </c>
      <c r="AG133" s="311">
        <f t="shared" si="50"/>
        <v>0</v>
      </c>
      <c r="AH133" s="311">
        <f t="shared" si="50"/>
        <v>0</v>
      </c>
      <c r="AI133" s="311">
        <f t="shared" si="50"/>
        <v>0</v>
      </c>
      <c r="AJ133" s="311">
        <f t="shared" si="50"/>
        <v>0</v>
      </c>
      <c r="AK133" s="311">
        <f t="shared" si="50"/>
        <v>0</v>
      </c>
      <c r="AL133" s="311">
        <f t="shared" si="50"/>
        <v>0</v>
      </c>
      <c r="AM133" s="311">
        <f t="shared" si="50"/>
        <v>0</v>
      </c>
      <c r="AN133" s="311">
        <f t="shared" si="50"/>
        <v>0</v>
      </c>
      <c r="AO133" s="311">
        <f t="shared" si="50"/>
        <v>0</v>
      </c>
      <c r="AP133" s="311">
        <f t="shared" si="50"/>
        <v>0</v>
      </c>
      <c r="AQ133" s="311">
        <f t="shared" si="50"/>
        <v>0</v>
      </c>
      <c r="AR133" s="311">
        <f t="shared" si="50"/>
        <v>0</v>
      </c>
      <c r="AS133" s="311">
        <f t="shared" si="50"/>
        <v>0</v>
      </c>
      <c r="AT133" s="311">
        <f t="shared" si="50"/>
        <v>0</v>
      </c>
      <c r="AU133" s="311">
        <f t="shared" si="50"/>
        <v>0</v>
      </c>
      <c r="AV133" s="311">
        <f t="shared" si="50"/>
        <v>0</v>
      </c>
      <c r="AW133" s="311">
        <f t="shared" si="50"/>
        <v>0</v>
      </c>
      <c r="AX133" s="311">
        <f t="shared" si="50"/>
        <v>0</v>
      </c>
      <c r="AY133" s="311">
        <f t="shared" si="50"/>
        <v>0</v>
      </c>
      <c r="AZ133" s="311">
        <f t="shared" si="50"/>
        <v>0</v>
      </c>
      <c r="BA133" s="311">
        <f t="shared" si="50"/>
        <v>0</v>
      </c>
      <c r="BB133" s="311">
        <f t="shared" si="50"/>
        <v>0</v>
      </c>
      <c r="BC133" s="311">
        <f t="shared" si="50"/>
        <v>0</v>
      </c>
      <c r="BD133" s="311">
        <f t="shared" si="50"/>
        <v>0</v>
      </c>
      <c r="BE133" s="311">
        <f t="shared" si="50"/>
        <v>0</v>
      </c>
      <c r="BF133" s="311">
        <f t="shared" si="50"/>
        <v>0</v>
      </c>
      <c r="BG133" s="311">
        <f t="shared" si="50"/>
        <v>0</v>
      </c>
      <c r="BH133" s="311">
        <f t="shared" si="50"/>
        <v>0</v>
      </c>
      <c r="BI133" s="311">
        <f t="shared" si="50"/>
        <v>0</v>
      </c>
      <c r="BJ133" s="311">
        <f t="shared" si="50"/>
        <v>0</v>
      </c>
      <c r="BK133" s="311">
        <f t="shared" si="50"/>
        <v>0</v>
      </c>
      <c r="BL133" s="311">
        <f t="shared" si="50"/>
        <v>0</v>
      </c>
      <c r="BM133" s="311">
        <f t="shared" si="50"/>
        <v>0</v>
      </c>
      <c r="BN133" s="311">
        <f t="shared" si="50"/>
        <v>0</v>
      </c>
      <c r="BO133" s="311">
        <f t="shared" si="50"/>
        <v>0</v>
      </c>
      <c r="BP133" s="311">
        <f t="shared" si="50"/>
        <v>0</v>
      </c>
      <c r="BQ133" s="311">
        <f t="shared" si="50"/>
        <v>0</v>
      </c>
      <c r="BR133" s="311">
        <f t="shared" si="50"/>
        <v>0</v>
      </c>
      <c r="BS133" s="311">
        <f t="shared" si="50"/>
        <v>0</v>
      </c>
      <c r="BT133" s="311">
        <f t="shared" si="50"/>
        <v>0</v>
      </c>
      <c r="BU133" s="311">
        <f t="shared" si="50"/>
        <v>0</v>
      </c>
      <c r="BV133" s="311">
        <f t="shared" si="50"/>
        <v>0</v>
      </c>
      <c r="BW133" s="311">
        <f t="shared" si="50"/>
        <v>0</v>
      </c>
      <c r="BX133" s="311">
        <f t="shared" si="50"/>
        <v>0</v>
      </c>
      <c r="BY133" s="222"/>
      <c r="BZ133" s="222"/>
      <c r="CA133" s="222"/>
      <c r="CB133" s="222"/>
      <c r="CC133" s="222"/>
      <c r="CD133" s="222"/>
      <c r="CE133" s="222"/>
      <c r="CF133" s="222"/>
      <c r="CG133" s="222"/>
      <c r="CH133" s="222"/>
      <c r="CI133" s="222"/>
      <c r="CJ133" s="222"/>
      <c r="CK133" s="222"/>
      <c r="CL133" s="222"/>
      <c r="CM133" s="222"/>
      <c r="CN133" s="222"/>
      <c r="CO133" s="222"/>
      <c r="CP133" s="222"/>
      <c r="CQ133" s="222"/>
      <c r="CR133" s="222"/>
      <c r="CS133" s="222"/>
      <c r="CT133" s="222"/>
      <c r="CU133" s="222"/>
      <c r="CV133" s="222"/>
      <c r="CW133" s="222"/>
      <c r="CX133" s="222"/>
      <c r="CY133" s="222"/>
      <c r="CZ133" s="222"/>
      <c r="DA133" s="222"/>
      <c r="DB133" s="222"/>
      <c r="DC133" s="222"/>
      <c r="DD133" s="222"/>
      <c r="DE133" s="222"/>
      <c r="DF133" s="222"/>
      <c r="DG133" s="222"/>
      <c r="DH133" s="222"/>
      <c r="DI133" s="222"/>
      <c r="DJ133" s="222"/>
      <c r="DK133" s="222"/>
      <c r="DL133" s="222"/>
      <c r="DM133" s="222"/>
      <c r="DN133" s="222"/>
      <c r="DO133" s="222"/>
      <c r="DP133" s="222"/>
      <c r="DQ133" s="222"/>
      <c r="DR133" s="222"/>
      <c r="DS133" s="222"/>
      <c r="DT133" s="222"/>
      <c r="DU133" s="222"/>
      <c r="DV133" s="222"/>
      <c r="DW133" s="325"/>
      <c r="DX133" s="325"/>
      <c r="DY133" s="325"/>
      <c r="DZ133" s="325"/>
      <c r="EA133" s="325"/>
      <c r="EB133" s="325"/>
      <c r="EC133" s="325"/>
      <c r="ED133" s="325"/>
      <c r="EE133" s="325"/>
      <c r="EF133" s="325"/>
      <c r="EG133" s="325"/>
      <c r="EH133" s="325"/>
    </row>
    <row r="134" spans="1:138" hidden="1">
      <c r="A134" s="222"/>
      <c r="B134" s="318"/>
      <c r="C134" s="310" t="s">
        <v>297</v>
      </c>
      <c r="D134" s="319"/>
      <c r="E134" s="311"/>
      <c r="F134" s="311"/>
      <c r="G134" s="311"/>
      <c r="H134" s="311"/>
      <c r="I134" s="311"/>
      <c r="J134" s="311"/>
      <c r="K134" s="311"/>
      <c r="L134" s="311"/>
      <c r="M134" s="311"/>
      <c r="N134" s="311"/>
      <c r="O134" s="311"/>
      <c r="P134" s="311"/>
      <c r="Q134" s="311"/>
      <c r="R134" s="311"/>
      <c r="S134" s="311"/>
      <c r="T134" s="311">
        <f>T101-T150-T166-T182</f>
        <v>-700216.99284682795</v>
      </c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1"/>
      <c r="AJ134" s="311"/>
      <c r="AK134" s="311"/>
      <c r="AL134" s="311"/>
      <c r="AM134" s="311"/>
      <c r="AN134" s="311"/>
      <c r="AO134" s="311"/>
      <c r="AP134" s="311"/>
      <c r="AQ134" s="311"/>
      <c r="AR134" s="311"/>
      <c r="AS134" s="311"/>
      <c r="AT134" s="311"/>
      <c r="AU134" s="311"/>
      <c r="AV134" s="311"/>
      <c r="AW134" s="311"/>
      <c r="AX134" s="311"/>
      <c r="AY134" s="311"/>
      <c r="AZ134" s="311"/>
      <c r="BA134" s="311"/>
      <c r="BB134" s="311"/>
      <c r="BC134" s="311"/>
      <c r="BD134" s="311"/>
      <c r="BE134" s="311"/>
      <c r="BF134" s="311"/>
      <c r="BG134" s="311"/>
      <c r="BH134" s="311"/>
      <c r="BI134" s="311"/>
      <c r="BJ134" s="311"/>
      <c r="BK134" s="311"/>
      <c r="BL134" s="311"/>
      <c r="BM134" s="311"/>
      <c r="BN134" s="311"/>
      <c r="BO134" s="311"/>
      <c r="BP134" s="311"/>
      <c r="BQ134" s="311"/>
      <c r="BR134" s="311"/>
      <c r="BS134" s="311"/>
      <c r="BT134" s="311"/>
      <c r="BU134" s="311"/>
      <c r="BV134" s="311"/>
      <c r="BW134" s="311"/>
      <c r="BX134" s="311">
        <f>IF(D106&gt;0.25,(BX101-BX109)*D135,BX101*D135)</f>
        <v>0</v>
      </c>
      <c r="BY134" s="222"/>
      <c r="BZ134" s="222"/>
      <c r="CA134" s="222"/>
      <c r="CB134" s="222"/>
      <c r="CC134" s="222"/>
      <c r="CD134" s="222"/>
      <c r="CE134" s="222"/>
      <c r="CF134" s="222"/>
      <c r="CG134" s="222"/>
      <c r="CH134" s="222"/>
      <c r="CI134" s="222"/>
      <c r="CJ134" s="222"/>
      <c r="CK134" s="222"/>
      <c r="CL134" s="222"/>
      <c r="CM134" s="222"/>
      <c r="CN134" s="222"/>
      <c r="CO134" s="222"/>
      <c r="CP134" s="222"/>
      <c r="CQ134" s="222"/>
      <c r="CR134" s="222"/>
      <c r="CS134" s="222"/>
      <c r="CT134" s="222"/>
      <c r="CU134" s="222"/>
      <c r="CV134" s="222"/>
      <c r="CW134" s="222"/>
      <c r="CX134" s="222"/>
      <c r="CY134" s="222"/>
      <c r="CZ134" s="222"/>
      <c r="DA134" s="222"/>
      <c r="DB134" s="222"/>
      <c r="DC134" s="222"/>
      <c r="DD134" s="222"/>
      <c r="DE134" s="222"/>
      <c r="DF134" s="222"/>
      <c r="DG134" s="222"/>
      <c r="DH134" s="222"/>
      <c r="DI134" s="222"/>
      <c r="DJ134" s="222"/>
      <c r="DK134" s="222"/>
      <c r="DL134" s="222"/>
      <c r="DM134" s="222"/>
      <c r="DN134" s="222"/>
      <c r="DO134" s="222"/>
      <c r="DP134" s="222"/>
      <c r="DQ134" s="222"/>
      <c r="DR134" s="222"/>
      <c r="DS134" s="222"/>
      <c r="DT134" s="222"/>
      <c r="DU134" s="222"/>
      <c r="DV134" s="222"/>
      <c r="DW134" s="325"/>
      <c r="DX134" s="325"/>
      <c r="DY134" s="325"/>
      <c r="DZ134" s="325"/>
      <c r="EA134" s="325"/>
      <c r="EB134" s="325"/>
      <c r="EC134" s="325"/>
      <c r="ED134" s="325"/>
      <c r="EE134" s="325"/>
      <c r="EF134" s="325"/>
      <c r="EG134" s="325"/>
      <c r="EH134" s="325"/>
    </row>
    <row r="135" spans="1:138" hidden="1">
      <c r="A135" s="222"/>
      <c r="B135" s="318"/>
      <c r="C135" s="313" t="s">
        <v>298</v>
      </c>
      <c r="D135" s="319">
        <v>0</v>
      </c>
      <c r="E135" s="242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242"/>
      <c r="AG135" s="242"/>
      <c r="AH135" s="242"/>
      <c r="AI135" s="242"/>
      <c r="AJ135" s="242"/>
      <c r="AK135" s="242"/>
      <c r="AL135" s="242"/>
      <c r="AM135" s="242"/>
      <c r="AN135" s="242"/>
      <c r="AO135" s="242"/>
      <c r="AP135" s="242"/>
      <c r="AQ135" s="242"/>
      <c r="AR135" s="242"/>
      <c r="AS135" s="242"/>
      <c r="AT135" s="242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22"/>
      <c r="BZ135" s="222"/>
      <c r="CA135" s="222"/>
      <c r="CB135" s="222"/>
      <c r="CC135" s="222"/>
      <c r="CD135" s="222"/>
      <c r="CE135" s="222"/>
      <c r="CF135" s="222"/>
      <c r="CG135" s="222"/>
      <c r="CH135" s="222"/>
      <c r="CI135" s="222"/>
      <c r="CJ135" s="222"/>
      <c r="CK135" s="222"/>
      <c r="CL135" s="222"/>
      <c r="CM135" s="222"/>
      <c r="CN135" s="222"/>
      <c r="CO135" s="222"/>
      <c r="CP135" s="222"/>
      <c r="CQ135" s="222"/>
      <c r="CR135" s="222"/>
      <c r="CS135" s="222"/>
      <c r="CT135" s="222"/>
      <c r="CU135" s="222"/>
      <c r="CV135" s="222"/>
      <c r="CW135" s="222"/>
      <c r="CX135" s="222"/>
      <c r="CY135" s="222"/>
      <c r="CZ135" s="222"/>
      <c r="DA135" s="222"/>
      <c r="DB135" s="222"/>
      <c r="DC135" s="222"/>
      <c r="DD135" s="222"/>
      <c r="DE135" s="222"/>
      <c r="DF135" s="222"/>
      <c r="DG135" s="222"/>
      <c r="DH135" s="222"/>
      <c r="DI135" s="222"/>
      <c r="DJ135" s="222"/>
      <c r="DK135" s="222"/>
      <c r="DL135" s="222"/>
      <c r="DM135" s="222"/>
      <c r="DN135" s="222"/>
      <c r="DO135" s="222"/>
      <c r="DP135" s="222"/>
      <c r="DQ135" s="222"/>
      <c r="DR135" s="222"/>
      <c r="DS135" s="222"/>
      <c r="DT135" s="222"/>
      <c r="DU135" s="222"/>
      <c r="DV135" s="222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</row>
    <row r="136" spans="1:138" hidden="1">
      <c r="A136" s="222"/>
      <c r="B136" s="318"/>
      <c r="C136" s="310" t="s">
        <v>299</v>
      </c>
      <c r="D136" s="311"/>
      <c r="E136" s="321">
        <f t="shared" ref="E136:BX136" si="51">E131+E132+E133+E134+E135</f>
        <v>0</v>
      </c>
      <c r="F136" s="321">
        <f t="shared" si="51"/>
        <v>0</v>
      </c>
      <c r="G136" s="321">
        <f t="shared" si="51"/>
        <v>0</v>
      </c>
      <c r="H136" s="321">
        <f t="shared" si="51"/>
        <v>0</v>
      </c>
      <c r="I136" s="321">
        <f t="shared" si="51"/>
        <v>0</v>
      </c>
      <c r="J136" s="321">
        <f t="shared" si="51"/>
        <v>0</v>
      </c>
      <c r="K136" s="321">
        <f t="shared" si="51"/>
        <v>-885000</v>
      </c>
      <c r="L136" s="321">
        <f t="shared" si="51"/>
        <v>-1940000</v>
      </c>
      <c r="M136" s="321">
        <f t="shared" si="51"/>
        <v>-4260000</v>
      </c>
      <c r="N136" s="321">
        <f t="shared" si="51"/>
        <v>0</v>
      </c>
      <c r="O136" s="321">
        <f t="shared" si="51"/>
        <v>-320000</v>
      </c>
      <c r="P136" s="321">
        <f t="shared" si="51"/>
        <v>-320000</v>
      </c>
      <c r="Q136" s="321">
        <f t="shared" si="51"/>
        <v>0</v>
      </c>
      <c r="R136" s="321">
        <f t="shared" si="51"/>
        <v>-1500000</v>
      </c>
      <c r="S136" s="321">
        <f t="shared" si="51"/>
        <v>-2300000</v>
      </c>
      <c r="T136" s="321">
        <f t="shared" si="51"/>
        <v>-8000216.992846828</v>
      </c>
      <c r="U136" s="321">
        <f t="shared" si="51"/>
        <v>-5000000</v>
      </c>
      <c r="V136" s="321">
        <f t="shared" si="51"/>
        <v>-1000000</v>
      </c>
      <c r="W136" s="321">
        <f t="shared" si="51"/>
        <v>0</v>
      </c>
      <c r="X136" s="321">
        <f t="shared" si="51"/>
        <v>0</v>
      </c>
      <c r="Y136" s="321">
        <f t="shared" si="51"/>
        <v>0</v>
      </c>
      <c r="Z136" s="321">
        <f t="shared" si="51"/>
        <v>0</v>
      </c>
      <c r="AA136" s="321">
        <f t="shared" si="51"/>
        <v>0</v>
      </c>
      <c r="AB136" s="321">
        <f t="shared" si="51"/>
        <v>0</v>
      </c>
      <c r="AC136" s="321">
        <f t="shared" si="51"/>
        <v>0</v>
      </c>
      <c r="AD136" s="321">
        <f t="shared" si="51"/>
        <v>0</v>
      </c>
      <c r="AE136" s="321">
        <f t="shared" si="51"/>
        <v>0</v>
      </c>
      <c r="AF136" s="321">
        <f t="shared" si="51"/>
        <v>27360912.5</v>
      </c>
      <c r="AG136" s="321">
        <f t="shared" si="51"/>
        <v>0</v>
      </c>
      <c r="AH136" s="321">
        <f t="shared" si="51"/>
        <v>0</v>
      </c>
      <c r="AI136" s="321">
        <f t="shared" si="51"/>
        <v>0</v>
      </c>
      <c r="AJ136" s="321">
        <f t="shared" si="51"/>
        <v>0</v>
      </c>
      <c r="AK136" s="321">
        <f t="shared" si="51"/>
        <v>0</v>
      </c>
      <c r="AL136" s="321">
        <f t="shared" si="51"/>
        <v>0</v>
      </c>
      <c r="AM136" s="321">
        <f t="shared" si="51"/>
        <v>0</v>
      </c>
      <c r="AN136" s="321">
        <f t="shared" si="51"/>
        <v>0</v>
      </c>
      <c r="AO136" s="321">
        <f t="shared" si="51"/>
        <v>0</v>
      </c>
      <c r="AP136" s="321">
        <f t="shared" si="51"/>
        <v>0</v>
      </c>
      <c r="AQ136" s="321">
        <f t="shared" si="51"/>
        <v>0</v>
      </c>
      <c r="AR136" s="321">
        <f t="shared" si="51"/>
        <v>0</v>
      </c>
      <c r="AS136" s="321">
        <f t="shared" si="51"/>
        <v>0</v>
      </c>
      <c r="AT136" s="321">
        <f t="shared" si="51"/>
        <v>0</v>
      </c>
      <c r="AU136" s="321">
        <f t="shared" si="51"/>
        <v>0</v>
      </c>
      <c r="AV136" s="321">
        <f t="shared" si="51"/>
        <v>0</v>
      </c>
      <c r="AW136" s="321">
        <f t="shared" si="51"/>
        <v>0</v>
      </c>
      <c r="AX136" s="321">
        <f t="shared" si="51"/>
        <v>0</v>
      </c>
      <c r="AY136" s="321">
        <f t="shared" si="51"/>
        <v>0</v>
      </c>
      <c r="AZ136" s="321">
        <f t="shared" si="51"/>
        <v>0</v>
      </c>
      <c r="BA136" s="321">
        <f t="shared" si="51"/>
        <v>0</v>
      </c>
      <c r="BB136" s="321">
        <f t="shared" si="51"/>
        <v>0</v>
      </c>
      <c r="BC136" s="321">
        <f t="shared" si="51"/>
        <v>0</v>
      </c>
      <c r="BD136" s="321">
        <f t="shared" si="51"/>
        <v>0</v>
      </c>
      <c r="BE136" s="321">
        <f t="shared" si="51"/>
        <v>0</v>
      </c>
      <c r="BF136" s="321">
        <f t="shared" si="51"/>
        <v>0</v>
      </c>
      <c r="BG136" s="321">
        <f t="shared" si="51"/>
        <v>0</v>
      </c>
      <c r="BH136" s="321">
        <f t="shared" si="51"/>
        <v>0</v>
      </c>
      <c r="BI136" s="321">
        <f t="shared" si="51"/>
        <v>0</v>
      </c>
      <c r="BJ136" s="321">
        <f t="shared" si="51"/>
        <v>0</v>
      </c>
      <c r="BK136" s="321">
        <f t="shared" si="51"/>
        <v>0</v>
      </c>
      <c r="BL136" s="321">
        <f t="shared" si="51"/>
        <v>0</v>
      </c>
      <c r="BM136" s="321">
        <f t="shared" si="51"/>
        <v>0</v>
      </c>
      <c r="BN136" s="321">
        <f t="shared" si="51"/>
        <v>0</v>
      </c>
      <c r="BO136" s="321">
        <f t="shared" si="51"/>
        <v>0</v>
      </c>
      <c r="BP136" s="321">
        <f t="shared" si="51"/>
        <v>0</v>
      </c>
      <c r="BQ136" s="321">
        <f t="shared" si="51"/>
        <v>0</v>
      </c>
      <c r="BR136" s="321">
        <f t="shared" si="51"/>
        <v>0</v>
      </c>
      <c r="BS136" s="321">
        <f t="shared" si="51"/>
        <v>0</v>
      </c>
      <c r="BT136" s="321">
        <f t="shared" si="51"/>
        <v>0</v>
      </c>
      <c r="BU136" s="321">
        <f t="shared" si="51"/>
        <v>0</v>
      </c>
      <c r="BV136" s="321">
        <f t="shared" si="51"/>
        <v>0</v>
      </c>
      <c r="BW136" s="321">
        <f t="shared" si="51"/>
        <v>0</v>
      </c>
      <c r="BX136" s="321">
        <f t="shared" si="51"/>
        <v>0</v>
      </c>
      <c r="BY136" s="222"/>
      <c r="BZ136" s="222"/>
      <c r="CA136" s="222"/>
      <c r="CB136" s="222"/>
      <c r="CC136" s="222"/>
      <c r="CD136" s="222"/>
      <c r="CE136" s="222"/>
      <c r="CF136" s="222"/>
      <c r="CG136" s="222"/>
      <c r="CH136" s="222"/>
      <c r="CI136" s="222"/>
      <c r="CJ136" s="222"/>
      <c r="CK136" s="222"/>
      <c r="CL136" s="222"/>
      <c r="CM136" s="222"/>
      <c r="CN136" s="222"/>
      <c r="CO136" s="222"/>
      <c r="CP136" s="222"/>
      <c r="CQ136" s="222"/>
      <c r="CR136" s="222"/>
      <c r="CS136" s="222"/>
      <c r="CT136" s="222"/>
      <c r="CU136" s="222"/>
      <c r="CV136" s="222"/>
      <c r="CW136" s="222"/>
      <c r="CX136" s="222"/>
      <c r="CY136" s="222"/>
      <c r="CZ136" s="222"/>
      <c r="DA136" s="222"/>
      <c r="DB136" s="222"/>
      <c r="DC136" s="222"/>
      <c r="DD136" s="222"/>
      <c r="DE136" s="222"/>
      <c r="DF136" s="222"/>
      <c r="DG136" s="222"/>
      <c r="DH136" s="222"/>
      <c r="DI136" s="222"/>
      <c r="DJ136" s="222"/>
      <c r="DK136" s="222"/>
      <c r="DL136" s="222"/>
      <c r="DM136" s="222"/>
      <c r="DN136" s="222"/>
      <c r="DO136" s="222"/>
      <c r="DP136" s="222"/>
      <c r="DQ136" s="222"/>
      <c r="DR136" s="222"/>
      <c r="DS136" s="222"/>
      <c r="DT136" s="222"/>
      <c r="DU136" s="222"/>
      <c r="DV136" s="222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</row>
    <row r="137" spans="1:138" hidden="1">
      <c r="A137" s="222"/>
      <c r="B137" s="318"/>
      <c r="C137" s="314"/>
      <c r="D137" s="322" t="s">
        <v>306</v>
      </c>
      <c r="E137" s="327">
        <f>E136</f>
        <v>0</v>
      </c>
      <c r="F137" s="327">
        <f t="shared" ref="F137:BX137" si="52">E137+F136</f>
        <v>0</v>
      </c>
      <c r="G137" s="327">
        <f t="shared" si="52"/>
        <v>0</v>
      </c>
      <c r="H137" s="327">
        <f t="shared" si="52"/>
        <v>0</v>
      </c>
      <c r="I137" s="327">
        <f t="shared" si="52"/>
        <v>0</v>
      </c>
      <c r="J137" s="327">
        <f t="shared" si="52"/>
        <v>0</v>
      </c>
      <c r="K137" s="327">
        <f t="shared" si="52"/>
        <v>-885000</v>
      </c>
      <c r="L137" s="327">
        <f t="shared" si="52"/>
        <v>-2825000</v>
      </c>
      <c r="M137" s="327">
        <f t="shared" si="52"/>
        <v>-7085000</v>
      </c>
      <c r="N137" s="327">
        <f t="shared" si="52"/>
        <v>-7085000</v>
      </c>
      <c r="O137" s="327">
        <f t="shared" si="52"/>
        <v>-7405000</v>
      </c>
      <c r="P137" s="327">
        <f t="shared" si="52"/>
        <v>-7725000</v>
      </c>
      <c r="Q137" s="327">
        <f t="shared" si="52"/>
        <v>-7725000</v>
      </c>
      <c r="R137" s="327">
        <f t="shared" si="52"/>
        <v>-9225000</v>
      </c>
      <c r="S137" s="327">
        <f t="shared" si="52"/>
        <v>-11525000</v>
      </c>
      <c r="T137" s="327">
        <f t="shared" si="52"/>
        <v>-19525216.992846828</v>
      </c>
      <c r="U137" s="327">
        <f t="shared" si="52"/>
        <v>-24525216.992846828</v>
      </c>
      <c r="V137" s="327">
        <f t="shared" si="52"/>
        <v>-25525216.992846828</v>
      </c>
      <c r="W137" s="327">
        <f t="shared" si="52"/>
        <v>-25525216.992846828</v>
      </c>
      <c r="X137" s="327">
        <f t="shared" si="52"/>
        <v>-25525216.992846828</v>
      </c>
      <c r="Y137" s="327">
        <f t="shared" si="52"/>
        <v>-25525216.992846828</v>
      </c>
      <c r="Z137" s="327">
        <f t="shared" si="52"/>
        <v>-25525216.992846828</v>
      </c>
      <c r="AA137" s="327">
        <f t="shared" si="52"/>
        <v>-25525216.992846828</v>
      </c>
      <c r="AB137" s="327">
        <f t="shared" si="52"/>
        <v>-25525216.992846828</v>
      </c>
      <c r="AC137" s="327">
        <f t="shared" si="52"/>
        <v>-25525216.992846828</v>
      </c>
      <c r="AD137" s="327">
        <f t="shared" si="52"/>
        <v>-25525216.992846828</v>
      </c>
      <c r="AE137" s="327">
        <f t="shared" si="52"/>
        <v>-25525216.992846828</v>
      </c>
      <c r="AF137" s="327">
        <f t="shared" si="52"/>
        <v>1835695.507153172</v>
      </c>
      <c r="AG137" s="327">
        <f t="shared" si="52"/>
        <v>1835695.507153172</v>
      </c>
      <c r="AH137" s="327">
        <f t="shared" si="52"/>
        <v>1835695.507153172</v>
      </c>
      <c r="AI137" s="327">
        <f t="shared" si="52"/>
        <v>1835695.507153172</v>
      </c>
      <c r="AJ137" s="327">
        <f t="shared" si="52"/>
        <v>1835695.507153172</v>
      </c>
      <c r="AK137" s="327">
        <f t="shared" si="52"/>
        <v>1835695.507153172</v>
      </c>
      <c r="AL137" s="327">
        <f t="shared" si="52"/>
        <v>1835695.507153172</v>
      </c>
      <c r="AM137" s="327">
        <f t="shared" si="52"/>
        <v>1835695.507153172</v>
      </c>
      <c r="AN137" s="327">
        <f t="shared" si="52"/>
        <v>1835695.507153172</v>
      </c>
      <c r="AO137" s="327">
        <f t="shared" si="52"/>
        <v>1835695.507153172</v>
      </c>
      <c r="AP137" s="327">
        <f t="shared" si="52"/>
        <v>1835695.507153172</v>
      </c>
      <c r="AQ137" s="327">
        <f t="shared" si="52"/>
        <v>1835695.507153172</v>
      </c>
      <c r="AR137" s="327">
        <f t="shared" si="52"/>
        <v>1835695.507153172</v>
      </c>
      <c r="AS137" s="327">
        <f t="shared" si="52"/>
        <v>1835695.507153172</v>
      </c>
      <c r="AT137" s="327">
        <f t="shared" si="52"/>
        <v>1835695.507153172</v>
      </c>
      <c r="AU137" s="327">
        <f t="shared" si="52"/>
        <v>1835695.507153172</v>
      </c>
      <c r="AV137" s="327">
        <f t="shared" si="52"/>
        <v>1835695.507153172</v>
      </c>
      <c r="AW137" s="327">
        <f t="shared" si="52"/>
        <v>1835695.507153172</v>
      </c>
      <c r="AX137" s="327">
        <f t="shared" si="52"/>
        <v>1835695.507153172</v>
      </c>
      <c r="AY137" s="327">
        <f t="shared" si="52"/>
        <v>1835695.507153172</v>
      </c>
      <c r="AZ137" s="327">
        <f t="shared" si="52"/>
        <v>1835695.507153172</v>
      </c>
      <c r="BA137" s="327">
        <f t="shared" si="52"/>
        <v>1835695.507153172</v>
      </c>
      <c r="BB137" s="327">
        <f t="shared" si="52"/>
        <v>1835695.507153172</v>
      </c>
      <c r="BC137" s="327">
        <f t="shared" si="52"/>
        <v>1835695.507153172</v>
      </c>
      <c r="BD137" s="327">
        <f t="shared" si="52"/>
        <v>1835695.507153172</v>
      </c>
      <c r="BE137" s="327">
        <f t="shared" si="52"/>
        <v>1835695.507153172</v>
      </c>
      <c r="BF137" s="327">
        <f t="shared" si="52"/>
        <v>1835695.507153172</v>
      </c>
      <c r="BG137" s="327">
        <f t="shared" si="52"/>
        <v>1835695.507153172</v>
      </c>
      <c r="BH137" s="327">
        <f t="shared" si="52"/>
        <v>1835695.507153172</v>
      </c>
      <c r="BI137" s="327">
        <f t="shared" si="52"/>
        <v>1835695.507153172</v>
      </c>
      <c r="BJ137" s="327">
        <f t="shared" si="52"/>
        <v>1835695.507153172</v>
      </c>
      <c r="BK137" s="327">
        <f t="shared" si="52"/>
        <v>1835695.507153172</v>
      </c>
      <c r="BL137" s="327">
        <f t="shared" si="52"/>
        <v>1835695.507153172</v>
      </c>
      <c r="BM137" s="327">
        <f t="shared" si="52"/>
        <v>1835695.507153172</v>
      </c>
      <c r="BN137" s="327">
        <f t="shared" si="52"/>
        <v>1835695.507153172</v>
      </c>
      <c r="BO137" s="327">
        <f t="shared" si="52"/>
        <v>1835695.507153172</v>
      </c>
      <c r="BP137" s="327">
        <f t="shared" si="52"/>
        <v>1835695.507153172</v>
      </c>
      <c r="BQ137" s="327">
        <f t="shared" si="52"/>
        <v>1835695.507153172</v>
      </c>
      <c r="BR137" s="327">
        <f t="shared" si="52"/>
        <v>1835695.507153172</v>
      </c>
      <c r="BS137" s="327">
        <f t="shared" si="52"/>
        <v>1835695.507153172</v>
      </c>
      <c r="BT137" s="327">
        <f t="shared" si="52"/>
        <v>1835695.507153172</v>
      </c>
      <c r="BU137" s="327">
        <f t="shared" si="52"/>
        <v>1835695.507153172</v>
      </c>
      <c r="BV137" s="327">
        <f t="shared" si="52"/>
        <v>1835695.507153172</v>
      </c>
      <c r="BW137" s="327">
        <f t="shared" si="52"/>
        <v>1835695.507153172</v>
      </c>
      <c r="BX137" s="327">
        <f t="shared" si="52"/>
        <v>1835695.507153172</v>
      </c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2"/>
      <c r="CV137" s="222"/>
      <c r="CW137" s="222"/>
      <c r="CX137" s="222"/>
      <c r="CY137" s="222"/>
      <c r="CZ137" s="222"/>
      <c r="DA137" s="222"/>
      <c r="DB137" s="222"/>
      <c r="DC137" s="222"/>
      <c r="DD137" s="222"/>
      <c r="DE137" s="222"/>
      <c r="DF137" s="222"/>
      <c r="DG137" s="222"/>
      <c r="DH137" s="222"/>
      <c r="DI137" s="222"/>
      <c r="DJ137" s="222"/>
      <c r="DK137" s="222"/>
      <c r="DL137" s="222"/>
      <c r="DM137" s="222"/>
      <c r="DN137" s="222"/>
      <c r="DO137" s="222"/>
      <c r="DP137" s="222"/>
      <c r="DQ137" s="222"/>
      <c r="DR137" s="222"/>
      <c r="DS137" s="222"/>
      <c r="DT137" s="222"/>
      <c r="DU137" s="222"/>
      <c r="DV137" s="222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</row>
    <row r="138" spans="1:138" hidden="1">
      <c r="A138" s="222"/>
      <c r="B138" s="318"/>
      <c r="C138" s="313" t="s">
        <v>292</v>
      </c>
      <c r="D138" s="322">
        <f>IRR(E136:BX136)*12</f>
        <v>5.8977166626402955E-2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2"/>
      <c r="BN138" s="222"/>
      <c r="BO138" s="222"/>
      <c r="BP138" s="222"/>
      <c r="BQ138" s="222"/>
      <c r="BR138" s="222"/>
      <c r="BS138" s="222"/>
      <c r="BT138" s="222"/>
      <c r="BU138" s="222"/>
      <c r="BV138" s="222"/>
      <c r="BW138" s="222"/>
      <c r="BX138" s="222"/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22"/>
      <c r="CO138" s="222"/>
      <c r="CP138" s="222"/>
      <c r="CQ138" s="222"/>
      <c r="CR138" s="222"/>
      <c r="CS138" s="222"/>
      <c r="CT138" s="222"/>
      <c r="CU138" s="222"/>
      <c r="CV138" s="222"/>
      <c r="CW138" s="222"/>
      <c r="CX138" s="222"/>
      <c r="CY138" s="222"/>
      <c r="CZ138" s="222"/>
      <c r="DA138" s="222"/>
      <c r="DB138" s="222"/>
      <c r="DC138" s="222"/>
      <c r="DD138" s="222"/>
      <c r="DE138" s="222"/>
      <c r="DF138" s="222"/>
      <c r="DG138" s="222"/>
      <c r="DH138" s="222"/>
      <c r="DI138" s="222"/>
      <c r="DJ138" s="222"/>
      <c r="DK138" s="222"/>
      <c r="DL138" s="222"/>
      <c r="DM138" s="222"/>
      <c r="DN138" s="222"/>
      <c r="DO138" s="222"/>
      <c r="DP138" s="222"/>
      <c r="DQ138" s="222"/>
      <c r="DR138" s="222"/>
      <c r="DS138" s="222"/>
      <c r="DT138" s="222"/>
      <c r="DU138" s="222"/>
      <c r="DV138" s="222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</row>
    <row r="139" spans="1:138" hidden="1">
      <c r="A139" s="222"/>
      <c r="B139" s="318"/>
      <c r="C139" s="323" t="s">
        <v>300</v>
      </c>
      <c r="D139" s="324">
        <f>-MIN(E131:BL131)</f>
        <v>7300000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222"/>
      <c r="BN139" s="222"/>
      <c r="BO139" s="222"/>
      <c r="BP139" s="222"/>
      <c r="BQ139" s="222"/>
      <c r="BR139" s="222"/>
      <c r="BS139" s="222"/>
      <c r="BT139" s="222"/>
      <c r="BU139" s="222"/>
      <c r="BV139" s="222"/>
      <c r="BW139" s="222"/>
      <c r="BX139" s="222"/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22"/>
      <c r="CO139" s="222"/>
      <c r="CP139" s="222"/>
      <c r="CQ139" s="222"/>
      <c r="CR139" s="222"/>
      <c r="CS139" s="222"/>
      <c r="CT139" s="222"/>
      <c r="CU139" s="222"/>
      <c r="CV139" s="222"/>
      <c r="CW139" s="222"/>
      <c r="CX139" s="222"/>
      <c r="CY139" s="222"/>
      <c r="CZ139" s="222"/>
      <c r="DA139" s="222"/>
      <c r="DB139" s="222"/>
      <c r="DC139" s="222"/>
      <c r="DD139" s="222"/>
      <c r="DE139" s="222"/>
      <c r="DF139" s="222"/>
      <c r="DG139" s="222"/>
      <c r="DH139" s="222"/>
      <c r="DI139" s="222"/>
      <c r="DJ139" s="222"/>
      <c r="DK139" s="222"/>
      <c r="DL139" s="222"/>
      <c r="DM139" s="222"/>
      <c r="DN139" s="222"/>
      <c r="DO139" s="222"/>
      <c r="DP139" s="222"/>
      <c r="DQ139" s="222"/>
      <c r="DR139" s="222"/>
      <c r="DS139" s="222"/>
      <c r="DT139" s="222"/>
      <c r="DU139" s="222"/>
      <c r="DV139" s="222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</row>
    <row r="140" spans="1:138" hidden="1">
      <c r="A140" s="222"/>
      <c r="B140" s="318"/>
      <c r="C140" s="323" t="s">
        <v>301</v>
      </c>
      <c r="D140" s="324">
        <f>-SUM(M135:BB135)</f>
        <v>0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222"/>
      <c r="BN140" s="222"/>
      <c r="BO140" s="222"/>
      <c r="BP140" s="222"/>
      <c r="BQ140" s="222"/>
      <c r="BR140" s="222"/>
      <c r="BS140" s="222"/>
      <c r="BT140" s="222"/>
      <c r="BU140" s="222"/>
      <c r="BV140" s="222"/>
      <c r="BW140" s="222"/>
      <c r="BX140" s="22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22"/>
      <c r="CO140" s="222"/>
      <c r="CP140" s="222"/>
      <c r="CQ140" s="222"/>
      <c r="CR140" s="222"/>
      <c r="CS140" s="222"/>
      <c r="CT140" s="222"/>
      <c r="CU140" s="222"/>
      <c r="CV140" s="222"/>
      <c r="CW140" s="222"/>
      <c r="CX140" s="222"/>
      <c r="CY140" s="222"/>
      <c r="CZ140" s="222"/>
      <c r="DA140" s="222"/>
      <c r="DB140" s="222"/>
      <c r="DC140" s="222"/>
      <c r="DD140" s="222"/>
      <c r="DE140" s="222"/>
      <c r="DF140" s="222"/>
      <c r="DG140" s="222"/>
      <c r="DH140" s="222"/>
      <c r="DI140" s="222"/>
      <c r="DJ140" s="222"/>
      <c r="DK140" s="222"/>
      <c r="DL140" s="222"/>
      <c r="DM140" s="222"/>
      <c r="DN140" s="222"/>
      <c r="DO140" s="222"/>
      <c r="DP140" s="222"/>
      <c r="DQ140" s="222"/>
      <c r="DR140" s="222"/>
      <c r="DS140" s="222"/>
      <c r="DT140" s="222"/>
      <c r="DU140" s="222"/>
      <c r="DV140" s="222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</row>
    <row r="141" spans="1:138" hidden="1">
      <c r="A141" s="222"/>
      <c r="B141" s="318"/>
      <c r="C141" s="313" t="s">
        <v>302</v>
      </c>
      <c r="D141" s="326">
        <f>D140+D139</f>
        <v>7300000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222"/>
      <c r="BN141" s="222"/>
      <c r="BO141" s="222"/>
      <c r="BP141" s="222"/>
      <c r="BQ141" s="222"/>
      <c r="BR141" s="222"/>
      <c r="BS141" s="222"/>
      <c r="BT141" s="222"/>
      <c r="BU141" s="222"/>
      <c r="BV141" s="222"/>
      <c r="BW141" s="222"/>
      <c r="BX141" s="222"/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22"/>
      <c r="CO141" s="222"/>
      <c r="CP141" s="222"/>
      <c r="CQ141" s="222"/>
      <c r="CR141" s="222"/>
      <c r="CS141" s="222"/>
      <c r="CT141" s="222"/>
      <c r="CU141" s="222"/>
      <c r="CV141" s="222"/>
      <c r="CW141" s="222"/>
      <c r="CX141" s="222"/>
      <c r="CY141" s="222"/>
      <c r="CZ141" s="222"/>
      <c r="DA141" s="222"/>
      <c r="DB141" s="222"/>
      <c r="DC141" s="222"/>
      <c r="DD141" s="222"/>
      <c r="DE141" s="222"/>
      <c r="DF141" s="222"/>
      <c r="DG141" s="222"/>
      <c r="DH141" s="222"/>
      <c r="DI141" s="222"/>
      <c r="DJ141" s="222"/>
      <c r="DK141" s="222"/>
      <c r="DL141" s="222"/>
      <c r="DM141" s="222"/>
      <c r="DN141" s="222"/>
      <c r="DO141" s="222"/>
      <c r="DP141" s="222"/>
      <c r="DQ141" s="222"/>
      <c r="DR141" s="222"/>
      <c r="DS141" s="222"/>
      <c r="DT141" s="222"/>
      <c r="DU141" s="222"/>
      <c r="DV141" s="222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</row>
    <row r="142" spans="1:138" hidden="1">
      <c r="A142" s="222"/>
      <c r="B142" s="318"/>
      <c r="C142" s="313" t="s">
        <v>303</v>
      </c>
      <c r="D142" s="326">
        <f>BX133+BX134</f>
        <v>0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31">
        <v>1500000</v>
      </c>
      <c r="T142" s="231">
        <v>500000</v>
      </c>
      <c r="U142" s="231">
        <v>6750000</v>
      </c>
      <c r="V142" s="231">
        <v>4000000</v>
      </c>
      <c r="W142" s="231">
        <v>2000000</v>
      </c>
      <c r="X142" s="231"/>
      <c r="Y142" s="231"/>
      <c r="Z142" s="231"/>
      <c r="AA142" s="231">
        <v>1600000</v>
      </c>
      <c r="AB142" s="222"/>
      <c r="AC142" s="222"/>
      <c r="AD142" s="222"/>
      <c r="AE142" s="222"/>
      <c r="AF142" s="222"/>
      <c r="AG142" s="222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222"/>
      <c r="BN142" s="222"/>
      <c r="BO142" s="222"/>
      <c r="BP142" s="222"/>
      <c r="BQ142" s="222"/>
      <c r="BR142" s="222"/>
      <c r="BS142" s="222"/>
      <c r="BT142" s="222"/>
      <c r="BU142" s="222"/>
      <c r="BV142" s="222"/>
      <c r="BW142" s="222"/>
      <c r="BX142" s="222"/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2"/>
      <c r="CV142" s="222"/>
      <c r="CW142" s="222"/>
      <c r="CX142" s="222"/>
      <c r="CY142" s="222"/>
      <c r="CZ142" s="222"/>
      <c r="DA142" s="222"/>
      <c r="DB142" s="222"/>
      <c r="DC142" s="222"/>
      <c r="DD142" s="222"/>
      <c r="DE142" s="222"/>
      <c r="DF142" s="222"/>
      <c r="DG142" s="222"/>
      <c r="DH142" s="222"/>
      <c r="DI142" s="222"/>
      <c r="DJ142" s="222"/>
      <c r="DK142" s="222"/>
      <c r="DL142" s="222"/>
      <c r="DM142" s="222"/>
      <c r="DN142" s="222"/>
      <c r="DO142" s="222"/>
      <c r="DP142" s="222"/>
      <c r="DQ142" s="222"/>
      <c r="DR142" s="222"/>
      <c r="DS142" s="222"/>
      <c r="DT142" s="222"/>
      <c r="DU142" s="222"/>
      <c r="DV142" s="222"/>
      <c r="DW142" s="325"/>
      <c r="DX142" s="325"/>
      <c r="DY142" s="325"/>
      <c r="DZ142" s="325"/>
      <c r="EA142" s="325"/>
      <c r="EB142" s="325"/>
      <c r="EC142" s="325"/>
      <c r="ED142" s="325"/>
      <c r="EE142" s="325"/>
      <c r="EF142" s="325"/>
      <c r="EG142" s="325"/>
      <c r="EH142" s="325"/>
    </row>
    <row r="143" spans="1:138" hidden="1">
      <c r="A143" s="222"/>
      <c r="B143" s="318"/>
      <c r="C143" s="313" t="s">
        <v>147</v>
      </c>
      <c r="D143" s="322">
        <f>(D142-D140)/D141</f>
        <v>0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  <c r="BL143" s="222"/>
      <c r="BM143" s="222"/>
      <c r="BN143" s="222"/>
      <c r="BO143" s="222"/>
      <c r="BP143" s="222"/>
      <c r="BQ143" s="22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22"/>
      <c r="CL143" s="222"/>
      <c r="CM143" s="222"/>
      <c r="CN143" s="222"/>
      <c r="CO143" s="222"/>
      <c r="CP143" s="222"/>
      <c r="CQ143" s="222"/>
      <c r="CR143" s="222"/>
      <c r="CS143" s="222"/>
      <c r="CT143" s="222"/>
      <c r="CU143" s="222"/>
      <c r="CV143" s="222"/>
      <c r="CW143" s="222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2"/>
      <c r="DI143" s="222"/>
      <c r="DJ143" s="222"/>
      <c r="DK143" s="222"/>
      <c r="DL143" s="222"/>
      <c r="DM143" s="222"/>
      <c r="DN143" s="222"/>
      <c r="DO143" s="222"/>
      <c r="DP143" s="222"/>
      <c r="DQ143" s="222"/>
      <c r="DR143" s="222"/>
      <c r="DS143" s="222"/>
      <c r="DT143" s="222"/>
      <c r="DU143" s="222"/>
      <c r="DV143" s="222"/>
      <c r="DW143" s="325"/>
      <c r="DX143" s="325"/>
      <c r="DY143" s="325"/>
      <c r="DZ143" s="325"/>
      <c r="EA143" s="325"/>
      <c r="EB143" s="325"/>
      <c r="EC143" s="325"/>
      <c r="ED143" s="325"/>
      <c r="EE143" s="325"/>
      <c r="EF143" s="325"/>
      <c r="EG143" s="325"/>
      <c r="EH143" s="325"/>
    </row>
    <row r="144" spans="1:138" hidden="1">
      <c r="A144" s="222"/>
      <c r="B144" s="318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AT144" s="222"/>
      <c r="AU144" s="222"/>
      <c r="AV144" s="222"/>
      <c r="AW144" s="222"/>
      <c r="AX144" s="222"/>
      <c r="AY144" s="222"/>
      <c r="AZ144" s="222"/>
      <c r="BA144" s="222"/>
      <c r="BB144" s="222"/>
      <c r="BC144" s="222"/>
      <c r="BD144" s="222"/>
      <c r="BE144" s="222"/>
      <c r="BF144" s="222"/>
      <c r="BG144" s="222"/>
      <c r="BH144" s="222"/>
      <c r="BI144" s="222"/>
      <c r="BJ144" s="222"/>
      <c r="BK144" s="222"/>
      <c r="BL144" s="222"/>
      <c r="BM144" s="222"/>
      <c r="BN144" s="222"/>
      <c r="BO144" s="222"/>
      <c r="BP144" s="222"/>
      <c r="BQ144" s="22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22"/>
      <c r="CL144" s="222"/>
      <c r="CM144" s="222"/>
      <c r="CN144" s="222"/>
      <c r="CO144" s="222"/>
      <c r="CP144" s="222"/>
      <c r="CQ144" s="222"/>
      <c r="CR144" s="222"/>
      <c r="CS144" s="222"/>
      <c r="CT144" s="222"/>
      <c r="CU144" s="222"/>
      <c r="CV144" s="222"/>
      <c r="CW144" s="222"/>
      <c r="CX144" s="222"/>
      <c r="CY144" s="222"/>
      <c r="CZ144" s="222"/>
      <c r="DA144" s="222"/>
      <c r="DB144" s="222"/>
      <c r="DC144" s="222"/>
      <c r="DD144" s="222"/>
      <c r="DE144" s="222"/>
      <c r="DF144" s="222"/>
      <c r="DG144" s="222"/>
      <c r="DH144" s="222"/>
      <c r="DI144" s="222"/>
      <c r="DJ144" s="222"/>
      <c r="DK144" s="222"/>
      <c r="DL144" s="222"/>
      <c r="DM144" s="222"/>
      <c r="DN144" s="222"/>
      <c r="DO144" s="222"/>
      <c r="DP144" s="222"/>
      <c r="DQ144" s="222"/>
      <c r="DR144" s="222"/>
      <c r="DS144" s="222"/>
      <c r="DT144" s="222"/>
      <c r="DU144" s="222"/>
      <c r="DV144" s="222"/>
      <c r="DW144" s="325"/>
      <c r="DX144" s="325"/>
      <c r="DY144" s="325"/>
      <c r="DZ144" s="325"/>
      <c r="EA144" s="325"/>
      <c r="EB144" s="325"/>
      <c r="EC144" s="325"/>
      <c r="ED144" s="325"/>
      <c r="EE144" s="325"/>
      <c r="EF144" s="325"/>
      <c r="EG144" s="325"/>
      <c r="EH144" s="325"/>
    </row>
    <row r="145" spans="1:138" hidden="1">
      <c r="A145" s="222"/>
      <c r="B145" s="318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222"/>
      <c r="AF145" s="222"/>
      <c r="AG145" s="222"/>
      <c r="AH145" s="222"/>
      <c r="AI145" s="222"/>
      <c r="AJ145" s="222"/>
      <c r="AK145" s="222"/>
      <c r="AL145" s="222"/>
      <c r="AM145" s="222"/>
      <c r="AN145" s="222"/>
      <c r="AO145" s="222"/>
      <c r="AP145" s="222"/>
      <c r="AQ145" s="222"/>
      <c r="AR145" s="222"/>
      <c r="AS145" s="222"/>
      <c r="AT145" s="222"/>
      <c r="AU145" s="222"/>
      <c r="AV145" s="222"/>
      <c r="AW145" s="222"/>
      <c r="AX145" s="222"/>
      <c r="AY145" s="222"/>
      <c r="AZ145" s="222"/>
      <c r="BA145" s="222"/>
      <c r="BB145" s="222"/>
      <c r="BC145" s="222"/>
      <c r="BD145" s="222"/>
      <c r="BE145" s="222"/>
      <c r="BF145" s="222"/>
      <c r="BG145" s="222"/>
      <c r="BH145" s="222"/>
      <c r="BI145" s="222"/>
      <c r="BJ145" s="222"/>
      <c r="BK145" s="222"/>
      <c r="BL145" s="222"/>
      <c r="BM145" s="222"/>
      <c r="BN145" s="222"/>
      <c r="BO145" s="222"/>
      <c r="BP145" s="222"/>
      <c r="BQ145" s="222"/>
      <c r="BR145" s="222"/>
      <c r="BS145" s="222"/>
      <c r="BT145" s="22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22"/>
      <c r="CL145" s="222"/>
      <c r="CM145" s="222"/>
      <c r="CN145" s="222"/>
      <c r="CO145" s="222"/>
      <c r="CP145" s="222"/>
      <c r="CQ145" s="222"/>
      <c r="CR145" s="222"/>
      <c r="CS145" s="222"/>
      <c r="CT145" s="222"/>
      <c r="CU145" s="222"/>
      <c r="CV145" s="222"/>
      <c r="CW145" s="222"/>
      <c r="CX145" s="222"/>
      <c r="CY145" s="222"/>
      <c r="CZ145" s="222"/>
      <c r="DA145" s="222"/>
      <c r="DB145" s="222"/>
      <c r="DC145" s="222"/>
      <c r="DD145" s="222"/>
      <c r="DE145" s="222"/>
      <c r="DF145" s="222"/>
      <c r="DG145" s="222"/>
      <c r="DH145" s="222"/>
      <c r="DI145" s="222"/>
      <c r="DJ145" s="222"/>
      <c r="DK145" s="222"/>
      <c r="DL145" s="222"/>
      <c r="DM145" s="222"/>
      <c r="DN145" s="222"/>
      <c r="DO145" s="222"/>
      <c r="DP145" s="222"/>
      <c r="DQ145" s="222"/>
      <c r="DR145" s="222"/>
      <c r="DS145" s="222"/>
      <c r="DT145" s="222"/>
      <c r="DU145" s="222"/>
      <c r="DV145" s="222"/>
      <c r="DW145" s="325"/>
      <c r="DX145" s="325"/>
      <c r="DY145" s="325"/>
      <c r="DZ145" s="325"/>
      <c r="EA145" s="325"/>
      <c r="EB145" s="325"/>
      <c r="EC145" s="325"/>
      <c r="ED145" s="325"/>
      <c r="EE145" s="325"/>
      <c r="EF145" s="325"/>
      <c r="EG145" s="325"/>
      <c r="EH145" s="325"/>
    </row>
    <row r="146" spans="1:138" hidden="1">
      <c r="A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2"/>
      <c r="BN146" s="222"/>
      <c r="BO146" s="222"/>
      <c r="BP146" s="222"/>
      <c r="BQ146" s="222"/>
      <c r="BR146" s="222"/>
      <c r="BS146" s="222"/>
      <c r="BT146" s="22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22"/>
      <c r="CO146" s="222"/>
      <c r="CP146" s="222"/>
      <c r="CQ146" s="222"/>
      <c r="CR146" s="222"/>
      <c r="CS146" s="222"/>
      <c r="CT146" s="222"/>
      <c r="CU146" s="222"/>
      <c r="CV146" s="222"/>
      <c r="CW146" s="222"/>
      <c r="CX146" s="222"/>
      <c r="CY146" s="222"/>
      <c r="CZ146" s="222"/>
      <c r="DA146" s="222"/>
      <c r="DB146" s="222"/>
      <c r="DC146" s="222"/>
      <c r="DD146" s="222"/>
      <c r="DE146" s="222"/>
      <c r="DF146" s="222"/>
      <c r="DG146" s="222"/>
      <c r="DH146" s="222"/>
      <c r="DI146" s="222"/>
      <c r="DJ146" s="222"/>
      <c r="DK146" s="222"/>
      <c r="DL146" s="222"/>
      <c r="DM146" s="222"/>
      <c r="DN146" s="222"/>
      <c r="DO146" s="222"/>
      <c r="DP146" s="222"/>
      <c r="DQ146" s="222"/>
      <c r="DR146" s="222"/>
      <c r="DS146" s="222"/>
      <c r="DT146" s="222"/>
      <c r="DU146" s="222"/>
      <c r="DV146" s="222"/>
      <c r="DW146" s="325"/>
      <c r="DX146" s="325"/>
      <c r="DY146" s="325"/>
      <c r="DZ146" s="325"/>
      <c r="EA146" s="325"/>
      <c r="EB146" s="325"/>
      <c r="EC146" s="325"/>
      <c r="ED146" s="325"/>
      <c r="EE146" s="325"/>
      <c r="EF146" s="325"/>
      <c r="EG146" s="325"/>
      <c r="EH146" s="325"/>
    </row>
    <row r="147" spans="1:138" hidden="1">
      <c r="A147" s="222"/>
      <c r="B147" s="318"/>
      <c r="C147" s="310" t="s">
        <v>307</v>
      </c>
      <c r="D147" s="311"/>
      <c r="E147" s="312">
        <f t="shared" ref="E147:G147" si="53">-(E24+E111)</f>
        <v>0</v>
      </c>
      <c r="F147" s="312">
        <f t="shared" si="53"/>
        <v>0</v>
      </c>
      <c r="G147" s="312">
        <f t="shared" si="53"/>
        <v>0</v>
      </c>
      <c r="H147" s="312">
        <f>-10682501</f>
        <v>-10682501</v>
      </c>
      <c r="I147" s="312">
        <v>0</v>
      </c>
      <c r="J147" s="312">
        <f>-(J24+J111)</f>
        <v>0</v>
      </c>
      <c r="K147" s="312">
        <v>0</v>
      </c>
      <c r="L147" s="312">
        <f t="shared" ref="L147:S147" si="54">-(L24+L111)</f>
        <v>15913.92</v>
      </c>
      <c r="M147" s="312">
        <f t="shared" si="54"/>
        <v>0</v>
      </c>
      <c r="N147" s="312">
        <f t="shared" si="54"/>
        <v>0</v>
      </c>
      <c r="O147" s="312">
        <f t="shared" si="54"/>
        <v>0</v>
      </c>
      <c r="P147" s="312">
        <f t="shared" si="54"/>
        <v>0</v>
      </c>
      <c r="Q147" s="312">
        <f t="shared" si="54"/>
        <v>36051</v>
      </c>
      <c r="R147" s="312">
        <f t="shared" si="54"/>
        <v>393250</v>
      </c>
      <c r="S147" s="312">
        <f t="shared" si="54"/>
        <v>0</v>
      </c>
      <c r="T147" s="312">
        <f>-H147</f>
        <v>10682501</v>
      </c>
      <c r="U147" s="312">
        <f t="shared" ref="U147:BX147" si="55">-(U24+U111)</f>
        <v>0</v>
      </c>
      <c r="V147" s="312">
        <f t="shared" si="55"/>
        <v>0</v>
      </c>
      <c r="W147" s="312">
        <f t="shared" si="55"/>
        <v>0</v>
      </c>
      <c r="X147" s="312">
        <f t="shared" si="55"/>
        <v>0</v>
      </c>
      <c r="Y147" s="312">
        <f t="shared" si="55"/>
        <v>0</v>
      </c>
      <c r="Z147" s="312">
        <f t="shared" si="55"/>
        <v>0</v>
      </c>
      <c r="AA147" s="312">
        <f t="shared" si="55"/>
        <v>0</v>
      </c>
      <c r="AB147" s="312">
        <f t="shared" si="55"/>
        <v>0</v>
      </c>
      <c r="AC147" s="312">
        <f t="shared" si="55"/>
        <v>0</v>
      </c>
      <c r="AD147" s="312">
        <f t="shared" si="55"/>
        <v>0</v>
      </c>
      <c r="AE147" s="312">
        <f t="shared" si="55"/>
        <v>0</v>
      </c>
      <c r="AF147" s="312">
        <f t="shared" si="55"/>
        <v>0</v>
      </c>
      <c r="AG147" s="312">
        <f t="shared" si="55"/>
        <v>0</v>
      </c>
      <c r="AH147" s="312">
        <f t="shared" si="55"/>
        <v>0</v>
      </c>
      <c r="AI147" s="312">
        <f t="shared" si="55"/>
        <v>0</v>
      </c>
      <c r="AJ147" s="312">
        <f t="shared" si="55"/>
        <v>0</v>
      </c>
      <c r="AK147" s="312">
        <f t="shared" si="55"/>
        <v>0</v>
      </c>
      <c r="AL147" s="312">
        <f t="shared" si="55"/>
        <v>0</v>
      </c>
      <c r="AM147" s="312">
        <f t="shared" si="55"/>
        <v>0</v>
      </c>
      <c r="AN147" s="312">
        <f t="shared" si="55"/>
        <v>0</v>
      </c>
      <c r="AO147" s="312">
        <f t="shared" si="55"/>
        <v>0</v>
      </c>
      <c r="AP147" s="312">
        <f t="shared" si="55"/>
        <v>0</v>
      </c>
      <c r="AQ147" s="312">
        <f t="shared" si="55"/>
        <v>0</v>
      </c>
      <c r="AR147" s="312">
        <f t="shared" si="55"/>
        <v>0</v>
      </c>
      <c r="AS147" s="312">
        <f t="shared" si="55"/>
        <v>0</v>
      </c>
      <c r="AT147" s="312">
        <f t="shared" si="55"/>
        <v>0</v>
      </c>
      <c r="AU147" s="312">
        <f t="shared" si="55"/>
        <v>0</v>
      </c>
      <c r="AV147" s="312">
        <f t="shared" si="55"/>
        <v>0</v>
      </c>
      <c r="AW147" s="312">
        <f t="shared" si="55"/>
        <v>0</v>
      </c>
      <c r="AX147" s="312">
        <f t="shared" si="55"/>
        <v>0</v>
      </c>
      <c r="AY147" s="312">
        <f t="shared" si="55"/>
        <v>0</v>
      </c>
      <c r="AZ147" s="312">
        <f t="shared" si="55"/>
        <v>0</v>
      </c>
      <c r="BA147" s="312">
        <f t="shared" si="55"/>
        <v>0</v>
      </c>
      <c r="BB147" s="312">
        <f t="shared" si="55"/>
        <v>0</v>
      </c>
      <c r="BC147" s="312">
        <f t="shared" si="55"/>
        <v>0</v>
      </c>
      <c r="BD147" s="312">
        <f t="shared" si="55"/>
        <v>0</v>
      </c>
      <c r="BE147" s="312">
        <f t="shared" si="55"/>
        <v>0</v>
      </c>
      <c r="BF147" s="312">
        <f t="shared" si="55"/>
        <v>0</v>
      </c>
      <c r="BG147" s="312">
        <f t="shared" si="55"/>
        <v>0</v>
      </c>
      <c r="BH147" s="312">
        <f t="shared" si="55"/>
        <v>0</v>
      </c>
      <c r="BI147" s="312">
        <f t="shared" si="55"/>
        <v>0</v>
      </c>
      <c r="BJ147" s="312">
        <f t="shared" si="55"/>
        <v>0</v>
      </c>
      <c r="BK147" s="312">
        <f t="shared" si="55"/>
        <v>0</v>
      </c>
      <c r="BL147" s="312">
        <f t="shared" si="55"/>
        <v>0</v>
      </c>
      <c r="BM147" s="312">
        <f t="shared" si="55"/>
        <v>0</v>
      </c>
      <c r="BN147" s="312">
        <f t="shared" si="55"/>
        <v>0</v>
      </c>
      <c r="BO147" s="312">
        <f t="shared" si="55"/>
        <v>0</v>
      </c>
      <c r="BP147" s="312">
        <f t="shared" si="55"/>
        <v>0</v>
      </c>
      <c r="BQ147" s="312">
        <f t="shared" si="55"/>
        <v>0</v>
      </c>
      <c r="BR147" s="312">
        <f t="shared" si="55"/>
        <v>0</v>
      </c>
      <c r="BS147" s="312">
        <f t="shared" si="55"/>
        <v>0</v>
      </c>
      <c r="BT147" s="312">
        <f t="shared" si="55"/>
        <v>0</v>
      </c>
      <c r="BU147" s="312">
        <f t="shared" si="55"/>
        <v>0</v>
      </c>
      <c r="BV147" s="312">
        <f t="shared" si="55"/>
        <v>0</v>
      </c>
      <c r="BW147" s="312">
        <f t="shared" si="55"/>
        <v>0</v>
      </c>
      <c r="BX147" s="312">
        <f t="shared" si="55"/>
        <v>0</v>
      </c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22"/>
      <c r="CO147" s="222"/>
      <c r="CP147" s="222"/>
      <c r="CQ147" s="222"/>
      <c r="CR147" s="222"/>
      <c r="CS147" s="222"/>
      <c r="CT147" s="222"/>
      <c r="CU147" s="222"/>
      <c r="CV147" s="222"/>
      <c r="CW147" s="222"/>
      <c r="CX147" s="222"/>
      <c r="CY147" s="222"/>
      <c r="CZ147" s="222"/>
      <c r="DA147" s="222"/>
      <c r="DB147" s="222"/>
      <c r="DC147" s="222"/>
      <c r="DD147" s="222"/>
      <c r="DE147" s="222"/>
      <c r="DF147" s="222"/>
      <c r="DG147" s="222"/>
      <c r="DH147" s="222"/>
      <c r="DI147" s="222"/>
      <c r="DJ147" s="222"/>
      <c r="DK147" s="222"/>
      <c r="DL147" s="222"/>
      <c r="DM147" s="222"/>
      <c r="DN147" s="222"/>
      <c r="DO147" s="222"/>
      <c r="DP147" s="222"/>
      <c r="DQ147" s="222"/>
      <c r="DR147" s="222"/>
      <c r="DS147" s="222"/>
      <c r="DT147" s="222"/>
      <c r="DU147" s="222"/>
      <c r="DV147" s="222"/>
      <c r="DW147" s="222"/>
      <c r="DX147" s="222"/>
      <c r="DY147" s="222"/>
      <c r="DZ147" s="222"/>
      <c r="EA147" s="222"/>
      <c r="EB147" s="222"/>
      <c r="EC147" s="222"/>
      <c r="ED147" s="222"/>
      <c r="EE147" s="222"/>
      <c r="EF147" s="222"/>
      <c r="EG147" s="222"/>
      <c r="EH147" s="222"/>
    </row>
    <row r="148" spans="1:138" hidden="1">
      <c r="A148" s="222"/>
      <c r="B148" s="318"/>
      <c r="C148" s="310" t="s">
        <v>305</v>
      </c>
      <c r="D148" s="319"/>
      <c r="E148" s="311"/>
      <c r="F148" s="311"/>
      <c r="G148" s="311"/>
      <c r="H148" s="311"/>
      <c r="I148" s="311"/>
      <c r="J148" s="311"/>
      <c r="K148" s="311"/>
      <c r="L148" s="311"/>
      <c r="M148" s="311"/>
      <c r="N148" s="311"/>
      <c r="O148" s="311"/>
      <c r="P148" s="311"/>
      <c r="Q148" s="311"/>
      <c r="R148" s="311"/>
      <c r="S148" s="311"/>
      <c r="T148" s="311"/>
      <c r="U148" s="311"/>
      <c r="V148" s="311"/>
      <c r="W148" s="311"/>
      <c r="X148" s="311"/>
      <c r="Y148" s="311"/>
      <c r="Z148" s="311"/>
      <c r="AA148" s="311"/>
      <c r="AB148" s="311"/>
      <c r="AC148" s="311"/>
      <c r="AD148" s="311"/>
      <c r="AE148" s="311"/>
      <c r="AF148" s="311"/>
      <c r="AG148" s="311"/>
      <c r="AH148" s="311"/>
      <c r="AI148" s="311"/>
      <c r="AJ148" s="311"/>
      <c r="AK148" s="311"/>
      <c r="AL148" s="311"/>
      <c r="AM148" s="311"/>
      <c r="AN148" s="311"/>
      <c r="AO148" s="311"/>
      <c r="AP148" s="311"/>
      <c r="AQ148" s="311"/>
      <c r="AR148" s="311"/>
      <c r="AS148" s="311"/>
      <c r="AT148" s="311"/>
      <c r="AU148" s="311"/>
      <c r="AV148" s="311"/>
      <c r="AW148" s="311"/>
      <c r="AX148" s="311"/>
      <c r="AY148" s="311"/>
      <c r="AZ148" s="311"/>
      <c r="BA148" s="311"/>
      <c r="BB148" s="311"/>
      <c r="BC148" s="312"/>
      <c r="BD148" s="311"/>
      <c r="BE148" s="311"/>
      <c r="BF148" s="311"/>
      <c r="BG148" s="311"/>
      <c r="BH148" s="311"/>
      <c r="BI148" s="311"/>
      <c r="BJ148" s="311"/>
      <c r="BK148" s="311"/>
      <c r="BL148" s="311"/>
      <c r="BM148" s="311"/>
      <c r="BN148" s="311"/>
      <c r="BO148" s="311"/>
      <c r="BP148" s="311"/>
      <c r="BQ148" s="311"/>
      <c r="BR148" s="311"/>
      <c r="BS148" s="311"/>
      <c r="BT148" s="311"/>
      <c r="BU148" s="311"/>
      <c r="BV148" s="311"/>
      <c r="BW148" s="311"/>
      <c r="BX148" s="311"/>
      <c r="BY148" s="307"/>
      <c r="BZ148" s="307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2"/>
      <c r="CU148" s="222"/>
      <c r="CV148" s="222"/>
      <c r="CW148" s="222"/>
      <c r="CX148" s="222"/>
      <c r="CY148" s="222"/>
      <c r="CZ148" s="222"/>
      <c r="DA148" s="222"/>
      <c r="DB148" s="222"/>
      <c r="DC148" s="222"/>
      <c r="DD148" s="222"/>
      <c r="DE148" s="222"/>
      <c r="DF148" s="222"/>
      <c r="DG148" s="222"/>
      <c r="DH148" s="222"/>
      <c r="DI148" s="222"/>
      <c r="DJ148" s="222"/>
      <c r="DK148" s="222"/>
      <c r="DL148" s="222"/>
      <c r="DM148" s="222"/>
      <c r="DN148" s="222"/>
      <c r="DO148" s="222"/>
      <c r="DP148" s="222"/>
      <c r="DQ148" s="222"/>
      <c r="DR148" s="222"/>
      <c r="DS148" s="222"/>
      <c r="DT148" s="222"/>
      <c r="DU148" s="222"/>
      <c r="DV148" s="222"/>
      <c r="DW148" s="222"/>
      <c r="DX148" s="222"/>
      <c r="DY148" s="222"/>
      <c r="DZ148" s="222"/>
      <c r="EA148" s="222"/>
      <c r="EB148" s="222"/>
      <c r="EC148" s="222"/>
      <c r="ED148" s="222"/>
      <c r="EE148" s="222"/>
      <c r="EF148" s="222"/>
      <c r="EG148" s="222"/>
      <c r="EH148" s="222"/>
    </row>
    <row r="149" spans="1:138" hidden="1">
      <c r="A149" s="222"/>
      <c r="B149" s="318"/>
      <c r="C149" s="310" t="s">
        <v>296</v>
      </c>
      <c r="D149" s="319"/>
      <c r="E149" s="311">
        <f t="shared" ref="E149:BX149" si="56">-E75</f>
        <v>0</v>
      </c>
      <c r="F149" s="311">
        <f t="shared" si="56"/>
        <v>0</v>
      </c>
      <c r="G149" s="311">
        <f t="shared" si="56"/>
        <v>0</v>
      </c>
      <c r="H149" s="311">
        <f t="shared" si="56"/>
        <v>0</v>
      </c>
      <c r="I149" s="311">
        <f t="shared" si="56"/>
        <v>0</v>
      </c>
      <c r="J149" s="311">
        <f t="shared" si="56"/>
        <v>0</v>
      </c>
      <c r="K149" s="311">
        <f t="shared" si="56"/>
        <v>0</v>
      </c>
      <c r="L149" s="311">
        <f t="shared" si="56"/>
        <v>0</v>
      </c>
      <c r="M149" s="311">
        <f t="shared" si="56"/>
        <v>0</v>
      </c>
      <c r="N149" s="311">
        <f t="shared" si="56"/>
        <v>0</v>
      </c>
      <c r="O149" s="311">
        <f t="shared" si="56"/>
        <v>0</v>
      </c>
      <c r="P149" s="311">
        <f t="shared" si="56"/>
        <v>0</v>
      </c>
      <c r="Q149" s="311">
        <f t="shared" si="56"/>
        <v>0</v>
      </c>
      <c r="R149" s="311">
        <f t="shared" si="56"/>
        <v>0</v>
      </c>
      <c r="S149" s="311">
        <f t="shared" si="56"/>
        <v>0</v>
      </c>
      <c r="T149" s="311">
        <f t="shared" si="56"/>
        <v>0</v>
      </c>
      <c r="U149" s="311">
        <f t="shared" si="56"/>
        <v>0</v>
      </c>
      <c r="V149" s="311">
        <f t="shared" si="56"/>
        <v>0</v>
      </c>
      <c r="W149" s="311">
        <f t="shared" si="56"/>
        <v>0</v>
      </c>
      <c r="X149" s="311">
        <f t="shared" si="56"/>
        <v>0</v>
      </c>
      <c r="Y149" s="311">
        <f t="shared" si="56"/>
        <v>0</v>
      </c>
      <c r="Z149" s="311">
        <f t="shared" si="56"/>
        <v>0</v>
      </c>
      <c r="AA149" s="311">
        <f t="shared" si="56"/>
        <v>0</v>
      </c>
      <c r="AB149" s="311">
        <f t="shared" si="56"/>
        <v>0</v>
      </c>
      <c r="AC149" s="311">
        <f t="shared" si="56"/>
        <v>0</v>
      </c>
      <c r="AD149" s="311">
        <f t="shared" si="56"/>
        <v>0</v>
      </c>
      <c r="AE149" s="311">
        <f t="shared" si="56"/>
        <v>0</v>
      </c>
      <c r="AF149" s="311">
        <f t="shared" si="56"/>
        <v>0</v>
      </c>
      <c r="AG149" s="311">
        <f t="shared" si="56"/>
        <v>0</v>
      </c>
      <c r="AH149" s="311">
        <f t="shared" si="56"/>
        <v>0</v>
      </c>
      <c r="AI149" s="311">
        <f t="shared" si="56"/>
        <v>0</v>
      </c>
      <c r="AJ149" s="311">
        <f t="shared" si="56"/>
        <v>0</v>
      </c>
      <c r="AK149" s="311">
        <f t="shared" si="56"/>
        <v>0</v>
      </c>
      <c r="AL149" s="311">
        <f t="shared" si="56"/>
        <v>0</v>
      </c>
      <c r="AM149" s="311">
        <f t="shared" si="56"/>
        <v>0</v>
      </c>
      <c r="AN149" s="311">
        <f t="shared" si="56"/>
        <v>0</v>
      </c>
      <c r="AO149" s="311">
        <f t="shared" si="56"/>
        <v>0</v>
      </c>
      <c r="AP149" s="311">
        <f t="shared" si="56"/>
        <v>0</v>
      </c>
      <c r="AQ149" s="311">
        <f t="shared" si="56"/>
        <v>0</v>
      </c>
      <c r="AR149" s="311">
        <f t="shared" si="56"/>
        <v>0</v>
      </c>
      <c r="AS149" s="311">
        <f t="shared" si="56"/>
        <v>0</v>
      </c>
      <c r="AT149" s="311">
        <f t="shared" si="56"/>
        <v>0</v>
      </c>
      <c r="AU149" s="311">
        <f t="shared" si="56"/>
        <v>0</v>
      </c>
      <c r="AV149" s="311">
        <f t="shared" si="56"/>
        <v>0</v>
      </c>
      <c r="AW149" s="311">
        <f t="shared" si="56"/>
        <v>0</v>
      </c>
      <c r="AX149" s="311">
        <f t="shared" si="56"/>
        <v>0</v>
      </c>
      <c r="AY149" s="311">
        <f t="shared" si="56"/>
        <v>0</v>
      </c>
      <c r="AZ149" s="311">
        <f t="shared" si="56"/>
        <v>0</v>
      </c>
      <c r="BA149" s="311">
        <f t="shared" si="56"/>
        <v>0</v>
      </c>
      <c r="BB149" s="311">
        <f t="shared" si="56"/>
        <v>0</v>
      </c>
      <c r="BC149" s="311">
        <f t="shared" si="56"/>
        <v>0</v>
      </c>
      <c r="BD149" s="311">
        <f t="shared" si="56"/>
        <v>0</v>
      </c>
      <c r="BE149" s="311">
        <f t="shared" si="56"/>
        <v>0</v>
      </c>
      <c r="BF149" s="311">
        <f t="shared" si="56"/>
        <v>0</v>
      </c>
      <c r="BG149" s="311">
        <f t="shared" si="56"/>
        <v>0</v>
      </c>
      <c r="BH149" s="311">
        <f t="shared" si="56"/>
        <v>0</v>
      </c>
      <c r="BI149" s="311">
        <f t="shared" si="56"/>
        <v>0</v>
      </c>
      <c r="BJ149" s="311">
        <f t="shared" si="56"/>
        <v>0</v>
      </c>
      <c r="BK149" s="311">
        <f t="shared" si="56"/>
        <v>0</v>
      </c>
      <c r="BL149" s="311">
        <f t="shared" si="56"/>
        <v>0</v>
      </c>
      <c r="BM149" s="311">
        <f t="shared" si="56"/>
        <v>0</v>
      </c>
      <c r="BN149" s="311">
        <f t="shared" si="56"/>
        <v>0</v>
      </c>
      <c r="BO149" s="311">
        <f t="shared" si="56"/>
        <v>0</v>
      </c>
      <c r="BP149" s="311">
        <f t="shared" si="56"/>
        <v>0</v>
      </c>
      <c r="BQ149" s="311">
        <f t="shared" si="56"/>
        <v>0</v>
      </c>
      <c r="BR149" s="311">
        <f t="shared" si="56"/>
        <v>0</v>
      </c>
      <c r="BS149" s="311">
        <f t="shared" si="56"/>
        <v>0</v>
      </c>
      <c r="BT149" s="311">
        <f t="shared" si="56"/>
        <v>0</v>
      </c>
      <c r="BU149" s="311">
        <f t="shared" si="56"/>
        <v>0</v>
      </c>
      <c r="BV149" s="311">
        <f t="shared" si="56"/>
        <v>0</v>
      </c>
      <c r="BW149" s="311">
        <f t="shared" si="56"/>
        <v>0</v>
      </c>
      <c r="BX149" s="311">
        <f t="shared" si="56"/>
        <v>0</v>
      </c>
      <c r="BY149" s="307"/>
      <c r="BZ149" s="307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22"/>
      <c r="CO149" s="222"/>
      <c r="CP149" s="222"/>
      <c r="CQ149" s="222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222"/>
      <c r="DC149" s="222"/>
      <c r="DD149" s="222"/>
      <c r="DE149" s="222"/>
      <c r="DF149" s="222"/>
      <c r="DG149" s="222"/>
      <c r="DH149" s="222"/>
      <c r="DI149" s="222"/>
      <c r="DJ149" s="222"/>
      <c r="DK149" s="222"/>
      <c r="DL149" s="222"/>
      <c r="DM149" s="222"/>
      <c r="DN149" s="222"/>
      <c r="DO149" s="222"/>
      <c r="DP149" s="222"/>
      <c r="DQ149" s="222"/>
      <c r="DR149" s="222"/>
      <c r="DS149" s="222"/>
      <c r="DT149" s="222"/>
      <c r="DU149" s="222"/>
      <c r="DV149" s="222"/>
      <c r="DW149" s="222"/>
      <c r="DX149" s="222"/>
      <c r="DY149" s="222"/>
      <c r="DZ149" s="222"/>
      <c r="EA149" s="222"/>
      <c r="EB149" s="222"/>
      <c r="EC149" s="222"/>
      <c r="ED149" s="222"/>
      <c r="EE149" s="222"/>
      <c r="EF149" s="222"/>
      <c r="EG149" s="222"/>
      <c r="EH149" s="222"/>
    </row>
    <row r="150" spans="1:138" hidden="1">
      <c r="A150" s="222"/>
      <c r="B150" s="318"/>
      <c r="C150" s="310" t="s">
        <v>297</v>
      </c>
      <c r="D150" s="319"/>
      <c r="E150" s="311"/>
      <c r="F150" s="311"/>
      <c r="G150" s="311"/>
      <c r="H150" s="311"/>
      <c r="I150" s="311"/>
      <c r="J150" s="311"/>
      <c r="K150" s="311"/>
      <c r="L150" s="311"/>
      <c r="M150" s="311"/>
      <c r="N150" s="311"/>
      <c r="O150" s="311"/>
      <c r="P150" s="311"/>
      <c r="Q150" s="311"/>
      <c r="R150" s="311"/>
      <c r="S150" s="311"/>
      <c r="T150" s="311">
        <f>5500000</f>
        <v>5500000</v>
      </c>
      <c r="U150" s="311"/>
      <c r="V150" s="311"/>
      <c r="W150" s="311"/>
      <c r="X150" s="311"/>
      <c r="Y150" s="311"/>
      <c r="Z150" s="311"/>
      <c r="AA150" s="311"/>
      <c r="AB150" s="311"/>
      <c r="AC150" s="311"/>
      <c r="AD150" s="311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1"/>
      <c r="AO150" s="311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1"/>
      <c r="AZ150" s="311"/>
      <c r="BA150" s="311"/>
      <c r="BB150" s="311"/>
      <c r="BC150" s="312"/>
      <c r="BD150" s="311"/>
      <c r="BE150" s="311"/>
      <c r="BF150" s="311"/>
      <c r="BG150" s="311"/>
      <c r="BH150" s="311"/>
      <c r="BI150" s="311"/>
      <c r="BJ150" s="311"/>
      <c r="BK150" s="311"/>
      <c r="BL150" s="311"/>
      <c r="BM150" s="311"/>
      <c r="BN150" s="311"/>
      <c r="BO150" s="311"/>
      <c r="BP150" s="311"/>
      <c r="BQ150" s="311"/>
      <c r="BR150" s="311"/>
      <c r="BS150" s="311"/>
      <c r="BT150" s="311"/>
      <c r="BU150" s="311"/>
      <c r="BV150" s="311"/>
      <c r="BW150" s="311"/>
      <c r="BX150" s="311">
        <f>IF(D122&gt;0.25,(BX117-BX125)*D151,BX117*D151)</f>
        <v>0</v>
      </c>
      <c r="BY150" s="307"/>
      <c r="BZ150" s="307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22"/>
      <c r="CO150" s="222"/>
      <c r="CP150" s="222"/>
      <c r="CQ150" s="222"/>
      <c r="CR150" s="222"/>
      <c r="CS150" s="222"/>
      <c r="CT150" s="222"/>
      <c r="CU150" s="222"/>
      <c r="CV150" s="222"/>
      <c r="CW150" s="222"/>
      <c r="CX150" s="222"/>
      <c r="CY150" s="222"/>
      <c r="CZ150" s="222"/>
      <c r="DA150" s="222"/>
      <c r="DB150" s="222"/>
      <c r="DC150" s="222"/>
      <c r="DD150" s="222"/>
      <c r="DE150" s="222"/>
      <c r="DF150" s="222"/>
      <c r="DG150" s="222"/>
      <c r="DH150" s="222"/>
      <c r="DI150" s="222"/>
      <c r="DJ150" s="222"/>
      <c r="DK150" s="222"/>
      <c r="DL150" s="222"/>
      <c r="DM150" s="222"/>
      <c r="DN150" s="222"/>
      <c r="DO150" s="222"/>
      <c r="DP150" s="222"/>
      <c r="DQ150" s="222"/>
      <c r="DR150" s="222"/>
      <c r="DS150" s="222"/>
      <c r="DT150" s="222"/>
      <c r="DU150" s="222"/>
      <c r="DV150" s="222"/>
      <c r="DW150" s="222"/>
      <c r="DX150" s="222"/>
      <c r="DY150" s="222"/>
      <c r="DZ150" s="222"/>
      <c r="EA150" s="222"/>
      <c r="EB150" s="222"/>
      <c r="EC150" s="222"/>
      <c r="ED150" s="222"/>
      <c r="EE150" s="222"/>
      <c r="EF150" s="222"/>
      <c r="EG150" s="222"/>
      <c r="EH150" s="222"/>
    </row>
    <row r="151" spans="1:138" hidden="1">
      <c r="A151" s="222"/>
      <c r="B151" s="318"/>
      <c r="C151" s="313" t="s">
        <v>298</v>
      </c>
      <c r="D151" s="319">
        <v>0</v>
      </c>
      <c r="E151" s="311"/>
      <c r="F151" s="311"/>
      <c r="G151" s="311"/>
      <c r="H151" s="311"/>
      <c r="I151" s="311"/>
      <c r="J151" s="311"/>
      <c r="K151" s="311"/>
      <c r="L151" s="311"/>
      <c r="M151" s="311"/>
      <c r="N151" s="311"/>
      <c r="O151" s="311"/>
      <c r="P151" s="311"/>
      <c r="Q151" s="311"/>
      <c r="R151" s="311"/>
      <c r="S151" s="311"/>
      <c r="T151" s="311"/>
      <c r="U151" s="311"/>
      <c r="V151" s="311"/>
      <c r="W151" s="311"/>
      <c r="X151" s="311"/>
      <c r="Y151" s="311"/>
      <c r="Z151" s="311"/>
      <c r="AA151" s="311"/>
      <c r="AB151" s="311"/>
      <c r="AC151" s="311"/>
      <c r="AD151" s="311"/>
      <c r="AE151" s="311"/>
      <c r="AF151" s="311"/>
      <c r="AG151" s="311"/>
      <c r="AH151" s="311"/>
      <c r="AI151" s="311"/>
      <c r="AJ151" s="311"/>
      <c r="AK151" s="311"/>
      <c r="AL151" s="311"/>
      <c r="AM151" s="311"/>
      <c r="AN151" s="311"/>
      <c r="AO151" s="311"/>
      <c r="AP151" s="311"/>
      <c r="AQ151" s="311"/>
      <c r="AR151" s="311"/>
      <c r="AS151" s="311"/>
      <c r="AT151" s="311"/>
      <c r="AU151" s="311"/>
      <c r="AV151" s="311"/>
      <c r="AW151" s="311"/>
      <c r="AX151" s="311"/>
      <c r="AY151" s="311"/>
      <c r="AZ151" s="311"/>
      <c r="BA151" s="311"/>
      <c r="BB151" s="311"/>
      <c r="BC151" s="312"/>
      <c r="BD151" s="311"/>
      <c r="BE151" s="311"/>
      <c r="BF151" s="311"/>
      <c r="BG151" s="311"/>
      <c r="BH151" s="311"/>
      <c r="BI151" s="311"/>
      <c r="BJ151" s="311"/>
      <c r="BK151" s="311"/>
      <c r="BL151" s="311"/>
      <c r="BM151" s="311"/>
      <c r="BN151" s="311"/>
      <c r="BO151" s="311"/>
      <c r="BP151" s="311"/>
      <c r="BQ151" s="311"/>
      <c r="BR151" s="311"/>
      <c r="BS151" s="311"/>
      <c r="BT151" s="311"/>
      <c r="BU151" s="311"/>
      <c r="BV151" s="311"/>
      <c r="BW151" s="311"/>
      <c r="BX151" s="311"/>
      <c r="BY151" s="307"/>
      <c r="BZ151" s="307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222"/>
      <c r="DX151" s="222"/>
      <c r="DY151" s="222"/>
      <c r="DZ151" s="222"/>
      <c r="EA151" s="222"/>
      <c r="EB151" s="222"/>
      <c r="EC151" s="222"/>
      <c r="ED151" s="222"/>
      <c r="EE151" s="222"/>
      <c r="EF151" s="222"/>
      <c r="EG151" s="222"/>
      <c r="EH151" s="222"/>
    </row>
    <row r="152" spans="1:138" hidden="1">
      <c r="A152" s="222"/>
      <c r="B152" s="318"/>
      <c r="C152" s="310" t="s">
        <v>299</v>
      </c>
      <c r="D152" s="311"/>
      <c r="E152" s="321">
        <f t="shared" ref="E152:BX152" si="57">E147+E148+E149+E150+E151</f>
        <v>0</v>
      </c>
      <c r="F152" s="321">
        <f t="shared" si="57"/>
        <v>0</v>
      </c>
      <c r="G152" s="321">
        <f t="shared" si="57"/>
        <v>0</v>
      </c>
      <c r="H152" s="321">
        <f t="shared" si="57"/>
        <v>-10682501</v>
      </c>
      <c r="I152" s="321">
        <f t="shared" si="57"/>
        <v>0</v>
      </c>
      <c r="J152" s="321">
        <f t="shared" si="57"/>
        <v>0</v>
      </c>
      <c r="K152" s="321">
        <f t="shared" si="57"/>
        <v>0</v>
      </c>
      <c r="L152" s="321">
        <f t="shared" si="57"/>
        <v>15913.92</v>
      </c>
      <c r="M152" s="321">
        <f t="shared" si="57"/>
        <v>0</v>
      </c>
      <c r="N152" s="321">
        <f t="shared" si="57"/>
        <v>0</v>
      </c>
      <c r="O152" s="321">
        <f t="shared" si="57"/>
        <v>0</v>
      </c>
      <c r="P152" s="321">
        <f t="shared" si="57"/>
        <v>0</v>
      </c>
      <c r="Q152" s="321">
        <f t="shared" si="57"/>
        <v>36051</v>
      </c>
      <c r="R152" s="321">
        <f t="shared" si="57"/>
        <v>393250</v>
      </c>
      <c r="S152" s="321">
        <f t="shared" si="57"/>
        <v>0</v>
      </c>
      <c r="T152" s="321">
        <f t="shared" si="57"/>
        <v>16182501</v>
      </c>
      <c r="U152" s="321">
        <f t="shared" si="57"/>
        <v>0</v>
      </c>
      <c r="V152" s="321">
        <f t="shared" si="57"/>
        <v>0</v>
      </c>
      <c r="W152" s="321">
        <f t="shared" si="57"/>
        <v>0</v>
      </c>
      <c r="X152" s="321">
        <f t="shared" si="57"/>
        <v>0</v>
      </c>
      <c r="Y152" s="321">
        <f t="shared" si="57"/>
        <v>0</v>
      </c>
      <c r="Z152" s="321">
        <f t="shared" si="57"/>
        <v>0</v>
      </c>
      <c r="AA152" s="321">
        <f t="shared" si="57"/>
        <v>0</v>
      </c>
      <c r="AB152" s="321">
        <f t="shared" si="57"/>
        <v>0</v>
      </c>
      <c r="AC152" s="321">
        <f t="shared" si="57"/>
        <v>0</v>
      </c>
      <c r="AD152" s="321">
        <f t="shared" si="57"/>
        <v>0</v>
      </c>
      <c r="AE152" s="321">
        <f t="shared" si="57"/>
        <v>0</v>
      </c>
      <c r="AF152" s="321">
        <f t="shared" si="57"/>
        <v>0</v>
      </c>
      <c r="AG152" s="321">
        <f t="shared" si="57"/>
        <v>0</v>
      </c>
      <c r="AH152" s="321">
        <f t="shared" si="57"/>
        <v>0</v>
      </c>
      <c r="AI152" s="321">
        <f t="shared" si="57"/>
        <v>0</v>
      </c>
      <c r="AJ152" s="321">
        <f t="shared" si="57"/>
        <v>0</v>
      </c>
      <c r="AK152" s="321">
        <f t="shared" si="57"/>
        <v>0</v>
      </c>
      <c r="AL152" s="321">
        <f t="shared" si="57"/>
        <v>0</v>
      </c>
      <c r="AM152" s="321">
        <f t="shared" si="57"/>
        <v>0</v>
      </c>
      <c r="AN152" s="321">
        <f t="shared" si="57"/>
        <v>0</v>
      </c>
      <c r="AO152" s="321">
        <f t="shared" si="57"/>
        <v>0</v>
      </c>
      <c r="AP152" s="321">
        <f t="shared" si="57"/>
        <v>0</v>
      </c>
      <c r="AQ152" s="321">
        <f t="shared" si="57"/>
        <v>0</v>
      </c>
      <c r="AR152" s="321">
        <f t="shared" si="57"/>
        <v>0</v>
      </c>
      <c r="AS152" s="321">
        <f t="shared" si="57"/>
        <v>0</v>
      </c>
      <c r="AT152" s="321">
        <f t="shared" si="57"/>
        <v>0</v>
      </c>
      <c r="AU152" s="321">
        <f t="shared" si="57"/>
        <v>0</v>
      </c>
      <c r="AV152" s="321">
        <f t="shared" si="57"/>
        <v>0</v>
      </c>
      <c r="AW152" s="321">
        <f t="shared" si="57"/>
        <v>0</v>
      </c>
      <c r="AX152" s="321">
        <f t="shared" si="57"/>
        <v>0</v>
      </c>
      <c r="AY152" s="321">
        <f t="shared" si="57"/>
        <v>0</v>
      </c>
      <c r="AZ152" s="321">
        <f t="shared" si="57"/>
        <v>0</v>
      </c>
      <c r="BA152" s="321">
        <f t="shared" si="57"/>
        <v>0</v>
      </c>
      <c r="BB152" s="321">
        <f t="shared" si="57"/>
        <v>0</v>
      </c>
      <c r="BC152" s="321">
        <f t="shared" si="57"/>
        <v>0</v>
      </c>
      <c r="BD152" s="321">
        <f t="shared" si="57"/>
        <v>0</v>
      </c>
      <c r="BE152" s="321">
        <f t="shared" si="57"/>
        <v>0</v>
      </c>
      <c r="BF152" s="321">
        <f t="shared" si="57"/>
        <v>0</v>
      </c>
      <c r="BG152" s="321">
        <f t="shared" si="57"/>
        <v>0</v>
      </c>
      <c r="BH152" s="321">
        <f t="shared" si="57"/>
        <v>0</v>
      </c>
      <c r="BI152" s="321">
        <f t="shared" si="57"/>
        <v>0</v>
      </c>
      <c r="BJ152" s="321">
        <f t="shared" si="57"/>
        <v>0</v>
      </c>
      <c r="BK152" s="321">
        <f t="shared" si="57"/>
        <v>0</v>
      </c>
      <c r="BL152" s="321">
        <f t="shared" si="57"/>
        <v>0</v>
      </c>
      <c r="BM152" s="321">
        <f t="shared" si="57"/>
        <v>0</v>
      </c>
      <c r="BN152" s="321">
        <f t="shared" si="57"/>
        <v>0</v>
      </c>
      <c r="BO152" s="321">
        <f t="shared" si="57"/>
        <v>0</v>
      </c>
      <c r="BP152" s="321">
        <f t="shared" si="57"/>
        <v>0</v>
      </c>
      <c r="BQ152" s="321">
        <f t="shared" si="57"/>
        <v>0</v>
      </c>
      <c r="BR152" s="321">
        <f t="shared" si="57"/>
        <v>0</v>
      </c>
      <c r="BS152" s="321">
        <f t="shared" si="57"/>
        <v>0</v>
      </c>
      <c r="BT152" s="321">
        <f t="shared" si="57"/>
        <v>0</v>
      </c>
      <c r="BU152" s="321">
        <f t="shared" si="57"/>
        <v>0</v>
      </c>
      <c r="BV152" s="321">
        <f t="shared" si="57"/>
        <v>0</v>
      </c>
      <c r="BW152" s="321">
        <f t="shared" si="57"/>
        <v>0</v>
      </c>
      <c r="BX152" s="321">
        <f t="shared" si="57"/>
        <v>0</v>
      </c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22"/>
      <c r="CO152" s="222"/>
      <c r="CP152" s="222"/>
      <c r="CQ152" s="222"/>
      <c r="CR152" s="222"/>
      <c r="CS152" s="222"/>
      <c r="CT152" s="222"/>
      <c r="CU152" s="222"/>
      <c r="CV152" s="222"/>
      <c r="CW152" s="222"/>
      <c r="CX152" s="222"/>
      <c r="CY152" s="222"/>
      <c r="CZ152" s="222"/>
      <c r="DA152" s="222"/>
      <c r="DB152" s="222"/>
      <c r="DC152" s="222"/>
      <c r="DD152" s="222"/>
      <c r="DE152" s="222"/>
      <c r="DF152" s="222"/>
      <c r="DG152" s="222"/>
      <c r="DH152" s="222"/>
      <c r="DI152" s="222"/>
      <c r="DJ152" s="222"/>
      <c r="DK152" s="222"/>
      <c r="DL152" s="222"/>
      <c r="DM152" s="222"/>
      <c r="DN152" s="222"/>
      <c r="DO152" s="222"/>
      <c r="DP152" s="222"/>
      <c r="DQ152" s="222"/>
      <c r="DR152" s="222"/>
      <c r="DS152" s="222"/>
      <c r="DT152" s="222"/>
      <c r="DU152" s="222"/>
      <c r="DV152" s="222"/>
      <c r="DW152" s="222"/>
      <c r="DX152" s="222"/>
      <c r="DY152" s="222"/>
      <c r="DZ152" s="222"/>
      <c r="EA152" s="222"/>
      <c r="EB152" s="222"/>
      <c r="EC152" s="222"/>
      <c r="ED152" s="222"/>
      <c r="EE152" s="222"/>
      <c r="EF152" s="222"/>
      <c r="EG152" s="222"/>
      <c r="EH152" s="222"/>
    </row>
    <row r="153" spans="1:138" hidden="1">
      <c r="A153" s="222"/>
      <c r="B153" s="318"/>
      <c r="C153" s="314"/>
      <c r="D153" s="322" t="s">
        <v>306</v>
      </c>
      <c r="E153" s="327">
        <f>E152</f>
        <v>0</v>
      </c>
      <c r="F153" s="327">
        <f t="shared" ref="F153:BX153" si="58">E153+F152</f>
        <v>0</v>
      </c>
      <c r="G153" s="327">
        <f t="shared" si="58"/>
        <v>0</v>
      </c>
      <c r="H153" s="327">
        <f t="shared" si="58"/>
        <v>-10682501</v>
      </c>
      <c r="I153" s="327">
        <f t="shared" si="58"/>
        <v>-10682501</v>
      </c>
      <c r="J153" s="327">
        <f t="shared" si="58"/>
        <v>-10682501</v>
      </c>
      <c r="K153" s="327">
        <f t="shared" si="58"/>
        <v>-10682501</v>
      </c>
      <c r="L153" s="327">
        <f t="shared" si="58"/>
        <v>-10666587.08</v>
      </c>
      <c r="M153" s="327">
        <f t="shared" si="58"/>
        <v>-10666587.08</v>
      </c>
      <c r="N153" s="327">
        <f t="shared" si="58"/>
        <v>-10666587.08</v>
      </c>
      <c r="O153" s="327">
        <f t="shared" si="58"/>
        <v>-10666587.08</v>
      </c>
      <c r="P153" s="327">
        <f t="shared" si="58"/>
        <v>-10666587.08</v>
      </c>
      <c r="Q153" s="327">
        <f t="shared" si="58"/>
        <v>-10630536.08</v>
      </c>
      <c r="R153" s="327">
        <f t="shared" si="58"/>
        <v>-10237286.08</v>
      </c>
      <c r="S153" s="327">
        <f t="shared" si="58"/>
        <v>-10237286.08</v>
      </c>
      <c r="T153" s="327">
        <f t="shared" si="58"/>
        <v>5945214.9199999999</v>
      </c>
      <c r="U153" s="327">
        <f t="shared" si="58"/>
        <v>5945214.9199999999</v>
      </c>
      <c r="V153" s="328">
        <f t="shared" si="58"/>
        <v>5945214.9199999999</v>
      </c>
      <c r="W153" s="328">
        <f t="shared" si="58"/>
        <v>5945214.9199999999</v>
      </c>
      <c r="X153" s="328">
        <f t="shared" si="58"/>
        <v>5945214.9199999999</v>
      </c>
      <c r="Y153" s="328">
        <f t="shared" si="58"/>
        <v>5945214.9199999999</v>
      </c>
      <c r="Z153" s="328">
        <f t="shared" si="58"/>
        <v>5945214.9199999999</v>
      </c>
      <c r="AA153" s="328">
        <f t="shared" si="58"/>
        <v>5945214.9199999999</v>
      </c>
      <c r="AB153" s="328">
        <f t="shared" si="58"/>
        <v>5945214.9199999999</v>
      </c>
      <c r="AC153" s="328">
        <f t="shared" si="58"/>
        <v>5945214.9199999999</v>
      </c>
      <c r="AD153" s="328">
        <f t="shared" si="58"/>
        <v>5945214.9199999999</v>
      </c>
      <c r="AE153" s="328">
        <f t="shared" si="58"/>
        <v>5945214.9199999999</v>
      </c>
      <c r="AF153" s="328">
        <f t="shared" si="58"/>
        <v>5945214.9199999999</v>
      </c>
      <c r="AG153" s="328">
        <f t="shared" si="58"/>
        <v>5945214.9199999999</v>
      </c>
      <c r="AH153" s="328">
        <f t="shared" si="58"/>
        <v>5945214.9199999999</v>
      </c>
      <c r="AI153" s="328">
        <f t="shared" si="58"/>
        <v>5945214.9199999999</v>
      </c>
      <c r="AJ153" s="328">
        <f t="shared" si="58"/>
        <v>5945214.9199999999</v>
      </c>
      <c r="AK153" s="328">
        <f t="shared" si="58"/>
        <v>5945214.9199999999</v>
      </c>
      <c r="AL153" s="328">
        <f t="shared" si="58"/>
        <v>5945214.9199999999</v>
      </c>
      <c r="AM153" s="328">
        <f t="shared" si="58"/>
        <v>5945214.9199999999</v>
      </c>
      <c r="AN153" s="328">
        <f t="shared" si="58"/>
        <v>5945214.9199999999</v>
      </c>
      <c r="AO153" s="328">
        <f t="shared" si="58"/>
        <v>5945214.9199999999</v>
      </c>
      <c r="AP153" s="328">
        <f t="shared" si="58"/>
        <v>5945214.9199999999</v>
      </c>
      <c r="AQ153" s="328">
        <f t="shared" si="58"/>
        <v>5945214.9199999999</v>
      </c>
      <c r="AR153" s="328">
        <f t="shared" si="58"/>
        <v>5945214.9199999999</v>
      </c>
      <c r="AS153" s="328">
        <f t="shared" si="58"/>
        <v>5945214.9199999999</v>
      </c>
      <c r="AT153" s="328">
        <f t="shared" si="58"/>
        <v>5945214.9199999999</v>
      </c>
      <c r="AU153" s="328">
        <f t="shared" si="58"/>
        <v>5945214.9199999999</v>
      </c>
      <c r="AV153" s="328">
        <f t="shared" si="58"/>
        <v>5945214.9199999999</v>
      </c>
      <c r="AW153" s="328">
        <f t="shared" si="58"/>
        <v>5945214.9199999999</v>
      </c>
      <c r="AX153" s="328">
        <f t="shared" si="58"/>
        <v>5945214.9199999999</v>
      </c>
      <c r="AY153" s="328">
        <f t="shared" si="58"/>
        <v>5945214.9199999999</v>
      </c>
      <c r="AZ153" s="328">
        <f t="shared" si="58"/>
        <v>5945214.9199999999</v>
      </c>
      <c r="BA153" s="328">
        <f t="shared" si="58"/>
        <v>5945214.9199999999</v>
      </c>
      <c r="BB153" s="328">
        <f t="shared" si="58"/>
        <v>5945214.9199999999</v>
      </c>
      <c r="BC153" s="327">
        <f t="shared" si="58"/>
        <v>5945214.9199999999</v>
      </c>
      <c r="BD153" s="327">
        <f t="shared" si="58"/>
        <v>5945214.9199999999</v>
      </c>
      <c r="BE153" s="327">
        <f t="shared" si="58"/>
        <v>5945214.9199999999</v>
      </c>
      <c r="BF153" s="327">
        <f t="shared" si="58"/>
        <v>5945214.9199999999</v>
      </c>
      <c r="BG153" s="327">
        <f t="shared" si="58"/>
        <v>5945214.9199999999</v>
      </c>
      <c r="BH153" s="327">
        <f t="shared" si="58"/>
        <v>5945214.9199999999</v>
      </c>
      <c r="BI153" s="327">
        <f t="shared" si="58"/>
        <v>5945214.9199999999</v>
      </c>
      <c r="BJ153" s="327">
        <f t="shared" si="58"/>
        <v>5945214.9199999999</v>
      </c>
      <c r="BK153" s="327">
        <f t="shared" si="58"/>
        <v>5945214.9199999999</v>
      </c>
      <c r="BL153" s="327">
        <f t="shared" si="58"/>
        <v>5945214.9199999999</v>
      </c>
      <c r="BM153" s="327">
        <f t="shared" si="58"/>
        <v>5945214.9199999999</v>
      </c>
      <c r="BN153" s="327">
        <f t="shared" si="58"/>
        <v>5945214.9199999999</v>
      </c>
      <c r="BO153" s="327">
        <f t="shared" si="58"/>
        <v>5945214.9199999999</v>
      </c>
      <c r="BP153" s="327">
        <f t="shared" si="58"/>
        <v>5945214.9199999999</v>
      </c>
      <c r="BQ153" s="327">
        <f t="shared" si="58"/>
        <v>5945214.9199999999</v>
      </c>
      <c r="BR153" s="327">
        <f t="shared" si="58"/>
        <v>5945214.9199999999</v>
      </c>
      <c r="BS153" s="327">
        <f t="shared" si="58"/>
        <v>5945214.9199999999</v>
      </c>
      <c r="BT153" s="327">
        <f t="shared" si="58"/>
        <v>5945214.9199999999</v>
      </c>
      <c r="BU153" s="327">
        <f t="shared" si="58"/>
        <v>5945214.9199999999</v>
      </c>
      <c r="BV153" s="327">
        <f t="shared" si="58"/>
        <v>5945214.9199999999</v>
      </c>
      <c r="BW153" s="327">
        <f t="shared" si="58"/>
        <v>5945214.9199999999</v>
      </c>
      <c r="BX153" s="327">
        <f t="shared" si="58"/>
        <v>5945214.9199999999</v>
      </c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22"/>
      <c r="CO153" s="222"/>
      <c r="CP153" s="222"/>
      <c r="CQ153" s="222"/>
      <c r="CR153" s="222"/>
      <c r="CS153" s="222"/>
      <c r="CT153" s="222"/>
      <c r="CU153" s="222"/>
      <c r="CV153" s="222"/>
      <c r="CW153" s="222"/>
      <c r="CX153" s="222"/>
      <c r="CY153" s="222"/>
      <c r="CZ153" s="222"/>
      <c r="DA153" s="222"/>
      <c r="DB153" s="222"/>
      <c r="DC153" s="222"/>
      <c r="DD153" s="222"/>
      <c r="DE153" s="222"/>
      <c r="DF153" s="222"/>
      <c r="DG153" s="222"/>
      <c r="DH153" s="222"/>
      <c r="DI153" s="222"/>
      <c r="DJ153" s="222"/>
      <c r="DK153" s="222"/>
      <c r="DL153" s="222"/>
      <c r="DM153" s="222"/>
      <c r="DN153" s="222"/>
      <c r="DO153" s="222"/>
      <c r="DP153" s="222"/>
      <c r="DQ153" s="222"/>
      <c r="DR153" s="222"/>
      <c r="DS153" s="222"/>
      <c r="DT153" s="222"/>
      <c r="DU153" s="222"/>
      <c r="DV153" s="222"/>
      <c r="DW153" s="222"/>
      <c r="DX153" s="222"/>
      <c r="DY153" s="222"/>
      <c r="DZ153" s="222"/>
      <c r="EA153" s="222"/>
      <c r="EB153" s="222"/>
      <c r="EC153" s="222"/>
      <c r="ED153" s="222"/>
      <c r="EE153" s="222"/>
      <c r="EF153" s="222"/>
      <c r="EG153" s="222"/>
      <c r="EH153" s="222"/>
    </row>
    <row r="154" spans="1:138" hidden="1">
      <c r="A154" s="222"/>
      <c r="B154" s="318"/>
      <c r="C154" s="313" t="s">
        <v>292</v>
      </c>
      <c r="D154" s="322">
        <f>IRR(H152:T152)*12</f>
        <v>0.45321567709639776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  <c r="BB154" s="222"/>
      <c r="BC154" s="222"/>
      <c r="BD154" s="222"/>
      <c r="BE154" s="222"/>
      <c r="BF154" s="222"/>
      <c r="BG154" s="222"/>
      <c r="BH154" s="222"/>
      <c r="BI154" s="222"/>
      <c r="BJ154" s="222"/>
      <c r="BK154" s="222"/>
      <c r="BL154" s="222"/>
      <c r="BM154" s="222"/>
      <c r="BN154" s="222"/>
      <c r="BO154" s="222"/>
      <c r="BP154" s="222"/>
      <c r="BQ154" s="222"/>
      <c r="BR154" s="222"/>
      <c r="BS154" s="222"/>
      <c r="BT154" s="222"/>
      <c r="BU154" s="222"/>
      <c r="BV154" s="222"/>
      <c r="BW154" s="222"/>
      <c r="BX154" s="222"/>
      <c r="BY154" s="222"/>
      <c r="BZ154" s="222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22"/>
      <c r="CO154" s="222"/>
      <c r="CP154" s="222"/>
      <c r="CQ154" s="222"/>
      <c r="CR154" s="222"/>
      <c r="CS154" s="222"/>
      <c r="CT154" s="222"/>
      <c r="CU154" s="222"/>
      <c r="CV154" s="222"/>
      <c r="CW154" s="222"/>
      <c r="CX154" s="222"/>
      <c r="CY154" s="222"/>
      <c r="CZ154" s="222"/>
      <c r="DA154" s="222"/>
      <c r="DB154" s="222"/>
      <c r="DC154" s="222"/>
      <c r="DD154" s="222"/>
      <c r="DE154" s="222"/>
      <c r="DF154" s="222"/>
      <c r="DG154" s="222"/>
      <c r="DH154" s="222"/>
      <c r="DI154" s="222"/>
      <c r="DJ154" s="222"/>
      <c r="DK154" s="222"/>
      <c r="DL154" s="222"/>
      <c r="DM154" s="222"/>
      <c r="DN154" s="222"/>
      <c r="DO154" s="222"/>
      <c r="DP154" s="222"/>
      <c r="DQ154" s="222"/>
      <c r="DR154" s="222"/>
      <c r="DS154" s="222"/>
      <c r="DT154" s="222"/>
      <c r="DU154" s="222"/>
      <c r="DV154" s="222"/>
      <c r="DW154" s="222"/>
      <c r="DX154" s="222"/>
      <c r="DY154" s="222"/>
      <c r="DZ154" s="222"/>
      <c r="EA154" s="222"/>
      <c r="EB154" s="222"/>
      <c r="EC154" s="222"/>
      <c r="ED154" s="222"/>
      <c r="EE154" s="222"/>
      <c r="EF154" s="222"/>
      <c r="EG154" s="222"/>
      <c r="EH154" s="222"/>
    </row>
    <row r="155" spans="1:138" hidden="1">
      <c r="A155" s="222"/>
      <c r="B155" s="318"/>
      <c r="C155" s="323" t="s">
        <v>300</v>
      </c>
      <c r="D155" s="324">
        <f>-MIN(M153:BL153)-D156</f>
        <v>10666587.08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  <c r="BQ155" s="22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22"/>
      <c r="CO155" s="222"/>
      <c r="CP155" s="222"/>
      <c r="CQ155" s="222"/>
      <c r="CR155" s="222"/>
      <c r="CS155" s="222"/>
      <c r="CT155" s="222"/>
      <c r="CU155" s="222"/>
      <c r="CV155" s="222"/>
      <c r="CW155" s="222"/>
      <c r="CX155" s="222"/>
      <c r="CY155" s="222"/>
      <c r="CZ155" s="222"/>
      <c r="DA155" s="222"/>
      <c r="DB155" s="222"/>
      <c r="DC155" s="222"/>
      <c r="DD155" s="222"/>
      <c r="DE155" s="222"/>
      <c r="DF155" s="222"/>
      <c r="DG155" s="222"/>
      <c r="DH155" s="222"/>
      <c r="DI155" s="222"/>
      <c r="DJ155" s="222"/>
      <c r="DK155" s="222"/>
      <c r="DL155" s="222"/>
      <c r="DM155" s="222"/>
      <c r="DN155" s="222"/>
      <c r="DO155" s="222"/>
      <c r="DP155" s="222"/>
      <c r="DQ155" s="222"/>
      <c r="DR155" s="222"/>
      <c r="DS155" s="222"/>
      <c r="DT155" s="222"/>
      <c r="DU155" s="222"/>
      <c r="DV155" s="222"/>
      <c r="DW155" s="222"/>
      <c r="DX155" s="222"/>
      <c r="DY155" s="222"/>
      <c r="DZ155" s="222"/>
      <c r="EA155" s="222"/>
      <c r="EB155" s="222"/>
      <c r="EC155" s="222"/>
      <c r="ED155" s="222"/>
      <c r="EE155" s="222"/>
      <c r="EF155" s="222"/>
      <c r="EG155" s="222"/>
      <c r="EH155" s="222"/>
    </row>
    <row r="156" spans="1:138" hidden="1">
      <c r="A156" s="222"/>
      <c r="B156" s="318"/>
      <c r="C156" s="323" t="s">
        <v>301</v>
      </c>
      <c r="D156" s="324">
        <f>-SUM(M151:BB151)</f>
        <v>0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  <c r="AX156" s="222"/>
      <c r="AY156" s="222"/>
      <c r="AZ156" s="222"/>
      <c r="BA156" s="222"/>
      <c r="BB156" s="222"/>
      <c r="BC156" s="222"/>
      <c r="BD156" s="222"/>
      <c r="BE156" s="222"/>
      <c r="BF156" s="222"/>
      <c r="BG156" s="222"/>
      <c r="BH156" s="222"/>
      <c r="BI156" s="222"/>
      <c r="BJ156" s="222"/>
      <c r="BK156" s="222"/>
      <c r="BL156" s="222"/>
      <c r="BM156" s="222"/>
      <c r="BN156" s="222"/>
      <c r="BO156" s="222"/>
      <c r="BP156" s="222"/>
      <c r="BQ156" s="222"/>
      <c r="BR156" s="222"/>
      <c r="BS156" s="222"/>
      <c r="BT156" s="222"/>
      <c r="BU156" s="222"/>
      <c r="BV156" s="222"/>
      <c r="BW156" s="222"/>
      <c r="BX156" s="222"/>
      <c r="BY156" s="222"/>
      <c r="BZ156" s="222"/>
      <c r="CA156" s="222"/>
      <c r="CB156" s="222"/>
      <c r="CC156" s="222"/>
      <c r="CD156" s="222"/>
      <c r="CE156" s="222"/>
      <c r="CF156" s="222"/>
      <c r="CG156" s="222"/>
      <c r="CH156" s="222"/>
      <c r="CI156" s="222"/>
      <c r="CJ156" s="222"/>
      <c r="CK156" s="222"/>
      <c r="CL156" s="222"/>
      <c r="CM156" s="222"/>
      <c r="CN156" s="222"/>
      <c r="CO156" s="222"/>
      <c r="CP156" s="222"/>
      <c r="CQ156" s="222"/>
      <c r="CR156" s="222"/>
      <c r="CS156" s="222"/>
      <c r="CT156" s="222"/>
      <c r="CU156" s="222"/>
      <c r="CV156" s="222"/>
      <c r="CW156" s="222"/>
      <c r="CX156" s="222"/>
      <c r="CY156" s="222"/>
      <c r="CZ156" s="222"/>
      <c r="DA156" s="222"/>
      <c r="DB156" s="222"/>
      <c r="DC156" s="222"/>
      <c r="DD156" s="222"/>
      <c r="DE156" s="222"/>
      <c r="DF156" s="222"/>
      <c r="DG156" s="222"/>
      <c r="DH156" s="222"/>
      <c r="DI156" s="222"/>
      <c r="DJ156" s="222"/>
      <c r="DK156" s="222"/>
      <c r="DL156" s="222"/>
      <c r="DM156" s="222"/>
      <c r="DN156" s="222"/>
      <c r="DO156" s="222"/>
      <c r="DP156" s="222"/>
      <c r="DQ156" s="222"/>
      <c r="DR156" s="222"/>
      <c r="DS156" s="222"/>
      <c r="DT156" s="222"/>
      <c r="DU156" s="222"/>
      <c r="DV156" s="222"/>
      <c r="DW156" s="222"/>
      <c r="DX156" s="222"/>
      <c r="DY156" s="222"/>
      <c r="DZ156" s="222"/>
      <c r="EA156" s="222"/>
      <c r="EB156" s="222"/>
      <c r="EC156" s="222"/>
      <c r="ED156" s="222"/>
      <c r="EE156" s="222"/>
      <c r="EF156" s="222"/>
      <c r="EG156" s="222"/>
      <c r="EH156" s="222"/>
    </row>
    <row r="157" spans="1:138" hidden="1">
      <c r="A157" s="222"/>
      <c r="B157" s="318"/>
      <c r="C157" s="313" t="s">
        <v>302</v>
      </c>
      <c r="D157" s="326">
        <f>D156+D155</f>
        <v>10666587.08</v>
      </c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  <c r="BB157" s="222"/>
      <c r="BC157" s="222"/>
      <c r="BD157" s="222"/>
      <c r="BE157" s="222"/>
      <c r="BF157" s="222"/>
      <c r="BG157" s="222"/>
      <c r="BH157" s="222"/>
      <c r="BI157" s="222"/>
      <c r="BJ157" s="222"/>
      <c r="BK157" s="222"/>
      <c r="BL157" s="222"/>
      <c r="BM157" s="222"/>
      <c r="BN157" s="222"/>
      <c r="BO157" s="222"/>
      <c r="BP157" s="222"/>
      <c r="BQ157" s="222"/>
      <c r="BR157" s="222"/>
      <c r="BS157" s="222"/>
      <c r="BT157" s="222"/>
      <c r="BU157" s="222"/>
      <c r="BV157" s="222"/>
      <c r="BW157" s="222"/>
      <c r="BX157" s="222"/>
      <c r="BY157" s="222"/>
      <c r="BZ157" s="222"/>
      <c r="CA157" s="222"/>
      <c r="CB157" s="222"/>
      <c r="CC157" s="222"/>
      <c r="CD157" s="222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2"/>
      <c r="CV157" s="222"/>
      <c r="CW157" s="222"/>
      <c r="CX157" s="222"/>
      <c r="CY157" s="222"/>
      <c r="CZ157" s="222"/>
      <c r="DA157" s="222"/>
      <c r="DB157" s="222"/>
      <c r="DC157" s="222"/>
      <c r="DD157" s="222"/>
      <c r="DE157" s="222"/>
      <c r="DF157" s="222"/>
      <c r="DG157" s="222"/>
      <c r="DH157" s="222"/>
      <c r="DI157" s="222"/>
      <c r="DJ157" s="222"/>
      <c r="DK157" s="222"/>
      <c r="DL157" s="222"/>
      <c r="DM157" s="222"/>
      <c r="DN157" s="222"/>
      <c r="DO157" s="222"/>
      <c r="DP157" s="222"/>
      <c r="DQ157" s="222"/>
      <c r="DR157" s="222"/>
      <c r="DS157" s="222"/>
      <c r="DT157" s="222"/>
      <c r="DU157" s="222"/>
      <c r="DV157" s="222"/>
      <c r="DW157" s="325"/>
      <c r="DX157" s="325"/>
      <c r="DY157" s="325"/>
      <c r="DZ157" s="325"/>
      <c r="EA157" s="325"/>
      <c r="EB157" s="325"/>
      <c r="EC157" s="325"/>
      <c r="ED157" s="325"/>
      <c r="EE157" s="325"/>
      <c r="EF157" s="325"/>
      <c r="EG157" s="325"/>
      <c r="EH157" s="325"/>
    </row>
    <row r="158" spans="1:138" hidden="1">
      <c r="A158" s="222"/>
      <c r="B158" s="318"/>
      <c r="C158" s="313" t="s">
        <v>303</v>
      </c>
      <c r="D158" s="326">
        <f>BX149+BX150</f>
        <v>0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  <c r="BB158" s="222"/>
      <c r="BC158" s="222"/>
      <c r="BD158" s="222"/>
      <c r="BE158" s="222"/>
      <c r="BF158" s="222"/>
      <c r="BG158" s="222"/>
      <c r="BH158" s="222"/>
      <c r="BI158" s="222"/>
      <c r="BJ158" s="222"/>
      <c r="BK158" s="222"/>
      <c r="BL158" s="222"/>
      <c r="BM158" s="222"/>
      <c r="BN158" s="222"/>
      <c r="BO158" s="222"/>
      <c r="BP158" s="222"/>
      <c r="BQ158" s="222"/>
      <c r="BR158" s="222"/>
      <c r="BS158" s="222"/>
      <c r="BT158" s="222"/>
      <c r="BU158" s="222"/>
      <c r="BV158" s="222"/>
      <c r="BW158" s="222"/>
      <c r="BX158" s="222"/>
      <c r="BY158" s="222"/>
      <c r="BZ158" s="222"/>
      <c r="CA158" s="222"/>
      <c r="CB158" s="222"/>
      <c r="CC158" s="222"/>
      <c r="CD158" s="222"/>
      <c r="CE158" s="222"/>
      <c r="CF158" s="222"/>
      <c r="CG158" s="222"/>
      <c r="CH158" s="222"/>
      <c r="CI158" s="222"/>
      <c r="CJ158" s="222"/>
      <c r="CK158" s="222"/>
      <c r="CL158" s="222"/>
      <c r="CM158" s="222"/>
      <c r="CN158" s="222"/>
      <c r="CO158" s="222"/>
      <c r="CP158" s="222"/>
      <c r="CQ158" s="222"/>
      <c r="CR158" s="222"/>
      <c r="CS158" s="222"/>
      <c r="CT158" s="222"/>
      <c r="CU158" s="222"/>
      <c r="CV158" s="222"/>
      <c r="CW158" s="222"/>
      <c r="CX158" s="222"/>
      <c r="CY158" s="222"/>
      <c r="CZ158" s="222"/>
      <c r="DA158" s="222"/>
      <c r="DB158" s="222"/>
      <c r="DC158" s="222"/>
      <c r="DD158" s="222"/>
      <c r="DE158" s="222"/>
      <c r="DF158" s="222"/>
      <c r="DG158" s="222"/>
      <c r="DH158" s="222"/>
      <c r="DI158" s="222"/>
      <c r="DJ158" s="222"/>
      <c r="DK158" s="222"/>
      <c r="DL158" s="222"/>
      <c r="DM158" s="222"/>
      <c r="DN158" s="222"/>
      <c r="DO158" s="222"/>
      <c r="DP158" s="222"/>
      <c r="DQ158" s="222"/>
      <c r="DR158" s="222"/>
      <c r="DS158" s="222"/>
      <c r="DT158" s="222"/>
      <c r="DU158" s="222"/>
      <c r="DV158" s="222"/>
      <c r="DW158" s="325"/>
      <c r="DX158" s="325"/>
      <c r="DY158" s="325"/>
      <c r="DZ158" s="325"/>
      <c r="EA158" s="325"/>
      <c r="EB158" s="325"/>
      <c r="EC158" s="325"/>
      <c r="ED158" s="325"/>
      <c r="EE158" s="325"/>
      <c r="EF158" s="325"/>
      <c r="EG158" s="325"/>
      <c r="EH158" s="325"/>
    </row>
    <row r="159" spans="1:138" hidden="1">
      <c r="A159" s="222"/>
      <c r="B159" s="318"/>
      <c r="C159" s="313" t="s">
        <v>147</v>
      </c>
      <c r="D159" s="322">
        <f>T150/T147</f>
        <v>0.51486070537227191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2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2"/>
      <c r="BK159" s="222"/>
      <c r="BL159" s="222"/>
      <c r="BM159" s="222"/>
      <c r="BN159" s="222"/>
      <c r="BO159" s="222"/>
      <c r="BP159" s="222"/>
      <c r="BQ159" s="222"/>
      <c r="BR159" s="222"/>
      <c r="BS159" s="222"/>
      <c r="BT159" s="222"/>
      <c r="BU159" s="222"/>
      <c r="BV159" s="222"/>
      <c r="BW159" s="222"/>
      <c r="BX159" s="222"/>
      <c r="BY159" s="222"/>
      <c r="BZ159" s="222"/>
      <c r="CA159" s="222"/>
      <c r="CB159" s="222"/>
      <c r="CC159" s="222"/>
      <c r="CD159" s="222"/>
      <c r="CE159" s="222"/>
      <c r="CF159" s="222"/>
      <c r="CG159" s="222"/>
      <c r="CH159" s="222"/>
      <c r="CI159" s="222"/>
      <c r="CJ159" s="222"/>
      <c r="CK159" s="222"/>
      <c r="CL159" s="222"/>
      <c r="CM159" s="222"/>
      <c r="CN159" s="222"/>
      <c r="CO159" s="222"/>
      <c r="CP159" s="222"/>
      <c r="CQ159" s="222"/>
      <c r="CR159" s="222"/>
      <c r="CS159" s="222"/>
      <c r="CT159" s="222"/>
      <c r="CU159" s="222"/>
      <c r="CV159" s="222"/>
      <c r="CW159" s="222"/>
      <c r="CX159" s="222"/>
      <c r="CY159" s="222"/>
      <c r="CZ159" s="222"/>
      <c r="DA159" s="222"/>
      <c r="DB159" s="222"/>
      <c r="DC159" s="222"/>
      <c r="DD159" s="222"/>
      <c r="DE159" s="222"/>
      <c r="DF159" s="222"/>
      <c r="DG159" s="222"/>
      <c r="DH159" s="222"/>
      <c r="DI159" s="222"/>
      <c r="DJ159" s="222"/>
      <c r="DK159" s="222"/>
      <c r="DL159" s="222"/>
      <c r="DM159" s="222"/>
      <c r="DN159" s="222"/>
      <c r="DO159" s="222"/>
      <c r="DP159" s="222"/>
      <c r="DQ159" s="222"/>
      <c r="DR159" s="222"/>
      <c r="DS159" s="222"/>
      <c r="DT159" s="222"/>
      <c r="DU159" s="222"/>
      <c r="DV159" s="222"/>
      <c r="DW159" s="325"/>
      <c r="DX159" s="325"/>
      <c r="DY159" s="325"/>
      <c r="DZ159" s="325"/>
      <c r="EA159" s="325"/>
      <c r="EB159" s="325"/>
      <c r="EC159" s="325"/>
      <c r="ED159" s="325"/>
      <c r="EE159" s="325"/>
      <c r="EF159" s="325"/>
      <c r="EG159" s="325"/>
      <c r="EH159" s="325"/>
    </row>
    <row r="160" spans="1:138" ht="14.1" hidden="1"/>
    <row r="161" spans="1:138" ht="14.1" hidden="1"/>
    <row r="162" spans="1:138" hidden="1">
      <c r="A162" s="222"/>
      <c r="B162" s="318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222"/>
      <c r="AF162" s="222"/>
      <c r="AG162" s="222"/>
      <c r="AH162" s="222"/>
      <c r="AI162" s="222"/>
      <c r="AJ162" s="222"/>
      <c r="AK162" s="222"/>
      <c r="AL162" s="222"/>
      <c r="AM162" s="222"/>
      <c r="AN162" s="222"/>
      <c r="AO162" s="222"/>
      <c r="AP162" s="222"/>
      <c r="AQ162" s="222"/>
      <c r="AR162" s="222"/>
      <c r="AS162" s="222"/>
      <c r="AT162" s="222"/>
      <c r="AU162" s="222"/>
      <c r="AV162" s="222"/>
      <c r="AW162" s="222"/>
      <c r="AX162" s="222"/>
      <c r="AY162" s="222"/>
      <c r="AZ162" s="222"/>
      <c r="BA162" s="222"/>
      <c r="BB162" s="222"/>
      <c r="BC162" s="222"/>
      <c r="BD162" s="222"/>
      <c r="BE162" s="222"/>
      <c r="BF162" s="222"/>
      <c r="BG162" s="222"/>
      <c r="BH162" s="222"/>
      <c r="BI162" s="222"/>
      <c r="BJ162" s="222"/>
      <c r="BK162" s="222"/>
      <c r="BL162" s="222"/>
      <c r="BM162" s="222"/>
      <c r="BN162" s="222"/>
      <c r="BO162" s="222"/>
      <c r="BP162" s="222"/>
      <c r="BQ162" s="222"/>
      <c r="BR162" s="222"/>
      <c r="BS162" s="222"/>
      <c r="BT162" s="222"/>
      <c r="BU162" s="222"/>
      <c r="BV162" s="222"/>
      <c r="BW162" s="222"/>
      <c r="BX162" s="222"/>
      <c r="BY162" s="222"/>
      <c r="BZ162" s="222"/>
      <c r="CA162" s="222"/>
      <c r="CB162" s="222"/>
      <c r="CC162" s="222"/>
      <c r="CD162" s="222"/>
      <c r="CE162" s="222"/>
      <c r="CF162" s="222"/>
      <c r="CG162" s="222"/>
      <c r="CH162" s="222"/>
      <c r="CI162" s="222"/>
      <c r="CJ162" s="222"/>
      <c r="CK162" s="222"/>
      <c r="CL162" s="222"/>
      <c r="CM162" s="222"/>
      <c r="CN162" s="222"/>
      <c r="CO162" s="222"/>
      <c r="CP162" s="222"/>
      <c r="CQ162" s="222"/>
      <c r="CR162" s="222"/>
      <c r="CS162" s="222"/>
      <c r="CT162" s="222"/>
      <c r="CU162" s="222"/>
      <c r="CV162" s="222"/>
      <c r="CW162" s="222"/>
      <c r="CX162" s="222"/>
      <c r="CY162" s="222"/>
      <c r="CZ162" s="222"/>
      <c r="DA162" s="222"/>
      <c r="DB162" s="222"/>
      <c r="DC162" s="222"/>
      <c r="DD162" s="222"/>
      <c r="DE162" s="222"/>
      <c r="DF162" s="222"/>
      <c r="DG162" s="222"/>
      <c r="DH162" s="222"/>
      <c r="DI162" s="222"/>
      <c r="DJ162" s="222"/>
      <c r="DK162" s="222"/>
      <c r="DL162" s="222"/>
      <c r="DM162" s="222"/>
      <c r="DN162" s="222"/>
      <c r="DO162" s="222"/>
      <c r="DP162" s="222"/>
      <c r="DQ162" s="222"/>
      <c r="DR162" s="222"/>
      <c r="DS162" s="222"/>
      <c r="DT162" s="222"/>
      <c r="DU162" s="222"/>
      <c r="DV162" s="222"/>
      <c r="DW162" s="325"/>
      <c r="DX162" s="325"/>
      <c r="DY162" s="325"/>
      <c r="DZ162" s="325"/>
      <c r="EA162" s="325"/>
      <c r="EB162" s="325"/>
      <c r="EC162" s="325"/>
      <c r="ED162" s="325"/>
      <c r="EE162" s="325"/>
      <c r="EF162" s="325"/>
      <c r="EG162" s="325"/>
      <c r="EH162" s="325"/>
    </row>
    <row r="163" spans="1:138" hidden="1">
      <c r="A163" s="222"/>
      <c r="B163" s="318"/>
      <c r="C163" s="310" t="s">
        <v>308</v>
      </c>
      <c r="D163" s="311"/>
      <c r="E163" s="311">
        <f t="shared" ref="E163:G163" si="59">-(E7+E93)</f>
        <v>0</v>
      </c>
      <c r="F163" s="311">
        <f t="shared" si="59"/>
        <v>0</v>
      </c>
      <c r="G163" s="311">
        <f t="shared" si="59"/>
        <v>0</v>
      </c>
      <c r="H163" s="311">
        <f>-5341205.5</f>
        <v>-5341205.5</v>
      </c>
      <c r="I163" s="311">
        <f t="shared" ref="I163:S163" si="60">-(I7+I93)</f>
        <v>0</v>
      </c>
      <c r="J163" s="311">
        <f t="shared" si="60"/>
        <v>0</v>
      </c>
      <c r="K163" s="311">
        <f t="shared" si="60"/>
        <v>0</v>
      </c>
      <c r="L163" s="311">
        <f t="shared" si="60"/>
        <v>0</v>
      </c>
      <c r="M163" s="311">
        <f t="shared" si="60"/>
        <v>0</v>
      </c>
      <c r="N163" s="311">
        <f t="shared" si="60"/>
        <v>0</v>
      </c>
      <c r="O163" s="311">
        <f t="shared" si="60"/>
        <v>0</v>
      </c>
      <c r="P163" s="311">
        <f t="shared" si="60"/>
        <v>0</v>
      </c>
      <c r="Q163" s="311">
        <f t="shared" si="60"/>
        <v>0</v>
      </c>
      <c r="R163" s="311">
        <f t="shared" si="60"/>
        <v>0</v>
      </c>
      <c r="S163" s="311">
        <f t="shared" si="60"/>
        <v>0</v>
      </c>
      <c r="T163" s="311">
        <f>5341205.5</f>
        <v>5341205.5</v>
      </c>
      <c r="U163" s="311">
        <f t="shared" ref="U163:BX163" si="61">-(U7+U93)</f>
        <v>0</v>
      </c>
      <c r="V163" s="311">
        <f t="shared" si="61"/>
        <v>0</v>
      </c>
      <c r="W163" s="311">
        <f t="shared" si="61"/>
        <v>0</v>
      </c>
      <c r="X163" s="311">
        <f t="shared" si="61"/>
        <v>0</v>
      </c>
      <c r="Y163" s="311">
        <f t="shared" si="61"/>
        <v>0</v>
      </c>
      <c r="Z163" s="311">
        <f t="shared" si="61"/>
        <v>0</v>
      </c>
      <c r="AA163" s="311">
        <f t="shared" si="61"/>
        <v>0</v>
      </c>
      <c r="AB163" s="311">
        <f t="shared" si="61"/>
        <v>0</v>
      </c>
      <c r="AC163" s="311">
        <f t="shared" si="61"/>
        <v>0</v>
      </c>
      <c r="AD163" s="311">
        <f t="shared" si="61"/>
        <v>0</v>
      </c>
      <c r="AE163" s="311">
        <f t="shared" si="61"/>
        <v>0</v>
      </c>
      <c r="AF163" s="311">
        <f t="shared" si="61"/>
        <v>0</v>
      </c>
      <c r="AG163" s="311">
        <f t="shared" si="61"/>
        <v>0</v>
      </c>
      <c r="AH163" s="311">
        <f t="shared" si="61"/>
        <v>0</v>
      </c>
      <c r="AI163" s="311">
        <f t="shared" si="61"/>
        <v>0</v>
      </c>
      <c r="AJ163" s="311">
        <f t="shared" si="61"/>
        <v>0</v>
      </c>
      <c r="AK163" s="311">
        <f t="shared" si="61"/>
        <v>0</v>
      </c>
      <c r="AL163" s="311">
        <f t="shared" si="61"/>
        <v>0</v>
      </c>
      <c r="AM163" s="311">
        <f t="shared" si="61"/>
        <v>0</v>
      </c>
      <c r="AN163" s="311">
        <f t="shared" si="61"/>
        <v>0</v>
      </c>
      <c r="AO163" s="311">
        <f t="shared" si="61"/>
        <v>0</v>
      </c>
      <c r="AP163" s="311">
        <f t="shared" si="61"/>
        <v>0</v>
      </c>
      <c r="AQ163" s="311">
        <f t="shared" si="61"/>
        <v>0</v>
      </c>
      <c r="AR163" s="311">
        <f t="shared" si="61"/>
        <v>0</v>
      </c>
      <c r="AS163" s="311">
        <f t="shared" si="61"/>
        <v>0</v>
      </c>
      <c r="AT163" s="311">
        <f t="shared" si="61"/>
        <v>0</v>
      </c>
      <c r="AU163" s="311">
        <f t="shared" si="61"/>
        <v>0</v>
      </c>
      <c r="AV163" s="311">
        <f t="shared" si="61"/>
        <v>0</v>
      </c>
      <c r="AW163" s="311">
        <f t="shared" si="61"/>
        <v>0</v>
      </c>
      <c r="AX163" s="311">
        <f t="shared" si="61"/>
        <v>0</v>
      </c>
      <c r="AY163" s="311">
        <f t="shared" si="61"/>
        <v>0</v>
      </c>
      <c r="AZ163" s="311">
        <f t="shared" si="61"/>
        <v>0</v>
      </c>
      <c r="BA163" s="311">
        <f t="shared" si="61"/>
        <v>0</v>
      </c>
      <c r="BB163" s="311">
        <f t="shared" si="61"/>
        <v>0</v>
      </c>
      <c r="BC163" s="311">
        <f t="shared" si="61"/>
        <v>0</v>
      </c>
      <c r="BD163" s="311">
        <f t="shared" si="61"/>
        <v>0</v>
      </c>
      <c r="BE163" s="311">
        <f t="shared" si="61"/>
        <v>0</v>
      </c>
      <c r="BF163" s="311">
        <f t="shared" si="61"/>
        <v>0</v>
      </c>
      <c r="BG163" s="311">
        <f t="shared" si="61"/>
        <v>0</v>
      </c>
      <c r="BH163" s="311">
        <f t="shared" si="61"/>
        <v>0</v>
      </c>
      <c r="BI163" s="311">
        <f t="shared" si="61"/>
        <v>0</v>
      </c>
      <c r="BJ163" s="311">
        <f t="shared" si="61"/>
        <v>0</v>
      </c>
      <c r="BK163" s="311">
        <f t="shared" si="61"/>
        <v>0</v>
      </c>
      <c r="BL163" s="311">
        <f t="shared" si="61"/>
        <v>0</v>
      </c>
      <c r="BM163" s="311">
        <f t="shared" si="61"/>
        <v>0</v>
      </c>
      <c r="BN163" s="311">
        <f t="shared" si="61"/>
        <v>0</v>
      </c>
      <c r="BO163" s="311">
        <f t="shared" si="61"/>
        <v>0</v>
      </c>
      <c r="BP163" s="311">
        <f t="shared" si="61"/>
        <v>0</v>
      </c>
      <c r="BQ163" s="311">
        <f t="shared" si="61"/>
        <v>0</v>
      </c>
      <c r="BR163" s="311">
        <f t="shared" si="61"/>
        <v>0</v>
      </c>
      <c r="BS163" s="311">
        <f t="shared" si="61"/>
        <v>0</v>
      </c>
      <c r="BT163" s="311">
        <f t="shared" si="61"/>
        <v>0</v>
      </c>
      <c r="BU163" s="311">
        <f t="shared" si="61"/>
        <v>0</v>
      </c>
      <c r="BV163" s="311">
        <f t="shared" si="61"/>
        <v>0</v>
      </c>
      <c r="BW163" s="311">
        <f t="shared" si="61"/>
        <v>0</v>
      </c>
      <c r="BX163" s="311">
        <f t="shared" si="61"/>
        <v>0</v>
      </c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  <c r="CJ163" s="222"/>
      <c r="CK163" s="222"/>
      <c r="CL163" s="222"/>
      <c r="CM163" s="222"/>
      <c r="CN163" s="222"/>
      <c r="CO163" s="222"/>
      <c r="CP163" s="222"/>
      <c r="CQ163" s="222"/>
      <c r="CR163" s="222"/>
      <c r="CS163" s="222"/>
      <c r="CT163" s="222"/>
      <c r="CU163" s="222"/>
      <c r="CV163" s="222"/>
      <c r="CW163" s="222"/>
      <c r="CX163" s="222"/>
      <c r="CY163" s="222"/>
      <c r="CZ163" s="222"/>
      <c r="DA163" s="222"/>
      <c r="DB163" s="222"/>
      <c r="DC163" s="222"/>
      <c r="DD163" s="222"/>
      <c r="DE163" s="222"/>
      <c r="DF163" s="222"/>
      <c r="DG163" s="222"/>
      <c r="DH163" s="222"/>
      <c r="DI163" s="222"/>
      <c r="DJ163" s="222"/>
      <c r="DK163" s="222"/>
      <c r="DL163" s="222"/>
      <c r="DM163" s="222"/>
      <c r="DN163" s="222"/>
      <c r="DO163" s="222"/>
      <c r="DP163" s="222"/>
      <c r="DQ163" s="222"/>
      <c r="DR163" s="222"/>
      <c r="DS163" s="222"/>
      <c r="DT163" s="222"/>
      <c r="DU163" s="222"/>
      <c r="DV163" s="222"/>
      <c r="DW163" s="325"/>
      <c r="DX163" s="325"/>
      <c r="DY163" s="325"/>
      <c r="DZ163" s="325"/>
      <c r="EA163" s="325"/>
      <c r="EB163" s="325"/>
      <c r="EC163" s="325"/>
      <c r="ED163" s="325"/>
      <c r="EE163" s="325"/>
      <c r="EF163" s="325"/>
      <c r="EG163" s="325"/>
      <c r="EH163" s="325"/>
    </row>
    <row r="164" spans="1:138" hidden="1">
      <c r="A164" s="222"/>
      <c r="B164" s="318"/>
      <c r="C164" s="310" t="s">
        <v>305</v>
      </c>
      <c r="D164" s="319"/>
      <c r="E164" s="311"/>
      <c r="F164" s="311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222"/>
      <c r="BZ164" s="222"/>
      <c r="CA164" s="222"/>
      <c r="CB164" s="222"/>
      <c r="CC164" s="222"/>
      <c r="CD164" s="222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2"/>
      <c r="CV164" s="222"/>
      <c r="CW164" s="222"/>
      <c r="CX164" s="222"/>
      <c r="CY164" s="222"/>
      <c r="CZ164" s="222"/>
      <c r="DA164" s="222"/>
      <c r="DB164" s="222"/>
      <c r="DC164" s="222"/>
      <c r="DD164" s="222"/>
      <c r="DE164" s="222"/>
      <c r="DF164" s="222"/>
      <c r="DG164" s="222"/>
      <c r="DH164" s="222"/>
      <c r="DI164" s="222"/>
      <c r="DJ164" s="222"/>
      <c r="DK164" s="222"/>
      <c r="DL164" s="222"/>
      <c r="DM164" s="222"/>
      <c r="DN164" s="222"/>
      <c r="DO164" s="222"/>
      <c r="DP164" s="222"/>
      <c r="DQ164" s="222"/>
      <c r="DR164" s="222"/>
      <c r="DS164" s="222"/>
      <c r="DT164" s="222"/>
      <c r="DU164" s="222"/>
      <c r="DV164" s="222"/>
      <c r="DW164" s="325"/>
      <c r="DX164" s="325"/>
      <c r="DY164" s="325"/>
      <c r="DZ164" s="325"/>
      <c r="EA164" s="325"/>
      <c r="EB164" s="325"/>
      <c r="EC164" s="325"/>
      <c r="ED164" s="325"/>
      <c r="EE164" s="325"/>
      <c r="EF164" s="325"/>
      <c r="EG164" s="325"/>
      <c r="EH164" s="325"/>
    </row>
    <row r="165" spans="1:138" hidden="1">
      <c r="A165" s="222"/>
      <c r="B165" s="318"/>
      <c r="C165" s="310" t="s">
        <v>296</v>
      </c>
      <c r="D165" s="319"/>
      <c r="E165" s="311">
        <f t="shared" ref="E165:BX165" si="62">-E58</f>
        <v>0</v>
      </c>
      <c r="F165" s="311">
        <f t="shared" si="62"/>
        <v>0</v>
      </c>
      <c r="G165" s="311">
        <f t="shared" si="62"/>
        <v>0</v>
      </c>
      <c r="H165" s="311">
        <f t="shared" si="62"/>
        <v>0</v>
      </c>
      <c r="I165" s="311">
        <f t="shared" si="62"/>
        <v>0</v>
      </c>
      <c r="J165" s="311">
        <f t="shared" si="62"/>
        <v>0</v>
      </c>
      <c r="K165" s="311">
        <f t="shared" si="62"/>
        <v>0</v>
      </c>
      <c r="L165" s="311">
        <f t="shared" si="62"/>
        <v>0</v>
      </c>
      <c r="M165" s="311">
        <f t="shared" si="62"/>
        <v>0</v>
      </c>
      <c r="N165" s="311">
        <f t="shared" si="62"/>
        <v>0</v>
      </c>
      <c r="O165" s="311">
        <f t="shared" si="62"/>
        <v>0</v>
      </c>
      <c r="P165" s="311">
        <f t="shared" si="62"/>
        <v>0</v>
      </c>
      <c r="Q165" s="311">
        <f t="shared" si="62"/>
        <v>0</v>
      </c>
      <c r="R165" s="311">
        <f t="shared" si="62"/>
        <v>0</v>
      </c>
      <c r="S165" s="311">
        <f t="shared" si="62"/>
        <v>0</v>
      </c>
      <c r="T165" s="311">
        <f t="shared" si="62"/>
        <v>0</v>
      </c>
      <c r="U165" s="311">
        <f t="shared" si="62"/>
        <v>0</v>
      </c>
      <c r="V165" s="311">
        <f t="shared" si="62"/>
        <v>0</v>
      </c>
      <c r="W165" s="311">
        <f t="shared" si="62"/>
        <v>0</v>
      </c>
      <c r="X165" s="311">
        <f t="shared" si="62"/>
        <v>0</v>
      </c>
      <c r="Y165" s="311">
        <f t="shared" si="62"/>
        <v>0</v>
      </c>
      <c r="Z165" s="311">
        <f t="shared" si="62"/>
        <v>0</v>
      </c>
      <c r="AA165" s="311">
        <f t="shared" si="62"/>
        <v>0</v>
      </c>
      <c r="AB165" s="311">
        <f t="shared" si="62"/>
        <v>0</v>
      </c>
      <c r="AC165" s="311">
        <f t="shared" si="62"/>
        <v>0</v>
      </c>
      <c r="AD165" s="311">
        <f t="shared" si="62"/>
        <v>0</v>
      </c>
      <c r="AE165" s="311">
        <f t="shared" si="62"/>
        <v>0</v>
      </c>
      <c r="AF165" s="311">
        <f t="shared" si="62"/>
        <v>0</v>
      </c>
      <c r="AG165" s="311">
        <f t="shared" si="62"/>
        <v>0</v>
      </c>
      <c r="AH165" s="311">
        <f t="shared" si="62"/>
        <v>0</v>
      </c>
      <c r="AI165" s="311">
        <f t="shared" si="62"/>
        <v>0</v>
      </c>
      <c r="AJ165" s="311">
        <f t="shared" si="62"/>
        <v>0</v>
      </c>
      <c r="AK165" s="311">
        <f t="shared" si="62"/>
        <v>0</v>
      </c>
      <c r="AL165" s="311">
        <f t="shared" si="62"/>
        <v>0</v>
      </c>
      <c r="AM165" s="311">
        <f t="shared" si="62"/>
        <v>0</v>
      </c>
      <c r="AN165" s="311">
        <f t="shared" si="62"/>
        <v>0</v>
      </c>
      <c r="AO165" s="311">
        <f t="shared" si="62"/>
        <v>0</v>
      </c>
      <c r="AP165" s="311">
        <f t="shared" si="62"/>
        <v>0</v>
      </c>
      <c r="AQ165" s="311">
        <f t="shared" si="62"/>
        <v>0</v>
      </c>
      <c r="AR165" s="311">
        <f t="shared" si="62"/>
        <v>0</v>
      </c>
      <c r="AS165" s="311">
        <f t="shared" si="62"/>
        <v>0</v>
      </c>
      <c r="AT165" s="311">
        <f t="shared" si="62"/>
        <v>0</v>
      </c>
      <c r="AU165" s="311">
        <f t="shared" si="62"/>
        <v>0</v>
      </c>
      <c r="AV165" s="311">
        <f t="shared" si="62"/>
        <v>0</v>
      </c>
      <c r="AW165" s="311">
        <f t="shared" si="62"/>
        <v>0</v>
      </c>
      <c r="AX165" s="311">
        <f t="shared" si="62"/>
        <v>0</v>
      </c>
      <c r="AY165" s="311">
        <f t="shared" si="62"/>
        <v>0</v>
      </c>
      <c r="AZ165" s="311">
        <f t="shared" si="62"/>
        <v>0</v>
      </c>
      <c r="BA165" s="311">
        <f t="shared" si="62"/>
        <v>0</v>
      </c>
      <c r="BB165" s="311">
        <f t="shared" si="62"/>
        <v>0</v>
      </c>
      <c r="BC165" s="311">
        <f t="shared" si="62"/>
        <v>0</v>
      </c>
      <c r="BD165" s="311">
        <f t="shared" si="62"/>
        <v>0</v>
      </c>
      <c r="BE165" s="311">
        <f t="shared" si="62"/>
        <v>0</v>
      </c>
      <c r="BF165" s="311">
        <f t="shared" si="62"/>
        <v>0</v>
      </c>
      <c r="BG165" s="311">
        <f t="shared" si="62"/>
        <v>0</v>
      </c>
      <c r="BH165" s="311">
        <f t="shared" si="62"/>
        <v>0</v>
      </c>
      <c r="BI165" s="311">
        <f t="shared" si="62"/>
        <v>0</v>
      </c>
      <c r="BJ165" s="311">
        <f t="shared" si="62"/>
        <v>0</v>
      </c>
      <c r="BK165" s="311">
        <f t="shared" si="62"/>
        <v>0</v>
      </c>
      <c r="BL165" s="311">
        <f t="shared" si="62"/>
        <v>0</v>
      </c>
      <c r="BM165" s="311">
        <f t="shared" si="62"/>
        <v>0</v>
      </c>
      <c r="BN165" s="311">
        <f t="shared" si="62"/>
        <v>0</v>
      </c>
      <c r="BO165" s="311">
        <f t="shared" si="62"/>
        <v>0</v>
      </c>
      <c r="BP165" s="311">
        <f t="shared" si="62"/>
        <v>0</v>
      </c>
      <c r="BQ165" s="311">
        <f t="shared" si="62"/>
        <v>0</v>
      </c>
      <c r="BR165" s="311">
        <f t="shared" si="62"/>
        <v>0</v>
      </c>
      <c r="BS165" s="311">
        <f t="shared" si="62"/>
        <v>0</v>
      </c>
      <c r="BT165" s="311">
        <f t="shared" si="62"/>
        <v>0</v>
      </c>
      <c r="BU165" s="311">
        <f t="shared" si="62"/>
        <v>0</v>
      </c>
      <c r="BV165" s="311">
        <f t="shared" si="62"/>
        <v>0</v>
      </c>
      <c r="BW165" s="311">
        <f t="shared" si="62"/>
        <v>0</v>
      </c>
      <c r="BX165" s="311">
        <f t="shared" si="62"/>
        <v>0</v>
      </c>
      <c r="BY165" s="222"/>
      <c r="BZ165" s="222"/>
      <c r="CA165" s="222"/>
      <c r="CB165" s="222"/>
      <c r="CC165" s="222"/>
      <c r="CD165" s="222"/>
      <c r="CE165" s="222"/>
      <c r="CF165" s="222"/>
      <c r="CG165" s="222"/>
      <c r="CH165" s="222"/>
      <c r="CI165" s="222"/>
      <c r="CJ165" s="222"/>
      <c r="CK165" s="222"/>
      <c r="CL165" s="222"/>
      <c r="CM165" s="222"/>
      <c r="CN165" s="222"/>
      <c r="CO165" s="222"/>
      <c r="CP165" s="222"/>
      <c r="CQ165" s="222"/>
      <c r="CR165" s="222"/>
      <c r="CS165" s="222"/>
      <c r="CT165" s="222"/>
      <c r="CU165" s="222"/>
      <c r="CV165" s="222"/>
      <c r="CW165" s="222"/>
      <c r="CX165" s="222"/>
      <c r="CY165" s="222"/>
      <c r="CZ165" s="222"/>
      <c r="DA165" s="222"/>
      <c r="DB165" s="222"/>
      <c r="DC165" s="222"/>
      <c r="DD165" s="222"/>
      <c r="DE165" s="222"/>
      <c r="DF165" s="222"/>
      <c r="DG165" s="222"/>
      <c r="DH165" s="222"/>
      <c r="DI165" s="222"/>
      <c r="DJ165" s="222"/>
      <c r="DK165" s="222"/>
      <c r="DL165" s="222"/>
      <c r="DM165" s="222"/>
      <c r="DN165" s="222"/>
      <c r="DO165" s="222"/>
      <c r="DP165" s="222"/>
      <c r="DQ165" s="222"/>
      <c r="DR165" s="222"/>
      <c r="DS165" s="222"/>
      <c r="DT165" s="222"/>
      <c r="DU165" s="222"/>
      <c r="DV165" s="222"/>
      <c r="DW165" s="325"/>
      <c r="DX165" s="325"/>
      <c r="DY165" s="325"/>
      <c r="DZ165" s="325"/>
      <c r="EA165" s="325"/>
      <c r="EB165" s="325"/>
      <c r="EC165" s="325"/>
      <c r="ED165" s="325"/>
      <c r="EE165" s="325"/>
      <c r="EF165" s="325"/>
      <c r="EG165" s="325"/>
      <c r="EH165" s="325"/>
    </row>
    <row r="166" spans="1:138" hidden="1">
      <c r="A166" s="222"/>
      <c r="B166" s="318"/>
      <c r="C166" s="310" t="s">
        <v>297</v>
      </c>
      <c r="D166" s="319"/>
      <c r="E166" s="311"/>
      <c r="F166" s="311"/>
      <c r="G166" s="311"/>
      <c r="H166" s="311"/>
      <c r="I166" s="311"/>
      <c r="J166" s="311"/>
      <c r="K166" s="311"/>
      <c r="L166" s="311"/>
      <c r="M166" s="311"/>
      <c r="N166" s="311"/>
      <c r="O166" s="311"/>
      <c r="P166" s="311"/>
      <c r="Q166" s="311"/>
      <c r="R166" s="311"/>
      <c r="S166" s="311"/>
      <c r="T166" s="311">
        <v>2750000</v>
      </c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1"/>
      <c r="AH166" s="311"/>
      <c r="AI166" s="311"/>
      <c r="AJ166" s="311"/>
      <c r="AK166" s="311"/>
      <c r="AL166" s="311"/>
      <c r="AM166" s="311"/>
      <c r="AN166" s="311"/>
      <c r="AO166" s="311"/>
      <c r="AP166" s="311"/>
      <c r="AQ166" s="311"/>
      <c r="AR166" s="311"/>
      <c r="AS166" s="311"/>
      <c r="AT166" s="311"/>
      <c r="AU166" s="311"/>
      <c r="AV166" s="311"/>
      <c r="AW166" s="311"/>
      <c r="AX166" s="311"/>
      <c r="AY166" s="311"/>
      <c r="AZ166" s="311"/>
      <c r="BA166" s="311"/>
      <c r="BB166" s="311"/>
      <c r="BC166" s="311"/>
      <c r="BD166" s="311"/>
      <c r="BE166" s="311"/>
      <c r="BF166" s="311"/>
      <c r="BG166" s="311"/>
      <c r="BH166" s="311"/>
      <c r="BI166" s="311"/>
      <c r="BJ166" s="311"/>
      <c r="BK166" s="311"/>
      <c r="BL166" s="311"/>
      <c r="BM166" s="311"/>
      <c r="BN166" s="311"/>
      <c r="BO166" s="311"/>
      <c r="BP166" s="311"/>
      <c r="BQ166" s="311"/>
      <c r="BR166" s="311"/>
      <c r="BS166" s="311"/>
      <c r="BT166" s="311"/>
      <c r="BU166" s="311"/>
      <c r="BV166" s="311"/>
      <c r="BW166" s="311"/>
      <c r="BX166" s="311">
        <f>IF(D106&gt;0.25,(BX101-BX109)*D167,BX101*D167)</f>
        <v>0</v>
      </c>
      <c r="BY166" s="222"/>
      <c r="BZ166" s="222"/>
      <c r="CA166" s="222"/>
      <c r="CB166" s="222"/>
      <c r="CC166" s="222"/>
      <c r="CD166" s="222"/>
      <c r="CE166" s="222"/>
      <c r="CF166" s="222"/>
      <c r="CG166" s="222"/>
      <c r="CH166" s="222"/>
      <c r="CI166" s="222"/>
      <c r="CJ166" s="222"/>
      <c r="CK166" s="222"/>
      <c r="CL166" s="222"/>
      <c r="CM166" s="222"/>
      <c r="CN166" s="222"/>
      <c r="CO166" s="222"/>
      <c r="CP166" s="222"/>
      <c r="CQ166" s="222"/>
      <c r="CR166" s="222"/>
      <c r="CS166" s="222"/>
      <c r="CT166" s="222"/>
      <c r="CU166" s="222"/>
      <c r="CV166" s="222"/>
      <c r="CW166" s="222"/>
      <c r="CX166" s="222"/>
      <c r="CY166" s="222"/>
      <c r="CZ166" s="222"/>
      <c r="DA166" s="222"/>
      <c r="DB166" s="222"/>
      <c r="DC166" s="222"/>
      <c r="DD166" s="222"/>
      <c r="DE166" s="222"/>
      <c r="DF166" s="222"/>
      <c r="DG166" s="222"/>
      <c r="DH166" s="222"/>
      <c r="DI166" s="222"/>
      <c r="DJ166" s="222"/>
      <c r="DK166" s="222"/>
      <c r="DL166" s="222"/>
      <c r="DM166" s="222"/>
      <c r="DN166" s="222"/>
      <c r="DO166" s="222"/>
      <c r="DP166" s="222"/>
      <c r="DQ166" s="222"/>
      <c r="DR166" s="222"/>
      <c r="DS166" s="222"/>
      <c r="DT166" s="222"/>
      <c r="DU166" s="222"/>
      <c r="DV166" s="222"/>
      <c r="DW166" s="325"/>
      <c r="DX166" s="325"/>
      <c r="DY166" s="325"/>
      <c r="DZ166" s="325"/>
      <c r="EA166" s="325"/>
      <c r="EB166" s="325"/>
      <c r="EC166" s="325"/>
      <c r="ED166" s="325"/>
      <c r="EE166" s="325"/>
      <c r="EF166" s="325"/>
      <c r="EG166" s="325"/>
      <c r="EH166" s="325"/>
    </row>
    <row r="167" spans="1:138" hidden="1">
      <c r="A167" s="222"/>
      <c r="B167" s="318"/>
      <c r="C167" s="313" t="s">
        <v>298</v>
      </c>
      <c r="D167" s="319">
        <v>0</v>
      </c>
      <c r="E167" s="242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2"/>
      <c r="V167" s="242"/>
      <c r="W167" s="242"/>
      <c r="X167" s="242"/>
      <c r="Y167" s="242"/>
      <c r="Z167" s="242"/>
      <c r="AA167" s="242"/>
      <c r="AB167" s="242"/>
      <c r="AC167" s="242"/>
      <c r="AD167" s="242"/>
      <c r="AE167" s="242"/>
      <c r="AF167" s="242"/>
      <c r="AG167" s="242"/>
      <c r="AH167" s="242"/>
      <c r="AI167" s="242"/>
      <c r="AJ167" s="242"/>
      <c r="AK167" s="242"/>
      <c r="AL167" s="242"/>
      <c r="AM167" s="242"/>
      <c r="AN167" s="242"/>
      <c r="AO167" s="242"/>
      <c r="AP167" s="242"/>
      <c r="AQ167" s="242"/>
      <c r="AR167" s="242"/>
      <c r="AS167" s="242"/>
      <c r="AT167" s="242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  <c r="CJ167" s="222"/>
      <c r="CK167" s="222"/>
      <c r="CL167" s="222"/>
      <c r="CM167" s="222"/>
      <c r="CN167" s="222"/>
      <c r="CO167" s="222"/>
      <c r="CP167" s="222"/>
      <c r="CQ167" s="222"/>
      <c r="CR167" s="222"/>
      <c r="CS167" s="222"/>
      <c r="CT167" s="222"/>
      <c r="CU167" s="222"/>
      <c r="CV167" s="222"/>
      <c r="CW167" s="222"/>
      <c r="CX167" s="222"/>
      <c r="CY167" s="222"/>
      <c r="CZ167" s="222"/>
      <c r="DA167" s="222"/>
      <c r="DB167" s="222"/>
      <c r="DC167" s="222"/>
      <c r="DD167" s="222"/>
      <c r="DE167" s="222"/>
      <c r="DF167" s="222"/>
      <c r="DG167" s="222"/>
      <c r="DH167" s="222"/>
      <c r="DI167" s="222"/>
      <c r="DJ167" s="222"/>
      <c r="DK167" s="222"/>
      <c r="DL167" s="222"/>
      <c r="DM167" s="222"/>
      <c r="DN167" s="222"/>
      <c r="DO167" s="222"/>
      <c r="DP167" s="222"/>
      <c r="DQ167" s="222"/>
      <c r="DR167" s="222"/>
      <c r="DS167" s="222"/>
      <c r="DT167" s="222"/>
      <c r="DU167" s="222"/>
      <c r="DV167" s="222"/>
      <c r="DW167" s="325"/>
      <c r="DX167" s="325"/>
      <c r="DY167" s="325"/>
      <c r="DZ167" s="325"/>
      <c r="EA167" s="325"/>
      <c r="EB167" s="325"/>
      <c r="EC167" s="325"/>
      <c r="ED167" s="325"/>
      <c r="EE167" s="325"/>
      <c r="EF167" s="325"/>
      <c r="EG167" s="325"/>
      <c r="EH167" s="325"/>
    </row>
    <row r="168" spans="1:138" hidden="1">
      <c r="A168" s="222"/>
      <c r="B168" s="318"/>
      <c r="C168" s="310" t="s">
        <v>299</v>
      </c>
      <c r="D168" s="311"/>
      <c r="E168" s="321">
        <f t="shared" ref="E168:BX168" si="63">E163+E164+E165+E166+E167</f>
        <v>0</v>
      </c>
      <c r="F168" s="321">
        <f t="shared" si="63"/>
        <v>0</v>
      </c>
      <c r="G168" s="321">
        <f t="shared" si="63"/>
        <v>0</v>
      </c>
      <c r="H168" s="321">
        <f t="shared" si="63"/>
        <v>-5341205.5</v>
      </c>
      <c r="I168" s="321">
        <f t="shared" si="63"/>
        <v>0</v>
      </c>
      <c r="J168" s="321">
        <f t="shared" si="63"/>
        <v>0</v>
      </c>
      <c r="K168" s="321">
        <f t="shared" si="63"/>
        <v>0</v>
      </c>
      <c r="L168" s="321">
        <f t="shared" si="63"/>
        <v>0</v>
      </c>
      <c r="M168" s="321">
        <f t="shared" si="63"/>
        <v>0</v>
      </c>
      <c r="N168" s="321">
        <f t="shared" si="63"/>
        <v>0</v>
      </c>
      <c r="O168" s="321">
        <f t="shared" si="63"/>
        <v>0</v>
      </c>
      <c r="P168" s="321">
        <f t="shared" si="63"/>
        <v>0</v>
      </c>
      <c r="Q168" s="321">
        <f t="shared" si="63"/>
        <v>0</v>
      </c>
      <c r="R168" s="321">
        <f t="shared" si="63"/>
        <v>0</v>
      </c>
      <c r="S168" s="321">
        <f t="shared" si="63"/>
        <v>0</v>
      </c>
      <c r="T168" s="321">
        <f t="shared" si="63"/>
        <v>8091205.5</v>
      </c>
      <c r="U168" s="321">
        <f t="shared" si="63"/>
        <v>0</v>
      </c>
      <c r="V168" s="321">
        <f t="shared" si="63"/>
        <v>0</v>
      </c>
      <c r="W168" s="321">
        <f t="shared" si="63"/>
        <v>0</v>
      </c>
      <c r="X168" s="321">
        <f t="shared" si="63"/>
        <v>0</v>
      </c>
      <c r="Y168" s="321">
        <f t="shared" si="63"/>
        <v>0</v>
      </c>
      <c r="Z168" s="321">
        <f t="shared" si="63"/>
        <v>0</v>
      </c>
      <c r="AA168" s="321">
        <f t="shared" si="63"/>
        <v>0</v>
      </c>
      <c r="AB168" s="321">
        <f t="shared" si="63"/>
        <v>0</v>
      </c>
      <c r="AC168" s="321">
        <f t="shared" si="63"/>
        <v>0</v>
      </c>
      <c r="AD168" s="321">
        <f t="shared" si="63"/>
        <v>0</v>
      </c>
      <c r="AE168" s="321">
        <f t="shared" si="63"/>
        <v>0</v>
      </c>
      <c r="AF168" s="321">
        <f t="shared" si="63"/>
        <v>0</v>
      </c>
      <c r="AG168" s="321">
        <f t="shared" si="63"/>
        <v>0</v>
      </c>
      <c r="AH168" s="321">
        <f t="shared" si="63"/>
        <v>0</v>
      </c>
      <c r="AI168" s="321">
        <f t="shared" si="63"/>
        <v>0</v>
      </c>
      <c r="AJ168" s="321">
        <f t="shared" si="63"/>
        <v>0</v>
      </c>
      <c r="AK168" s="321">
        <f t="shared" si="63"/>
        <v>0</v>
      </c>
      <c r="AL168" s="321">
        <f t="shared" si="63"/>
        <v>0</v>
      </c>
      <c r="AM168" s="321">
        <f t="shared" si="63"/>
        <v>0</v>
      </c>
      <c r="AN168" s="321">
        <f t="shared" si="63"/>
        <v>0</v>
      </c>
      <c r="AO168" s="321">
        <f t="shared" si="63"/>
        <v>0</v>
      </c>
      <c r="AP168" s="321">
        <f t="shared" si="63"/>
        <v>0</v>
      </c>
      <c r="AQ168" s="321">
        <f t="shared" si="63"/>
        <v>0</v>
      </c>
      <c r="AR168" s="321">
        <f t="shared" si="63"/>
        <v>0</v>
      </c>
      <c r="AS168" s="321">
        <f t="shared" si="63"/>
        <v>0</v>
      </c>
      <c r="AT168" s="321">
        <f t="shared" si="63"/>
        <v>0</v>
      </c>
      <c r="AU168" s="321">
        <f t="shared" si="63"/>
        <v>0</v>
      </c>
      <c r="AV168" s="321">
        <f t="shared" si="63"/>
        <v>0</v>
      </c>
      <c r="AW168" s="321">
        <f t="shared" si="63"/>
        <v>0</v>
      </c>
      <c r="AX168" s="321">
        <f t="shared" si="63"/>
        <v>0</v>
      </c>
      <c r="AY168" s="321">
        <f t="shared" si="63"/>
        <v>0</v>
      </c>
      <c r="AZ168" s="321">
        <f t="shared" si="63"/>
        <v>0</v>
      </c>
      <c r="BA168" s="321">
        <f t="shared" si="63"/>
        <v>0</v>
      </c>
      <c r="BB168" s="321">
        <f t="shared" si="63"/>
        <v>0</v>
      </c>
      <c r="BC168" s="321">
        <f t="shared" si="63"/>
        <v>0</v>
      </c>
      <c r="BD168" s="321">
        <f t="shared" si="63"/>
        <v>0</v>
      </c>
      <c r="BE168" s="321">
        <f t="shared" si="63"/>
        <v>0</v>
      </c>
      <c r="BF168" s="321">
        <f t="shared" si="63"/>
        <v>0</v>
      </c>
      <c r="BG168" s="321">
        <f t="shared" si="63"/>
        <v>0</v>
      </c>
      <c r="BH168" s="321">
        <f t="shared" si="63"/>
        <v>0</v>
      </c>
      <c r="BI168" s="321">
        <f t="shared" si="63"/>
        <v>0</v>
      </c>
      <c r="BJ168" s="321">
        <f t="shared" si="63"/>
        <v>0</v>
      </c>
      <c r="BK168" s="321">
        <f t="shared" si="63"/>
        <v>0</v>
      </c>
      <c r="BL168" s="321">
        <f t="shared" si="63"/>
        <v>0</v>
      </c>
      <c r="BM168" s="321">
        <f t="shared" si="63"/>
        <v>0</v>
      </c>
      <c r="BN168" s="321">
        <f t="shared" si="63"/>
        <v>0</v>
      </c>
      <c r="BO168" s="321">
        <f t="shared" si="63"/>
        <v>0</v>
      </c>
      <c r="BP168" s="321">
        <f t="shared" si="63"/>
        <v>0</v>
      </c>
      <c r="BQ168" s="321">
        <f t="shared" si="63"/>
        <v>0</v>
      </c>
      <c r="BR168" s="321">
        <f t="shared" si="63"/>
        <v>0</v>
      </c>
      <c r="BS168" s="321">
        <f t="shared" si="63"/>
        <v>0</v>
      </c>
      <c r="BT168" s="321">
        <f t="shared" si="63"/>
        <v>0</v>
      </c>
      <c r="BU168" s="321">
        <f t="shared" si="63"/>
        <v>0</v>
      </c>
      <c r="BV168" s="321">
        <f t="shared" si="63"/>
        <v>0</v>
      </c>
      <c r="BW168" s="321">
        <f t="shared" si="63"/>
        <v>0</v>
      </c>
      <c r="BX168" s="321">
        <f t="shared" si="63"/>
        <v>0</v>
      </c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  <c r="CJ168" s="222"/>
      <c r="CK168" s="222"/>
      <c r="CL168" s="222"/>
      <c r="CM168" s="222"/>
      <c r="CN168" s="222"/>
      <c r="CO168" s="222"/>
      <c r="CP168" s="222"/>
      <c r="CQ168" s="222"/>
      <c r="CR168" s="222"/>
      <c r="CS168" s="222"/>
      <c r="CT168" s="222"/>
      <c r="CU168" s="222"/>
      <c r="CV168" s="222"/>
      <c r="CW168" s="222"/>
      <c r="CX168" s="222"/>
      <c r="CY168" s="222"/>
      <c r="CZ168" s="222"/>
      <c r="DA168" s="222"/>
      <c r="DB168" s="222"/>
      <c r="DC168" s="222"/>
      <c r="DD168" s="222"/>
      <c r="DE168" s="222"/>
      <c r="DF168" s="222"/>
      <c r="DG168" s="222"/>
      <c r="DH168" s="222"/>
      <c r="DI168" s="222"/>
      <c r="DJ168" s="222"/>
      <c r="DK168" s="222"/>
      <c r="DL168" s="222"/>
      <c r="DM168" s="222"/>
      <c r="DN168" s="222"/>
      <c r="DO168" s="222"/>
      <c r="DP168" s="222"/>
      <c r="DQ168" s="222"/>
      <c r="DR168" s="222"/>
      <c r="DS168" s="222"/>
      <c r="DT168" s="222"/>
      <c r="DU168" s="222"/>
      <c r="DV168" s="222"/>
      <c r="DW168" s="325"/>
      <c r="DX168" s="325"/>
      <c r="DY168" s="325"/>
      <c r="DZ168" s="325"/>
      <c r="EA168" s="325"/>
      <c r="EB168" s="325"/>
      <c r="EC168" s="325"/>
      <c r="ED168" s="325"/>
      <c r="EE168" s="325"/>
      <c r="EF168" s="325"/>
      <c r="EG168" s="325"/>
      <c r="EH168" s="325"/>
    </row>
    <row r="169" spans="1:138" hidden="1">
      <c r="A169" s="222"/>
      <c r="B169" s="318"/>
      <c r="C169" s="314"/>
      <c r="D169" s="322" t="s">
        <v>306</v>
      </c>
      <c r="E169" s="327">
        <f>E168</f>
        <v>0</v>
      </c>
      <c r="F169" s="327">
        <f t="shared" ref="F169:BX169" si="64">E169+F168</f>
        <v>0</v>
      </c>
      <c r="G169" s="327">
        <f t="shared" si="64"/>
        <v>0</v>
      </c>
      <c r="H169" s="327">
        <f t="shared" si="64"/>
        <v>-5341205.5</v>
      </c>
      <c r="I169" s="327">
        <f t="shared" si="64"/>
        <v>-5341205.5</v>
      </c>
      <c r="J169" s="327">
        <f t="shared" si="64"/>
        <v>-5341205.5</v>
      </c>
      <c r="K169" s="327">
        <f t="shared" si="64"/>
        <v>-5341205.5</v>
      </c>
      <c r="L169" s="327">
        <f t="shared" si="64"/>
        <v>-5341205.5</v>
      </c>
      <c r="M169" s="327">
        <f t="shared" si="64"/>
        <v>-5341205.5</v>
      </c>
      <c r="N169" s="327">
        <f t="shared" si="64"/>
        <v>-5341205.5</v>
      </c>
      <c r="O169" s="327">
        <f t="shared" si="64"/>
        <v>-5341205.5</v>
      </c>
      <c r="P169" s="327">
        <f t="shared" si="64"/>
        <v>-5341205.5</v>
      </c>
      <c r="Q169" s="327">
        <f t="shared" si="64"/>
        <v>-5341205.5</v>
      </c>
      <c r="R169" s="327">
        <f t="shared" si="64"/>
        <v>-5341205.5</v>
      </c>
      <c r="S169" s="327">
        <f t="shared" si="64"/>
        <v>-5341205.5</v>
      </c>
      <c r="T169" s="327">
        <f t="shared" si="64"/>
        <v>2750000</v>
      </c>
      <c r="U169" s="327">
        <f t="shared" si="64"/>
        <v>2750000</v>
      </c>
      <c r="V169" s="327">
        <f t="shared" si="64"/>
        <v>2750000</v>
      </c>
      <c r="W169" s="327">
        <f t="shared" si="64"/>
        <v>2750000</v>
      </c>
      <c r="X169" s="327">
        <f t="shared" si="64"/>
        <v>2750000</v>
      </c>
      <c r="Y169" s="327">
        <f t="shared" si="64"/>
        <v>2750000</v>
      </c>
      <c r="Z169" s="327">
        <f t="shared" si="64"/>
        <v>2750000</v>
      </c>
      <c r="AA169" s="327">
        <f t="shared" si="64"/>
        <v>2750000</v>
      </c>
      <c r="AB169" s="327">
        <f t="shared" si="64"/>
        <v>2750000</v>
      </c>
      <c r="AC169" s="327">
        <f t="shared" si="64"/>
        <v>2750000</v>
      </c>
      <c r="AD169" s="327">
        <f t="shared" si="64"/>
        <v>2750000</v>
      </c>
      <c r="AE169" s="327">
        <f t="shared" si="64"/>
        <v>2750000</v>
      </c>
      <c r="AF169" s="327">
        <f t="shared" si="64"/>
        <v>2750000</v>
      </c>
      <c r="AG169" s="327">
        <f t="shared" si="64"/>
        <v>2750000</v>
      </c>
      <c r="AH169" s="327">
        <f t="shared" si="64"/>
        <v>2750000</v>
      </c>
      <c r="AI169" s="327">
        <f t="shared" si="64"/>
        <v>2750000</v>
      </c>
      <c r="AJ169" s="327">
        <f t="shared" si="64"/>
        <v>2750000</v>
      </c>
      <c r="AK169" s="327">
        <f t="shared" si="64"/>
        <v>2750000</v>
      </c>
      <c r="AL169" s="327">
        <f t="shared" si="64"/>
        <v>2750000</v>
      </c>
      <c r="AM169" s="327">
        <f t="shared" si="64"/>
        <v>2750000</v>
      </c>
      <c r="AN169" s="327">
        <f t="shared" si="64"/>
        <v>2750000</v>
      </c>
      <c r="AO169" s="327">
        <f t="shared" si="64"/>
        <v>2750000</v>
      </c>
      <c r="AP169" s="327">
        <f t="shared" si="64"/>
        <v>2750000</v>
      </c>
      <c r="AQ169" s="327">
        <f t="shared" si="64"/>
        <v>2750000</v>
      </c>
      <c r="AR169" s="327">
        <f t="shared" si="64"/>
        <v>2750000</v>
      </c>
      <c r="AS169" s="327">
        <f t="shared" si="64"/>
        <v>2750000</v>
      </c>
      <c r="AT169" s="327">
        <f t="shared" si="64"/>
        <v>2750000</v>
      </c>
      <c r="AU169" s="327">
        <f t="shared" si="64"/>
        <v>2750000</v>
      </c>
      <c r="AV169" s="327">
        <f t="shared" si="64"/>
        <v>2750000</v>
      </c>
      <c r="AW169" s="327">
        <f t="shared" si="64"/>
        <v>2750000</v>
      </c>
      <c r="AX169" s="327">
        <f t="shared" si="64"/>
        <v>2750000</v>
      </c>
      <c r="AY169" s="327">
        <f t="shared" si="64"/>
        <v>2750000</v>
      </c>
      <c r="AZ169" s="327">
        <f t="shared" si="64"/>
        <v>2750000</v>
      </c>
      <c r="BA169" s="327">
        <f t="shared" si="64"/>
        <v>2750000</v>
      </c>
      <c r="BB169" s="327">
        <f t="shared" si="64"/>
        <v>2750000</v>
      </c>
      <c r="BC169" s="327">
        <f t="shared" si="64"/>
        <v>2750000</v>
      </c>
      <c r="BD169" s="327">
        <f t="shared" si="64"/>
        <v>2750000</v>
      </c>
      <c r="BE169" s="327">
        <f t="shared" si="64"/>
        <v>2750000</v>
      </c>
      <c r="BF169" s="327">
        <f t="shared" si="64"/>
        <v>2750000</v>
      </c>
      <c r="BG169" s="327">
        <f t="shared" si="64"/>
        <v>2750000</v>
      </c>
      <c r="BH169" s="327">
        <f t="shared" si="64"/>
        <v>2750000</v>
      </c>
      <c r="BI169" s="327">
        <f t="shared" si="64"/>
        <v>2750000</v>
      </c>
      <c r="BJ169" s="327">
        <f t="shared" si="64"/>
        <v>2750000</v>
      </c>
      <c r="BK169" s="327">
        <f t="shared" si="64"/>
        <v>2750000</v>
      </c>
      <c r="BL169" s="327">
        <f t="shared" si="64"/>
        <v>2750000</v>
      </c>
      <c r="BM169" s="327">
        <f t="shared" si="64"/>
        <v>2750000</v>
      </c>
      <c r="BN169" s="327">
        <f t="shared" si="64"/>
        <v>2750000</v>
      </c>
      <c r="BO169" s="327">
        <f t="shared" si="64"/>
        <v>2750000</v>
      </c>
      <c r="BP169" s="327">
        <f t="shared" si="64"/>
        <v>2750000</v>
      </c>
      <c r="BQ169" s="327">
        <f t="shared" si="64"/>
        <v>2750000</v>
      </c>
      <c r="BR169" s="327">
        <f t="shared" si="64"/>
        <v>2750000</v>
      </c>
      <c r="BS169" s="327">
        <f t="shared" si="64"/>
        <v>2750000</v>
      </c>
      <c r="BT169" s="327">
        <f t="shared" si="64"/>
        <v>2750000</v>
      </c>
      <c r="BU169" s="327">
        <f t="shared" si="64"/>
        <v>2750000</v>
      </c>
      <c r="BV169" s="327">
        <f t="shared" si="64"/>
        <v>2750000</v>
      </c>
      <c r="BW169" s="327">
        <f t="shared" si="64"/>
        <v>2750000</v>
      </c>
      <c r="BX169" s="327">
        <f t="shared" si="64"/>
        <v>2750000</v>
      </c>
      <c r="BY169" s="222"/>
      <c r="BZ169" s="222"/>
      <c r="CA169" s="222"/>
      <c r="CB169" s="222"/>
      <c r="CC169" s="222"/>
      <c r="CD169" s="222"/>
      <c r="CE169" s="222"/>
      <c r="CF169" s="222"/>
      <c r="CG169" s="222"/>
      <c r="CH169" s="222"/>
      <c r="CI169" s="222"/>
      <c r="CJ169" s="222"/>
      <c r="CK169" s="222"/>
      <c r="CL169" s="222"/>
      <c r="CM169" s="222"/>
      <c r="CN169" s="222"/>
      <c r="CO169" s="222"/>
      <c r="CP169" s="222"/>
      <c r="CQ169" s="222"/>
      <c r="CR169" s="222"/>
      <c r="CS169" s="222"/>
      <c r="CT169" s="222"/>
      <c r="CU169" s="222"/>
      <c r="CV169" s="222"/>
      <c r="CW169" s="222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2"/>
      <c r="DI169" s="222"/>
      <c r="DJ169" s="222"/>
      <c r="DK169" s="222"/>
      <c r="DL169" s="222"/>
      <c r="DM169" s="222"/>
      <c r="DN169" s="222"/>
      <c r="DO169" s="222"/>
      <c r="DP169" s="222"/>
      <c r="DQ169" s="222"/>
      <c r="DR169" s="222"/>
      <c r="DS169" s="222"/>
      <c r="DT169" s="222"/>
      <c r="DU169" s="222"/>
      <c r="DV169" s="222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</row>
    <row r="170" spans="1:138" hidden="1">
      <c r="A170" s="222"/>
      <c r="B170" s="318"/>
      <c r="C170" s="313" t="s">
        <v>292</v>
      </c>
      <c r="D170" s="322">
        <f>IRR(E168:BX168)*12</f>
        <v>0.42259732866030397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2"/>
      <c r="BN170" s="222"/>
      <c r="BO170" s="222"/>
      <c r="BP170" s="222"/>
      <c r="BQ170" s="222"/>
      <c r="BR170" s="222"/>
      <c r="BS170" s="222"/>
      <c r="BT170" s="222"/>
      <c r="BU170" s="222"/>
      <c r="BV170" s="222"/>
      <c r="BW170" s="222"/>
      <c r="BX170" s="222"/>
      <c r="BY170" s="222"/>
      <c r="BZ170" s="222"/>
      <c r="CA170" s="222"/>
      <c r="CB170" s="222"/>
      <c r="CC170" s="222"/>
      <c r="CD170" s="222"/>
      <c r="CE170" s="222"/>
      <c r="CF170" s="222"/>
      <c r="CG170" s="222"/>
      <c r="CH170" s="222"/>
      <c r="CI170" s="222"/>
      <c r="CJ170" s="222"/>
      <c r="CK170" s="222"/>
      <c r="CL170" s="222"/>
      <c r="CM170" s="222"/>
      <c r="CN170" s="222"/>
      <c r="CO170" s="222"/>
      <c r="CP170" s="222"/>
      <c r="CQ170" s="222"/>
      <c r="CR170" s="222"/>
      <c r="CS170" s="222"/>
      <c r="CT170" s="222"/>
      <c r="CU170" s="222"/>
      <c r="CV170" s="222"/>
      <c r="CW170" s="222"/>
      <c r="CX170" s="222"/>
      <c r="CY170" s="222"/>
      <c r="CZ170" s="222"/>
      <c r="DA170" s="222"/>
      <c r="DB170" s="222"/>
      <c r="DC170" s="222"/>
      <c r="DD170" s="222"/>
      <c r="DE170" s="222"/>
      <c r="DF170" s="222"/>
      <c r="DG170" s="222"/>
      <c r="DH170" s="222"/>
      <c r="DI170" s="222"/>
      <c r="DJ170" s="222"/>
      <c r="DK170" s="222"/>
      <c r="DL170" s="222"/>
      <c r="DM170" s="222"/>
      <c r="DN170" s="222"/>
      <c r="DO170" s="222"/>
      <c r="DP170" s="222"/>
      <c r="DQ170" s="222"/>
      <c r="DR170" s="222"/>
      <c r="DS170" s="222"/>
      <c r="DT170" s="222"/>
      <c r="DU170" s="222"/>
      <c r="DV170" s="222"/>
      <c r="DW170" s="325"/>
      <c r="DX170" s="325"/>
      <c r="DY170" s="325"/>
      <c r="DZ170" s="325"/>
      <c r="EA170" s="325"/>
      <c r="EB170" s="325"/>
      <c r="EC170" s="325"/>
      <c r="ED170" s="325"/>
      <c r="EE170" s="325"/>
      <c r="EF170" s="325"/>
      <c r="EG170" s="325"/>
      <c r="EH170" s="325"/>
    </row>
    <row r="171" spans="1:138" hidden="1">
      <c r="A171" s="222"/>
      <c r="B171" s="318"/>
      <c r="C171" s="323" t="s">
        <v>300</v>
      </c>
      <c r="D171" s="324">
        <f>-MIN(M169:BL169)-D172</f>
        <v>5341205.5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2"/>
      <c r="BN171" s="222"/>
      <c r="BO171" s="222"/>
      <c r="BP171" s="222"/>
      <c r="BQ171" s="222"/>
      <c r="BR171" s="222"/>
      <c r="BS171" s="222"/>
      <c r="BT171" s="222"/>
      <c r="BU171" s="222"/>
      <c r="BV171" s="222"/>
      <c r="BW171" s="222"/>
      <c r="BX171" s="222"/>
      <c r="BY171" s="222"/>
      <c r="BZ171" s="222"/>
      <c r="CA171" s="222"/>
      <c r="CB171" s="222"/>
      <c r="CC171" s="222"/>
      <c r="CD171" s="222"/>
      <c r="CE171" s="222"/>
      <c r="CF171" s="222"/>
      <c r="CG171" s="222"/>
      <c r="CH171" s="222"/>
      <c r="CI171" s="222"/>
      <c r="CJ171" s="222"/>
      <c r="CK171" s="222"/>
      <c r="CL171" s="222"/>
      <c r="CM171" s="222"/>
      <c r="CN171" s="222"/>
      <c r="CO171" s="222"/>
      <c r="CP171" s="222"/>
      <c r="CQ171" s="222"/>
      <c r="CR171" s="222"/>
      <c r="CS171" s="222"/>
      <c r="CT171" s="222"/>
      <c r="CU171" s="222"/>
      <c r="CV171" s="222"/>
      <c r="CW171" s="222"/>
      <c r="CX171" s="222"/>
      <c r="CY171" s="222"/>
      <c r="CZ171" s="222"/>
      <c r="DA171" s="222"/>
      <c r="DB171" s="222"/>
      <c r="DC171" s="222"/>
      <c r="DD171" s="222"/>
      <c r="DE171" s="222"/>
      <c r="DF171" s="222"/>
      <c r="DG171" s="222"/>
      <c r="DH171" s="222"/>
      <c r="DI171" s="222"/>
      <c r="DJ171" s="222"/>
      <c r="DK171" s="222"/>
      <c r="DL171" s="222"/>
      <c r="DM171" s="222"/>
      <c r="DN171" s="222"/>
      <c r="DO171" s="222"/>
      <c r="DP171" s="222"/>
      <c r="DQ171" s="222"/>
      <c r="DR171" s="222"/>
      <c r="DS171" s="222"/>
      <c r="DT171" s="222"/>
      <c r="DU171" s="222"/>
      <c r="DV171" s="222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</row>
    <row r="172" spans="1:138" hidden="1">
      <c r="A172" s="222"/>
      <c r="B172" s="318"/>
      <c r="C172" s="323" t="s">
        <v>301</v>
      </c>
      <c r="D172" s="324">
        <f>-SUM(M167:BB167)</f>
        <v>0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2"/>
      <c r="BN172" s="222"/>
      <c r="BO172" s="222"/>
      <c r="BP172" s="222"/>
      <c r="BQ172" s="222"/>
      <c r="BR172" s="222"/>
      <c r="BS172" s="222"/>
      <c r="BT172" s="222"/>
      <c r="BU172" s="222"/>
      <c r="BV172" s="222"/>
      <c r="BW172" s="222"/>
      <c r="BX172" s="222"/>
      <c r="BY172" s="222"/>
      <c r="BZ172" s="222"/>
      <c r="CA172" s="222"/>
      <c r="CB172" s="222"/>
      <c r="CC172" s="222"/>
      <c r="CD172" s="222"/>
      <c r="CE172" s="222"/>
      <c r="CF172" s="222"/>
      <c r="CG172" s="222"/>
      <c r="CH172" s="222"/>
      <c r="CI172" s="222"/>
      <c r="CJ172" s="222"/>
      <c r="CK172" s="222"/>
      <c r="CL172" s="222"/>
      <c r="CM172" s="222"/>
      <c r="CN172" s="222"/>
      <c r="CO172" s="222"/>
      <c r="CP172" s="222"/>
      <c r="CQ172" s="222"/>
      <c r="CR172" s="222"/>
      <c r="CS172" s="222"/>
      <c r="CT172" s="222"/>
      <c r="CU172" s="222"/>
      <c r="CV172" s="222"/>
      <c r="CW172" s="222"/>
      <c r="CX172" s="222"/>
      <c r="CY172" s="222"/>
      <c r="CZ172" s="222"/>
      <c r="DA172" s="222"/>
      <c r="DB172" s="222"/>
      <c r="DC172" s="222"/>
      <c r="DD172" s="222"/>
      <c r="DE172" s="222"/>
      <c r="DF172" s="222"/>
      <c r="DG172" s="222"/>
      <c r="DH172" s="222"/>
      <c r="DI172" s="222"/>
      <c r="DJ172" s="222"/>
      <c r="DK172" s="222"/>
      <c r="DL172" s="222"/>
      <c r="DM172" s="222"/>
      <c r="DN172" s="222"/>
      <c r="DO172" s="222"/>
      <c r="DP172" s="222"/>
      <c r="DQ172" s="222"/>
      <c r="DR172" s="222"/>
      <c r="DS172" s="222"/>
      <c r="DT172" s="222"/>
      <c r="DU172" s="222"/>
      <c r="DV172" s="222"/>
      <c r="DW172" s="325"/>
      <c r="DX172" s="325"/>
      <c r="DY172" s="325"/>
      <c r="DZ172" s="325"/>
      <c r="EA172" s="325"/>
      <c r="EB172" s="325"/>
      <c r="EC172" s="325"/>
      <c r="ED172" s="325"/>
      <c r="EE172" s="325"/>
      <c r="EF172" s="325"/>
      <c r="EG172" s="325"/>
      <c r="EH172" s="325"/>
    </row>
    <row r="173" spans="1:138" hidden="1">
      <c r="A173" s="222"/>
      <c r="B173" s="318"/>
      <c r="C173" s="313" t="s">
        <v>302</v>
      </c>
      <c r="D173" s="326">
        <f>D172+D171</f>
        <v>5341205.5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/>
      <c r="BX173" s="222"/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  <c r="CJ173" s="222"/>
      <c r="CK173" s="222"/>
      <c r="CL173" s="222"/>
      <c r="CM173" s="222"/>
      <c r="CN173" s="222"/>
      <c r="CO173" s="222"/>
      <c r="CP173" s="222"/>
      <c r="CQ173" s="222"/>
      <c r="CR173" s="222"/>
      <c r="CS173" s="222"/>
      <c r="CT173" s="222"/>
      <c r="CU173" s="222"/>
      <c r="CV173" s="222"/>
      <c r="CW173" s="222"/>
      <c r="CX173" s="222"/>
      <c r="CY173" s="222"/>
      <c r="CZ173" s="222"/>
      <c r="DA173" s="222"/>
      <c r="DB173" s="222"/>
      <c r="DC173" s="222"/>
      <c r="DD173" s="222"/>
      <c r="DE173" s="222"/>
      <c r="DF173" s="222"/>
      <c r="DG173" s="222"/>
      <c r="DH173" s="222"/>
      <c r="DI173" s="222"/>
      <c r="DJ173" s="222"/>
      <c r="DK173" s="222"/>
      <c r="DL173" s="222"/>
      <c r="DM173" s="222"/>
      <c r="DN173" s="222"/>
      <c r="DO173" s="222"/>
      <c r="DP173" s="222"/>
      <c r="DQ173" s="222"/>
      <c r="DR173" s="222"/>
      <c r="DS173" s="222"/>
      <c r="DT173" s="222"/>
      <c r="DU173" s="222"/>
      <c r="DV173" s="222"/>
      <c r="DW173" s="325"/>
      <c r="DX173" s="325"/>
      <c r="DY173" s="325"/>
      <c r="DZ173" s="325"/>
      <c r="EA173" s="325"/>
      <c r="EB173" s="325"/>
      <c r="EC173" s="325"/>
      <c r="ED173" s="325"/>
      <c r="EE173" s="325"/>
      <c r="EF173" s="325"/>
      <c r="EG173" s="325"/>
      <c r="EH173" s="325"/>
    </row>
    <row r="174" spans="1:138" hidden="1">
      <c r="A174" s="222"/>
      <c r="B174" s="318"/>
      <c r="C174" s="313" t="s">
        <v>303</v>
      </c>
      <c r="D174" s="326">
        <f>BX165+BX166</f>
        <v>0</v>
      </c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2"/>
      <c r="BN174" s="222"/>
      <c r="BO174" s="222"/>
      <c r="BP174" s="222"/>
      <c r="BQ174" s="222"/>
      <c r="BR174" s="222"/>
      <c r="BS174" s="222"/>
      <c r="BT174" s="222"/>
      <c r="BU174" s="222"/>
      <c r="BV174" s="222"/>
      <c r="BW174" s="222"/>
      <c r="BX174" s="222"/>
      <c r="BY174" s="222"/>
      <c r="BZ174" s="222"/>
      <c r="CA174" s="222"/>
      <c r="CB174" s="222"/>
      <c r="CC174" s="222"/>
      <c r="CD174" s="222"/>
      <c r="CE174" s="222"/>
      <c r="CF174" s="222"/>
      <c r="CG174" s="222"/>
      <c r="CH174" s="222"/>
      <c r="CI174" s="222"/>
      <c r="CJ174" s="222"/>
      <c r="CK174" s="222"/>
      <c r="CL174" s="222"/>
      <c r="CM174" s="222"/>
      <c r="CN174" s="222"/>
      <c r="CO174" s="222"/>
      <c r="CP174" s="222"/>
      <c r="CQ174" s="222"/>
      <c r="CR174" s="222"/>
      <c r="CS174" s="222"/>
      <c r="CT174" s="222"/>
      <c r="CU174" s="222"/>
      <c r="CV174" s="222"/>
      <c r="CW174" s="222"/>
      <c r="CX174" s="222"/>
      <c r="CY174" s="222"/>
      <c r="CZ174" s="222"/>
      <c r="DA174" s="222"/>
      <c r="DB174" s="222"/>
      <c r="DC174" s="222"/>
      <c r="DD174" s="222"/>
      <c r="DE174" s="222"/>
      <c r="DF174" s="222"/>
      <c r="DG174" s="222"/>
      <c r="DH174" s="222"/>
      <c r="DI174" s="222"/>
      <c r="DJ174" s="222"/>
      <c r="DK174" s="222"/>
      <c r="DL174" s="222"/>
      <c r="DM174" s="222"/>
      <c r="DN174" s="222"/>
      <c r="DO174" s="222"/>
      <c r="DP174" s="222"/>
      <c r="DQ174" s="222"/>
      <c r="DR174" s="222"/>
      <c r="DS174" s="222"/>
      <c r="DT174" s="222"/>
      <c r="DU174" s="222"/>
      <c r="DV174" s="222"/>
      <c r="DW174" s="325"/>
      <c r="DX174" s="325"/>
      <c r="DY174" s="325"/>
      <c r="DZ174" s="325"/>
      <c r="EA174" s="325"/>
      <c r="EB174" s="325"/>
      <c r="EC174" s="325"/>
      <c r="ED174" s="325"/>
      <c r="EE174" s="325"/>
      <c r="EF174" s="325"/>
      <c r="EG174" s="325"/>
      <c r="EH174" s="325"/>
    </row>
    <row r="175" spans="1:138" hidden="1">
      <c r="A175" s="222"/>
      <c r="B175" s="318"/>
      <c r="C175" s="313" t="s">
        <v>147</v>
      </c>
      <c r="D175" s="322">
        <f>T166/T163</f>
        <v>0.51486504310684167</v>
      </c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  <c r="BQ175" s="222"/>
      <c r="BR175" s="222"/>
      <c r="BS175" s="222"/>
      <c r="BT175" s="222"/>
      <c r="BU175" s="222"/>
      <c r="BV175" s="222"/>
      <c r="BW175" s="222"/>
      <c r="BX175" s="222"/>
      <c r="BY175" s="222"/>
      <c r="BZ175" s="222"/>
      <c r="CA175" s="222"/>
      <c r="CB175" s="222"/>
      <c r="CC175" s="222"/>
      <c r="CD175" s="222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2"/>
      <c r="CV175" s="222"/>
      <c r="CW175" s="222"/>
      <c r="CX175" s="222"/>
      <c r="CY175" s="222"/>
      <c r="CZ175" s="222"/>
      <c r="DA175" s="222"/>
      <c r="DB175" s="222"/>
      <c r="DC175" s="222"/>
      <c r="DD175" s="222"/>
      <c r="DE175" s="222"/>
      <c r="DF175" s="222"/>
      <c r="DG175" s="222"/>
      <c r="DH175" s="222"/>
      <c r="DI175" s="222"/>
      <c r="DJ175" s="222"/>
      <c r="DK175" s="222"/>
      <c r="DL175" s="222"/>
      <c r="DM175" s="222"/>
      <c r="DN175" s="222"/>
      <c r="DO175" s="222"/>
      <c r="DP175" s="222"/>
      <c r="DQ175" s="222"/>
      <c r="DR175" s="222"/>
      <c r="DS175" s="222"/>
      <c r="DT175" s="222"/>
      <c r="DU175" s="222"/>
      <c r="DV175" s="222"/>
      <c r="DW175" s="325"/>
      <c r="DX175" s="325"/>
      <c r="DY175" s="325"/>
      <c r="DZ175" s="325"/>
      <c r="EA175" s="325"/>
      <c r="EB175" s="325"/>
      <c r="EC175" s="325"/>
      <c r="ED175" s="325"/>
      <c r="EE175" s="325"/>
      <c r="EF175" s="325"/>
      <c r="EG175" s="325"/>
      <c r="EH175" s="325"/>
    </row>
    <row r="176" spans="1:138" hidden="1">
      <c r="A176" s="222"/>
      <c r="B176" s="318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2"/>
      <c r="BN176" s="222"/>
      <c r="BO176" s="222"/>
      <c r="BP176" s="222"/>
      <c r="BQ176" s="222"/>
      <c r="BR176" s="222"/>
      <c r="BS176" s="222"/>
      <c r="BT176" s="222"/>
      <c r="BU176" s="222"/>
      <c r="BV176" s="222"/>
      <c r="BW176" s="222"/>
      <c r="BX176" s="222"/>
      <c r="BY176" s="222"/>
      <c r="BZ176" s="222"/>
      <c r="CA176" s="222"/>
      <c r="CB176" s="222"/>
      <c r="CC176" s="222"/>
      <c r="CD176" s="222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2"/>
      <c r="CV176" s="222"/>
      <c r="CW176" s="222"/>
      <c r="CX176" s="222"/>
      <c r="CY176" s="222"/>
      <c r="CZ176" s="222"/>
      <c r="DA176" s="222"/>
      <c r="DB176" s="222"/>
      <c r="DC176" s="222"/>
      <c r="DD176" s="222"/>
      <c r="DE176" s="222"/>
      <c r="DF176" s="222"/>
      <c r="DG176" s="222"/>
      <c r="DH176" s="222"/>
      <c r="DI176" s="222"/>
      <c r="DJ176" s="222"/>
      <c r="DK176" s="222"/>
      <c r="DL176" s="222"/>
      <c r="DM176" s="222"/>
      <c r="DN176" s="222"/>
      <c r="DO176" s="222"/>
      <c r="DP176" s="222"/>
      <c r="DQ176" s="222"/>
      <c r="DR176" s="222"/>
      <c r="DS176" s="222"/>
      <c r="DT176" s="222"/>
      <c r="DU176" s="222"/>
      <c r="DV176" s="222"/>
      <c r="DW176" s="325"/>
      <c r="DX176" s="325"/>
      <c r="DY176" s="325"/>
      <c r="DZ176" s="325"/>
      <c r="EA176" s="325"/>
      <c r="EB176" s="325"/>
      <c r="EC176" s="325"/>
      <c r="ED176" s="325"/>
      <c r="EE176" s="325"/>
      <c r="EF176" s="325"/>
      <c r="EG176" s="325"/>
      <c r="EH176" s="325"/>
    </row>
    <row r="177" spans="1:138" hidden="1">
      <c r="A177" s="222"/>
      <c r="B177" s="318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2"/>
      <c r="BN177" s="222"/>
      <c r="BO177" s="222"/>
      <c r="BP177" s="222"/>
      <c r="BQ177" s="222"/>
      <c r="BR177" s="222"/>
      <c r="BS177" s="222"/>
      <c r="BT177" s="222"/>
      <c r="BU177" s="222"/>
      <c r="BV177" s="222"/>
      <c r="BW177" s="222"/>
      <c r="BX177" s="222"/>
      <c r="BY177" s="222"/>
      <c r="BZ177" s="222"/>
      <c r="CA177" s="222"/>
      <c r="CB177" s="222"/>
      <c r="CC177" s="222"/>
      <c r="CD177" s="222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2"/>
      <c r="CV177" s="222"/>
      <c r="CW177" s="222"/>
      <c r="CX177" s="222"/>
      <c r="CY177" s="222"/>
      <c r="CZ177" s="222"/>
      <c r="DA177" s="222"/>
      <c r="DB177" s="222"/>
      <c r="DC177" s="222"/>
      <c r="DD177" s="222"/>
      <c r="DE177" s="222"/>
      <c r="DF177" s="222"/>
      <c r="DG177" s="222"/>
      <c r="DH177" s="222"/>
      <c r="DI177" s="222"/>
      <c r="DJ177" s="222"/>
      <c r="DK177" s="222"/>
      <c r="DL177" s="222"/>
      <c r="DM177" s="222"/>
      <c r="DN177" s="222"/>
      <c r="DO177" s="222"/>
      <c r="DP177" s="222"/>
      <c r="DQ177" s="222"/>
      <c r="DR177" s="222"/>
      <c r="DS177" s="222"/>
      <c r="DT177" s="222"/>
      <c r="DU177" s="222"/>
      <c r="DV177" s="222"/>
      <c r="DW177" s="325"/>
      <c r="DX177" s="325"/>
      <c r="DY177" s="325"/>
      <c r="DZ177" s="325"/>
      <c r="EA177" s="325"/>
      <c r="EB177" s="325"/>
      <c r="EC177" s="325"/>
      <c r="ED177" s="325"/>
      <c r="EE177" s="325"/>
      <c r="EF177" s="325"/>
      <c r="EG177" s="325"/>
      <c r="EH177" s="325"/>
    </row>
    <row r="178" spans="1:138" hidden="1">
      <c r="A178" s="222"/>
      <c r="B178" s="318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2"/>
      <c r="BN178" s="222"/>
      <c r="BO178" s="222"/>
      <c r="BP178" s="222"/>
      <c r="BQ178" s="222"/>
      <c r="BR178" s="222"/>
      <c r="BS178" s="222"/>
      <c r="BT178" s="222"/>
      <c r="BU178" s="222"/>
      <c r="BV178" s="222"/>
      <c r="BW178" s="222"/>
      <c r="BX178" s="222"/>
      <c r="BY178" s="222"/>
      <c r="BZ178" s="222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  <c r="CP178" s="222"/>
      <c r="CQ178" s="222"/>
      <c r="CR178" s="222"/>
      <c r="CS178" s="222"/>
      <c r="CT178" s="222"/>
      <c r="CU178" s="222"/>
      <c r="CV178" s="222"/>
      <c r="CW178" s="222"/>
      <c r="CX178" s="222"/>
      <c r="CY178" s="222"/>
      <c r="CZ178" s="222"/>
      <c r="DA178" s="222"/>
      <c r="DB178" s="222"/>
      <c r="DC178" s="222"/>
      <c r="DD178" s="222"/>
      <c r="DE178" s="222"/>
      <c r="DF178" s="222"/>
      <c r="DG178" s="222"/>
      <c r="DH178" s="222"/>
      <c r="DI178" s="222"/>
      <c r="DJ178" s="222"/>
      <c r="DK178" s="222"/>
      <c r="DL178" s="222"/>
      <c r="DM178" s="222"/>
      <c r="DN178" s="222"/>
      <c r="DO178" s="222"/>
      <c r="DP178" s="222"/>
      <c r="DQ178" s="222"/>
      <c r="DR178" s="222"/>
      <c r="DS178" s="222"/>
      <c r="DT178" s="222"/>
      <c r="DU178" s="222"/>
      <c r="DV178" s="222"/>
      <c r="DW178" s="325"/>
      <c r="DX178" s="325"/>
      <c r="DY178" s="325"/>
      <c r="DZ178" s="325"/>
      <c r="EA178" s="325"/>
      <c r="EB178" s="325"/>
      <c r="EC178" s="325"/>
      <c r="ED178" s="325"/>
      <c r="EE178" s="325"/>
      <c r="EF178" s="325"/>
      <c r="EG178" s="325"/>
      <c r="EH178" s="325"/>
    </row>
    <row r="179" spans="1:138" hidden="1">
      <c r="A179" s="222"/>
      <c r="B179" s="318"/>
      <c r="C179" s="310" t="s">
        <v>309</v>
      </c>
      <c r="D179" s="311"/>
      <c r="E179" s="312">
        <f t="shared" ref="E179:G179" si="65">-(E8+E94)</f>
        <v>0</v>
      </c>
      <c r="F179" s="312">
        <f t="shared" si="65"/>
        <v>0</v>
      </c>
      <c r="G179" s="312">
        <f t="shared" si="65"/>
        <v>0</v>
      </c>
      <c r="H179" s="311">
        <f>-5341205.5</f>
        <v>-5341205.5</v>
      </c>
      <c r="I179" s="311">
        <v>0</v>
      </c>
      <c r="J179" s="311">
        <v>0</v>
      </c>
      <c r="K179" s="311">
        <v>0</v>
      </c>
      <c r="L179" s="311">
        <v>0</v>
      </c>
      <c r="M179" s="311">
        <v>0</v>
      </c>
      <c r="N179" s="311">
        <v>0</v>
      </c>
      <c r="O179" s="311">
        <v>0</v>
      </c>
      <c r="P179" s="311">
        <v>0</v>
      </c>
      <c r="Q179" s="311">
        <v>0</v>
      </c>
      <c r="R179" s="311">
        <v>0</v>
      </c>
      <c r="S179" s="311">
        <v>0</v>
      </c>
      <c r="T179" s="311">
        <f>5341205.5</f>
        <v>5341205.5</v>
      </c>
      <c r="U179" s="312">
        <f t="shared" ref="U179:BX179" si="66">-(U8+U94)</f>
        <v>0</v>
      </c>
      <c r="V179" s="312">
        <f t="shared" si="66"/>
        <v>0</v>
      </c>
      <c r="W179" s="312">
        <f t="shared" si="66"/>
        <v>0</v>
      </c>
      <c r="X179" s="312">
        <f t="shared" si="66"/>
        <v>0</v>
      </c>
      <c r="Y179" s="312">
        <f t="shared" si="66"/>
        <v>0</v>
      </c>
      <c r="Z179" s="312">
        <f t="shared" si="66"/>
        <v>0</v>
      </c>
      <c r="AA179" s="312">
        <f t="shared" si="66"/>
        <v>0</v>
      </c>
      <c r="AB179" s="312">
        <f t="shared" si="66"/>
        <v>0</v>
      </c>
      <c r="AC179" s="312">
        <f t="shared" si="66"/>
        <v>0</v>
      </c>
      <c r="AD179" s="312">
        <f t="shared" si="66"/>
        <v>0</v>
      </c>
      <c r="AE179" s="312">
        <f t="shared" si="66"/>
        <v>0</v>
      </c>
      <c r="AF179" s="312">
        <f t="shared" si="66"/>
        <v>0</v>
      </c>
      <c r="AG179" s="312">
        <f t="shared" si="66"/>
        <v>0</v>
      </c>
      <c r="AH179" s="312">
        <f t="shared" si="66"/>
        <v>0</v>
      </c>
      <c r="AI179" s="312">
        <f t="shared" si="66"/>
        <v>0</v>
      </c>
      <c r="AJ179" s="312">
        <f t="shared" si="66"/>
        <v>0</v>
      </c>
      <c r="AK179" s="312">
        <f t="shared" si="66"/>
        <v>0</v>
      </c>
      <c r="AL179" s="312">
        <f t="shared" si="66"/>
        <v>0</v>
      </c>
      <c r="AM179" s="312">
        <f t="shared" si="66"/>
        <v>0</v>
      </c>
      <c r="AN179" s="312">
        <f t="shared" si="66"/>
        <v>0</v>
      </c>
      <c r="AO179" s="312">
        <f t="shared" si="66"/>
        <v>0</v>
      </c>
      <c r="AP179" s="312">
        <f t="shared" si="66"/>
        <v>0</v>
      </c>
      <c r="AQ179" s="312">
        <f t="shared" si="66"/>
        <v>0</v>
      </c>
      <c r="AR179" s="312">
        <f t="shared" si="66"/>
        <v>0</v>
      </c>
      <c r="AS179" s="312">
        <f t="shared" si="66"/>
        <v>0</v>
      </c>
      <c r="AT179" s="312">
        <f t="shared" si="66"/>
        <v>0</v>
      </c>
      <c r="AU179" s="312">
        <f t="shared" si="66"/>
        <v>0</v>
      </c>
      <c r="AV179" s="312">
        <f t="shared" si="66"/>
        <v>0</v>
      </c>
      <c r="AW179" s="312">
        <f t="shared" si="66"/>
        <v>0</v>
      </c>
      <c r="AX179" s="312">
        <f t="shared" si="66"/>
        <v>0</v>
      </c>
      <c r="AY179" s="312">
        <f t="shared" si="66"/>
        <v>0</v>
      </c>
      <c r="AZ179" s="312">
        <f t="shared" si="66"/>
        <v>0</v>
      </c>
      <c r="BA179" s="312">
        <f t="shared" si="66"/>
        <v>0</v>
      </c>
      <c r="BB179" s="312">
        <f t="shared" si="66"/>
        <v>0</v>
      </c>
      <c r="BC179" s="312">
        <f t="shared" si="66"/>
        <v>0</v>
      </c>
      <c r="BD179" s="312">
        <f t="shared" si="66"/>
        <v>0</v>
      </c>
      <c r="BE179" s="312">
        <f t="shared" si="66"/>
        <v>0</v>
      </c>
      <c r="BF179" s="312">
        <f t="shared" si="66"/>
        <v>0</v>
      </c>
      <c r="BG179" s="312">
        <f t="shared" si="66"/>
        <v>0</v>
      </c>
      <c r="BH179" s="312">
        <f t="shared" si="66"/>
        <v>0</v>
      </c>
      <c r="BI179" s="312">
        <f t="shared" si="66"/>
        <v>0</v>
      </c>
      <c r="BJ179" s="312">
        <f t="shared" si="66"/>
        <v>0</v>
      </c>
      <c r="BK179" s="312">
        <f t="shared" si="66"/>
        <v>0</v>
      </c>
      <c r="BL179" s="312">
        <f t="shared" si="66"/>
        <v>0</v>
      </c>
      <c r="BM179" s="312">
        <f t="shared" si="66"/>
        <v>0</v>
      </c>
      <c r="BN179" s="312">
        <f t="shared" si="66"/>
        <v>0</v>
      </c>
      <c r="BO179" s="312">
        <f t="shared" si="66"/>
        <v>0</v>
      </c>
      <c r="BP179" s="312">
        <f t="shared" si="66"/>
        <v>0</v>
      </c>
      <c r="BQ179" s="312">
        <f t="shared" si="66"/>
        <v>0</v>
      </c>
      <c r="BR179" s="312">
        <f t="shared" si="66"/>
        <v>0</v>
      </c>
      <c r="BS179" s="312">
        <f t="shared" si="66"/>
        <v>0</v>
      </c>
      <c r="BT179" s="312">
        <f t="shared" si="66"/>
        <v>0</v>
      </c>
      <c r="BU179" s="312">
        <f t="shared" si="66"/>
        <v>0</v>
      </c>
      <c r="BV179" s="312">
        <f t="shared" si="66"/>
        <v>0</v>
      </c>
      <c r="BW179" s="312">
        <f t="shared" si="66"/>
        <v>0</v>
      </c>
      <c r="BX179" s="312">
        <f t="shared" si="66"/>
        <v>0</v>
      </c>
      <c r="BY179" s="222"/>
      <c r="BZ179" s="222"/>
      <c r="CA179" s="222"/>
      <c r="CB179" s="222"/>
      <c r="CC179" s="222"/>
      <c r="CD179" s="222"/>
      <c r="CE179" s="222"/>
      <c r="CF179" s="222"/>
      <c r="CG179" s="222"/>
      <c r="CH179" s="222"/>
      <c r="CI179" s="222"/>
      <c r="CJ179" s="222"/>
      <c r="CK179" s="222"/>
      <c r="CL179" s="222"/>
      <c r="CM179" s="222"/>
      <c r="CN179" s="222"/>
      <c r="CO179" s="222"/>
      <c r="CP179" s="222"/>
      <c r="CQ179" s="222"/>
      <c r="CR179" s="222"/>
      <c r="CS179" s="222"/>
      <c r="CT179" s="222"/>
      <c r="CU179" s="222"/>
      <c r="CV179" s="222"/>
      <c r="CW179" s="222"/>
      <c r="CX179" s="222"/>
      <c r="CY179" s="222"/>
      <c r="CZ179" s="222"/>
      <c r="DA179" s="222"/>
      <c r="DB179" s="222"/>
      <c r="DC179" s="222"/>
      <c r="DD179" s="222"/>
      <c r="DE179" s="222"/>
      <c r="DF179" s="222"/>
      <c r="DG179" s="222"/>
      <c r="DH179" s="222"/>
      <c r="DI179" s="222"/>
      <c r="DJ179" s="222"/>
      <c r="DK179" s="222"/>
      <c r="DL179" s="222"/>
      <c r="DM179" s="222"/>
      <c r="DN179" s="222"/>
      <c r="DO179" s="222"/>
      <c r="DP179" s="222"/>
      <c r="DQ179" s="222"/>
      <c r="DR179" s="222"/>
      <c r="DS179" s="222"/>
      <c r="DT179" s="222"/>
      <c r="DU179" s="222"/>
      <c r="DV179" s="222"/>
      <c r="DW179" s="222"/>
      <c r="DX179" s="222"/>
      <c r="DY179" s="222"/>
      <c r="DZ179" s="222"/>
      <c r="EA179" s="222"/>
      <c r="EB179" s="222"/>
      <c r="EC179" s="222"/>
      <c r="ED179" s="222"/>
      <c r="EE179" s="222"/>
      <c r="EF179" s="222"/>
      <c r="EG179" s="222"/>
      <c r="EH179" s="222"/>
    </row>
    <row r="180" spans="1:138" hidden="1">
      <c r="A180" s="222"/>
      <c r="B180" s="318"/>
      <c r="C180" s="310" t="s">
        <v>305</v>
      </c>
      <c r="D180" s="319"/>
      <c r="E180" s="311"/>
      <c r="F180" s="311"/>
      <c r="G180" s="311"/>
      <c r="H180" s="311"/>
      <c r="I180" s="311"/>
      <c r="J180" s="311"/>
      <c r="K180" s="311"/>
      <c r="L180" s="311"/>
      <c r="M180" s="311"/>
      <c r="N180" s="311"/>
      <c r="O180" s="311"/>
      <c r="P180" s="311"/>
      <c r="Q180" s="311"/>
      <c r="R180" s="311"/>
      <c r="S180" s="311"/>
      <c r="T180" s="311"/>
      <c r="U180" s="311"/>
      <c r="V180" s="311"/>
      <c r="W180" s="311"/>
      <c r="X180" s="311"/>
      <c r="Y180" s="311"/>
      <c r="Z180" s="311"/>
      <c r="AA180" s="311"/>
      <c r="AB180" s="311"/>
      <c r="AC180" s="311"/>
      <c r="AD180" s="311"/>
      <c r="AE180" s="311"/>
      <c r="AF180" s="311"/>
      <c r="AG180" s="311"/>
      <c r="AH180" s="311"/>
      <c r="AI180" s="311"/>
      <c r="AJ180" s="311"/>
      <c r="AK180" s="311"/>
      <c r="AL180" s="311"/>
      <c r="AM180" s="311"/>
      <c r="AN180" s="311"/>
      <c r="AO180" s="311"/>
      <c r="AP180" s="311"/>
      <c r="AQ180" s="311"/>
      <c r="AR180" s="311"/>
      <c r="AS180" s="311"/>
      <c r="AT180" s="311"/>
      <c r="AU180" s="311"/>
      <c r="AV180" s="311"/>
      <c r="AW180" s="311"/>
      <c r="AX180" s="311"/>
      <c r="AY180" s="311"/>
      <c r="AZ180" s="311"/>
      <c r="BA180" s="311"/>
      <c r="BB180" s="311"/>
      <c r="BC180" s="312"/>
      <c r="BD180" s="311"/>
      <c r="BE180" s="311"/>
      <c r="BF180" s="311"/>
      <c r="BG180" s="311"/>
      <c r="BH180" s="311"/>
      <c r="BI180" s="311"/>
      <c r="BJ180" s="311"/>
      <c r="BK180" s="311"/>
      <c r="BL180" s="311"/>
      <c r="BM180" s="311"/>
      <c r="BN180" s="311"/>
      <c r="BO180" s="311"/>
      <c r="BP180" s="311"/>
      <c r="BQ180" s="311"/>
      <c r="BR180" s="311"/>
      <c r="BS180" s="311"/>
      <c r="BT180" s="311"/>
      <c r="BU180" s="311"/>
      <c r="BV180" s="311"/>
      <c r="BW180" s="311"/>
      <c r="BX180" s="311"/>
      <c r="BY180" s="307"/>
      <c r="BZ180" s="307"/>
      <c r="CA180" s="222"/>
      <c r="CB180" s="222"/>
      <c r="CC180" s="222"/>
      <c r="CD180" s="222"/>
      <c r="CE180" s="222"/>
      <c r="CF180" s="222"/>
      <c r="CG180" s="222"/>
      <c r="CH180" s="222"/>
      <c r="CI180" s="222"/>
      <c r="CJ180" s="222"/>
      <c r="CK180" s="222"/>
      <c r="CL180" s="222"/>
      <c r="CM180" s="222"/>
      <c r="CN180" s="222"/>
      <c r="CO180" s="222"/>
      <c r="CP180" s="222"/>
      <c r="CQ180" s="222"/>
      <c r="CR180" s="222"/>
      <c r="CS180" s="222"/>
      <c r="CT180" s="222"/>
      <c r="CU180" s="222"/>
      <c r="CV180" s="222"/>
      <c r="CW180" s="222"/>
      <c r="CX180" s="222"/>
      <c r="CY180" s="222"/>
      <c r="CZ180" s="222"/>
      <c r="DA180" s="222"/>
      <c r="DB180" s="222"/>
      <c r="DC180" s="222"/>
      <c r="DD180" s="222"/>
      <c r="DE180" s="222"/>
      <c r="DF180" s="222"/>
      <c r="DG180" s="222"/>
      <c r="DH180" s="222"/>
      <c r="DI180" s="222"/>
      <c r="DJ180" s="222"/>
      <c r="DK180" s="222"/>
      <c r="DL180" s="222"/>
      <c r="DM180" s="222"/>
      <c r="DN180" s="222"/>
      <c r="DO180" s="222"/>
      <c r="DP180" s="222"/>
      <c r="DQ180" s="222"/>
      <c r="DR180" s="222"/>
      <c r="DS180" s="222"/>
      <c r="DT180" s="222"/>
      <c r="DU180" s="222"/>
      <c r="DV180" s="222"/>
      <c r="DW180" s="222"/>
      <c r="DX180" s="222"/>
      <c r="DY180" s="222"/>
      <c r="DZ180" s="222"/>
      <c r="EA180" s="222"/>
      <c r="EB180" s="222"/>
      <c r="EC180" s="222"/>
      <c r="ED180" s="222"/>
      <c r="EE180" s="222"/>
      <c r="EF180" s="222"/>
      <c r="EG180" s="222"/>
      <c r="EH180" s="222"/>
    </row>
    <row r="181" spans="1:138" hidden="1">
      <c r="A181" s="222"/>
      <c r="B181" s="318"/>
      <c r="C181" s="310" t="s">
        <v>296</v>
      </c>
      <c r="D181" s="319"/>
      <c r="E181" s="311">
        <f t="shared" ref="E181:G181" si="67">-E59</f>
        <v>0</v>
      </c>
      <c r="F181" s="311">
        <f t="shared" si="67"/>
        <v>0</v>
      </c>
      <c r="G181" s="311">
        <f t="shared" si="67"/>
        <v>0</v>
      </c>
      <c r="H181" s="311">
        <f t="shared" ref="H181:T181" si="68">-H74</f>
        <v>0</v>
      </c>
      <c r="I181" s="311">
        <f t="shared" si="68"/>
        <v>0</v>
      </c>
      <c r="J181" s="311">
        <f t="shared" si="68"/>
        <v>0</v>
      </c>
      <c r="K181" s="311">
        <f t="shared" si="68"/>
        <v>0</v>
      </c>
      <c r="L181" s="311">
        <f t="shared" si="68"/>
        <v>0</v>
      </c>
      <c r="M181" s="311">
        <f t="shared" si="68"/>
        <v>0</v>
      </c>
      <c r="N181" s="311">
        <f t="shared" si="68"/>
        <v>0</v>
      </c>
      <c r="O181" s="311">
        <f t="shared" si="68"/>
        <v>0</v>
      </c>
      <c r="P181" s="311">
        <f t="shared" si="68"/>
        <v>0</v>
      </c>
      <c r="Q181" s="311">
        <f t="shared" si="68"/>
        <v>0</v>
      </c>
      <c r="R181" s="311">
        <f t="shared" si="68"/>
        <v>0</v>
      </c>
      <c r="S181" s="311">
        <f t="shared" si="68"/>
        <v>0</v>
      </c>
      <c r="T181" s="311">
        <f t="shared" si="68"/>
        <v>0</v>
      </c>
      <c r="U181" s="311">
        <f t="shared" ref="U181:BX181" si="69">-U59</f>
        <v>0</v>
      </c>
      <c r="V181" s="311">
        <f t="shared" si="69"/>
        <v>0</v>
      </c>
      <c r="W181" s="311">
        <f t="shared" si="69"/>
        <v>0</v>
      </c>
      <c r="X181" s="311">
        <f t="shared" si="69"/>
        <v>0</v>
      </c>
      <c r="Y181" s="311">
        <f t="shared" si="69"/>
        <v>0</v>
      </c>
      <c r="Z181" s="311">
        <f t="shared" si="69"/>
        <v>0</v>
      </c>
      <c r="AA181" s="311">
        <f t="shared" si="69"/>
        <v>0</v>
      </c>
      <c r="AB181" s="311">
        <f t="shared" si="69"/>
        <v>0</v>
      </c>
      <c r="AC181" s="311">
        <f t="shared" si="69"/>
        <v>0</v>
      </c>
      <c r="AD181" s="311">
        <f t="shared" si="69"/>
        <v>0</v>
      </c>
      <c r="AE181" s="311">
        <f t="shared" si="69"/>
        <v>0</v>
      </c>
      <c r="AF181" s="311">
        <f t="shared" si="69"/>
        <v>0</v>
      </c>
      <c r="AG181" s="311">
        <f t="shared" si="69"/>
        <v>0</v>
      </c>
      <c r="AH181" s="311">
        <f t="shared" si="69"/>
        <v>0</v>
      </c>
      <c r="AI181" s="311">
        <f t="shared" si="69"/>
        <v>0</v>
      </c>
      <c r="AJ181" s="311">
        <f t="shared" si="69"/>
        <v>0</v>
      </c>
      <c r="AK181" s="311">
        <f t="shared" si="69"/>
        <v>0</v>
      </c>
      <c r="AL181" s="311">
        <f t="shared" si="69"/>
        <v>0</v>
      </c>
      <c r="AM181" s="311">
        <f t="shared" si="69"/>
        <v>0</v>
      </c>
      <c r="AN181" s="311">
        <f t="shared" si="69"/>
        <v>0</v>
      </c>
      <c r="AO181" s="311">
        <f t="shared" si="69"/>
        <v>0</v>
      </c>
      <c r="AP181" s="311">
        <f t="shared" si="69"/>
        <v>0</v>
      </c>
      <c r="AQ181" s="311">
        <f t="shared" si="69"/>
        <v>0</v>
      </c>
      <c r="AR181" s="311">
        <f t="shared" si="69"/>
        <v>0</v>
      </c>
      <c r="AS181" s="311">
        <f t="shared" si="69"/>
        <v>0</v>
      </c>
      <c r="AT181" s="311">
        <f t="shared" si="69"/>
        <v>0</v>
      </c>
      <c r="AU181" s="311">
        <f t="shared" si="69"/>
        <v>0</v>
      </c>
      <c r="AV181" s="311">
        <f t="shared" si="69"/>
        <v>0</v>
      </c>
      <c r="AW181" s="311">
        <f t="shared" si="69"/>
        <v>0</v>
      </c>
      <c r="AX181" s="311">
        <f t="shared" si="69"/>
        <v>0</v>
      </c>
      <c r="AY181" s="311">
        <f t="shared" si="69"/>
        <v>0</v>
      </c>
      <c r="AZ181" s="311">
        <f t="shared" si="69"/>
        <v>0</v>
      </c>
      <c r="BA181" s="311">
        <f t="shared" si="69"/>
        <v>0</v>
      </c>
      <c r="BB181" s="311">
        <f t="shared" si="69"/>
        <v>0</v>
      </c>
      <c r="BC181" s="311">
        <f t="shared" si="69"/>
        <v>0</v>
      </c>
      <c r="BD181" s="311">
        <f t="shared" si="69"/>
        <v>0</v>
      </c>
      <c r="BE181" s="311">
        <f t="shared" si="69"/>
        <v>0</v>
      </c>
      <c r="BF181" s="311">
        <f t="shared" si="69"/>
        <v>0</v>
      </c>
      <c r="BG181" s="311">
        <f t="shared" si="69"/>
        <v>0</v>
      </c>
      <c r="BH181" s="311">
        <f t="shared" si="69"/>
        <v>0</v>
      </c>
      <c r="BI181" s="311">
        <f t="shared" si="69"/>
        <v>0</v>
      </c>
      <c r="BJ181" s="311">
        <f t="shared" si="69"/>
        <v>0</v>
      </c>
      <c r="BK181" s="311">
        <f t="shared" si="69"/>
        <v>0</v>
      </c>
      <c r="BL181" s="311">
        <f t="shared" si="69"/>
        <v>0</v>
      </c>
      <c r="BM181" s="311">
        <f t="shared" si="69"/>
        <v>0</v>
      </c>
      <c r="BN181" s="311">
        <f t="shared" si="69"/>
        <v>0</v>
      </c>
      <c r="BO181" s="311">
        <f t="shared" si="69"/>
        <v>0</v>
      </c>
      <c r="BP181" s="311">
        <f t="shared" si="69"/>
        <v>0</v>
      </c>
      <c r="BQ181" s="311">
        <f t="shared" si="69"/>
        <v>0</v>
      </c>
      <c r="BR181" s="311">
        <f t="shared" si="69"/>
        <v>0</v>
      </c>
      <c r="BS181" s="311">
        <f t="shared" si="69"/>
        <v>0</v>
      </c>
      <c r="BT181" s="311">
        <f t="shared" si="69"/>
        <v>0</v>
      </c>
      <c r="BU181" s="311">
        <f t="shared" si="69"/>
        <v>0</v>
      </c>
      <c r="BV181" s="311">
        <f t="shared" si="69"/>
        <v>0</v>
      </c>
      <c r="BW181" s="311">
        <f t="shared" si="69"/>
        <v>0</v>
      </c>
      <c r="BX181" s="311">
        <f t="shared" si="69"/>
        <v>0</v>
      </c>
      <c r="BY181" s="307"/>
      <c r="BZ181" s="307"/>
      <c r="CA181" s="222"/>
      <c r="CB181" s="222"/>
      <c r="CC181" s="222"/>
      <c r="CD181" s="222"/>
      <c r="CE181" s="222"/>
      <c r="CF181" s="222"/>
      <c r="CG181" s="222"/>
      <c r="CH181" s="222"/>
      <c r="CI181" s="222"/>
      <c r="CJ181" s="222"/>
      <c r="CK181" s="222"/>
      <c r="CL181" s="222"/>
      <c r="CM181" s="222"/>
      <c r="CN181" s="222"/>
      <c r="CO181" s="222"/>
      <c r="CP181" s="222"/>
      <c r="CQ181" s="222"/>
      <c r="CR181" s="222"/>
      <c r="CS181" s="222"/>
      <c r="CT181" s="222"/>
      <c r="CU181" s="222"/>
      <c r="CV181" s="222"/>
      <c r="CW181" s="222"/>
      <c r="CX181" s="222"/>
      <c r="CY181" s="222"/>
      <c r="CZ181" s="222"/>
      <c r="DA181" s="222"/>
      <c r="DB181" s="222"/>
      <c r="DC181" s="222"/>
      <c r="DD181" s="222"/>
      <c r="DE181" s="222"/>
      <c r="DF181" s="222"/>
      <c r="DG181" s="222"/>
      <c r="DH181" s="222"/>
      <c r="DI181" s="222"/>
      <c r="DJ181" s="222"/>
      <c r="DK181" s="222"/>
      <c r="DL181" s="222"/>
      <c r="DM181" s="222"/>
      <c r="DN181" s="222"/>
      <c r="DO181" s="222"/>
      <c r="DP181" s="222"/>
      <c r="DQ181" s="222"/>
      <c r="DR181" s="222"/>
      <c r="DS181" s="222"/>
      <c r="DT181" s="222"/>
      <c r="DU181" s="222"/>
      <c r="DV181" s="222"/>
      <c r="DW181" s="222"/>
      <c r="DX181" s="222"/>
      <c r="DY181" s="222"/>
      <c r="DZ181" s="222"/>
      <c r="EA181" s="222"/>
      <c r="EB181" s="222"/>
      <c r="EC181" s="222"/>
      <c r="ED181" s="222"/>
      <c r="EE181" s="222"/>
      <c r="EF181" s="222"/>
      <c r="EG181" s="222"/>
      <c r="EH181" s="222"/>
    </row>
    <row r="182" spans="1:138" hidden="1">
      <c r="A182" s="222"/>
      <c r="B182" s="318"/>
      <c r="C182" s="310" t="s">
        <v>297</v>
      </c>
      <c r="D182" s="319"/>
      <c r="E182" s="311"/>
      <c r="F182" s="311"/>
      <c r="G182" s="311"/>
      <c r="H182" s="311"/>
      <c r="I182" s="311"/>
      <c r="J182" s="311"/>
      <c r="K182" s="311"/>
      <c r="L182" s="311"/>
      <c r="M182" s="311"/>
      <c r="N182" s="311"/>
      <c r="O182" s="311"/>
      <c r="P182" s="311"/>
      <c r="Q182" s="311"/>
      <c r="R182" s="311"/>
      <c r="S182" s="311"/>
      <c r="T182" s="311">
        <v>2750000</v>
      </c>
      <c r="U182" s="311"/>
      <c r="V182" s="311"/>
      <c r="W182" s="311"/>
      <c r="X182" s="311"/>
      <c r="Y182" s="311"/>
      <c r="Z182" s="311"/>
      <c r="AA182" s="311"/>
      <c r="AB182" s="311"/>
      <c r="AC182" s="311"/>
      <c r="AD182" s="311"/>
      <c r="AE182" s="311"/>
      <c r="AF182" s="311"/>
      <c r="AG182" s="311"/>
      <c r="AH182" s="311"/>
      <c r="AI182" s="311"/>
      <c r="AJ182" s="311"/>
      <c r="AK182" s="311"/>
      <c r="AL182" s="311"/>
      <c r="AM182" s="311"/>
      <c r="AN182" s="311"/>
      <c r="AO182" s="311"/>
      <c r="AP182" s="311"/>
      <c r="AQ182" s="311"/>
      <c r="AR182" s="311"/>
      <c r="AS182" s="311"/>
      <c r="AT182" s="311"/>
      <c r="AU182" s="311"/>
      <c r="AV182" s="311"/>
      <c r="AW182" s="311"/>
      <c r="AX182" s="311"/>
      <c r="AY182" s="311"/>
      <c r="AZ182" s="311"/>
      <c r="BA182" s="311"/>
      <c r="BB182" s="311"/>
      <c r="BC182" s="312"/>
      <c r="BD182" s="311"/>
      <c r="BE182" s="311"/>
      <c r="BF182" s="311"/>
      <c r="BG182" s="311"/>
      <c r="BH182" s="311"/>
      <c r="BI182" s="311"/>
      <c r="BJ182" s="311"/>
      <c r="BK182" s="311"/>
      <c r="BL182" s="311"/>
      <c r="BM182" s="311"/>
      <c r="BN182" s="311"/>
      <c r="BO182" s="311"/>
      <c r="BP182" s="311"/>
      <c r="BQ182" s="311"/>
      <c r="BR182" s="311"/>
      <c r="BS182" s="311"/>
      <c r="BT182" s="311"/>
      <c r="BU182" s="311"/>
      <c r="BV182" s="311"/>
      <c r="BW182" s="311"/>
      <c r="BX182" s="311">
        <f>IF(D106&gt;0.25,(BX101-BX109)*D183,BX101*D183)</f>
        <v>0</v>
      </c>
      <c r="BY182" s="307"/>
      <c r="BZ182" s="307"/>
      <c r="CA182" s="222"/>
      <c r="CB182" s="222"/>
      <c r="CC182" s="222"/>
      <c r="CD182" s="222"/>
      <c r="CE182" s="222"/>
      <c r="CF182" s="222"/>
      <c r="CG182" s="222"/>
      <c r="CH182" s="222"/>
      <c r="CI182" s="222"/>
      <c r="CJ182" s="222"/>
      <c r="CK182" s="222"/>
      <c r="CL182" s="222"/>
      <c r="CM182" s="222"/>
      <c r="CN182" s="222"/>
      <c r="CO182" s="222"/>
      <c r="CP182" s="222"/>
      <c r="CQ182" s="222"/>
      <c r="CR182" s="222"/>
      <c r="CS182" s="222"/>
      <c r="CT182" s="222"/>
      <c r="CU182" s="222"/>
      <c r="CV182" s="222"/>
      <c r="CW182" s="222"/>
      <c r="CX182" s="222"/>
      <c r="CY182" s="222"/>
      <c r="CZ182" s="222"/>
      <c r="DA182" s="222"/>
      <c r="DB182" s="222"/>
      <c r="DC182" s="222"/>
      <c r="DD182" s="222"/>
      <c r="DE182" s="222"/>
      <c r="DF182" s="222"/>
      <c r="DG182" s="222"/>
      <c r="DH182" s="222"/>
      <c r="DI182" s="222"/>
      <c r="DJ182" s="222"/>
      <c r="DK182" s="222"/>
      <c r="DL182" s="222"/>
      <c r="DM182" s="222"/>
      <c r="DN182" s="222"/>
      <c r="DO182" s="222"/>
      <c r="DP182" s="222"/>
      <c r="DQ182" s="222"/>
      <c r="DR182" s="222"/>
      <c r="DS182" s="222"/>
      <c r="DT182" s="222"/>
      <c r="DU182" s="222"/>
      <c r="DV182" s="222"/>
      <c r="DW182" s="222"/>
      <c r="DX182" s="222"/>
      <c r="DY182" s="222"/>
      <c r="DZ182" s="222"/>
      <c r="EA182" s="222"/>
      <c r="EB182" s="222"/>
      <c r="EC182" s="222"/>
      <c r="ED182" s="222"/>
      <c r="EE182" s="222"/>
      <c r="EF182" s="222"/>
      <c r="EG182" s="222"/>
      <c r="EH182" s="222"/>
    </row>
    <row r="183" spans="1:138" hidden="1">
      <c r="A183" s="222"/>
      <c r="B183" s="318"/>
      <c r="C183" s="313" t="s">
        <v>298</v>
      </c>
      <c r="D183" s="319">
        <v>0</v>
      </c>
      <c r="E183" s="311"/>
      <c r="F183" s="311"/>
      <c r="G183" s="311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311"/>
      <c r="V183" s="311"/>
      <c r="W183" s="311"/>
      <c r="X183" s="311"/>
      <c r="Y183" s="311"/>
      <c r="Z183" s="311"/>
      <c r="AA183" s="311"/>
      <c r="AB183" s="311"/>
      <c r="AC183" s="311"/>
      <c r="AD183" s="311"/>
      <c r="AE183" s="311"/>
      <c r="AF183" s="311"/>
      <c r="AG183" s="311"/>
      <c r="AH183" s="311"/>
      <c r="AI183" s="311"/>
      <c r="AJ183" s="311"/>
      <c r="AK183" s="311"/>
      <c r="AL183" s="311"/>
      <c r="AM183" s="311"/>
      <c r="AN183" s="311"/>
      <c r="AO183" s="311"/>
      <c r="AP183" s="311"/>
      <c r="AQ183" s="311"/>
      <c r="AR183" s="311"/>
      <c r="AS183" s="311"/>
      <c r="AT183" s="311"/>
      <c r="AU183" s="311"/>
      <c r="AV183" s="311"/>
      <c r="AW183" s="311"/>
      <c r="AX183" s="311"/>
      <c r="AY183" s="311"/>
      <c r="AZ183" s="311"/>
      <c r="BA183" s="311"/>
      <c r="BB183" s="311"/>
      <c r="BC183" s="312"/>
      <c r="BD183" s="311"/>
      <c r="BE183" s="311"/>
      <c r="BF183" s="311"/>
      <c r="BG183" s="311"/>
      <c r="BH183" s="311"/>
      <c r="BI183" s="311"/>
      <c r="BJ183" s="311"/>
      <c r="BK183" s="311"/>
      <c r="BL183" s="311"/>
      <c r="BM183" s="311"/>
      <c r="BN183" s="311"/>
      <c r="BO183" s="311"/>
      <c r="BP183" s="311"/>
      <c r="BQ183" s="311"/>
      <c r="BR183" s="311"/>
      <c r="BS183" s="311"/>
      <c r="BT183" s="311"/>
      <c r="BU183" s="311"/>
      <c r="BV183" s="311"/>
      <c r="BW183" s="311"/>
      <c r="BX183" s="311"/>
      <c r="BY183" s="307"/>
      <c r="BZ183" s="307"/>
      <c r="CA183" s="222"/>
      <c r="CB183" s="222"/>
      <c r="CC183" s="222"/>
      <c r="CD183" s="222"/>
      <c r="CE183" s="222"/>
      <c r="CF183" s="222"/>
      <c r="CG183" s="222"/>
      <c r="CH183" s="222"/>
      <c r="CI183" s="222"/>
      <c r="CJ183" s="222"/>
      <c r="CK183" s="222"/>
      <c r="CL183" s="222"/>
      <c r="CM183" s="222"/>
      <c r="CN183" s="222"/>
      <c r="CO183" s="222"/>
      <c r="CP183" s="222"/>
      <c r="CQ183" s="222"/>
      <c r="CR183" s="222"/>
      <c r="CS183" s="222"/>
      <c r="CT183" s="222"/>
      <c r="CU183" s="222"/>
      <c r="CV183" s="222"/>
      <c r="CW183" s="222"/>
      <c r="CX183" s="222"/>
      <c r="CY183" s="222"/>
      <c r="CZ183" s="222"/>
      <c r="DA183" s="222"/>
      <c r="DB183" s="222"/>
      <c r="DC183" s="222"/>
      <c r="DD183" s="222"/>
      <c r="DE183" s="222"/>
      <c r="DF183" s="222"/>
      <c r="DG183" s="222"/>
      <c r="DH183" s="222"/>
      <c r="DI183" s="222"/>
      <c r="DJ183" s="222"/>
      <c r="DK183" s="222"/>
      <c r="DL183" s="222"/>
      <c r="DM183" s="222"/>
      <c r="DN183" s="222"/>
      <c r="DO183" s="222"/>
      <c r="DP183" s="222"/>
      <c r="DQ183" s="222"/>
      <c r="DR183" s="222"/>
      <c r="DS183" s="222"/>
      <c r="DT183" s="222"/>
      <c r="DU183" s="222"/>
      <c r="DV183" s="222"/>
      <c r="DW183" s="222"/>
      <c r="DX183" s="222"/>
      <c r="DY183" s="222"/>
      <c r="DZ183" s="222"/>
      <c r="EA183" s="222"/>
      <c r="EB183" s="222"/>
      <c r="EC183" s="222"/>
      <c r="ED183" s="222"/>
      <c r="EE183" s="222"/>
      <c r="EF183" s="222"/>
      <c r="EG183" s="222"/>
      <c r="EH183" s="222"/>
    </row>
    <row r="184" spans="1:138" hidden="1">
      <c r="A184" s="222"/>
      <c r="B184" s="318"/>
      <c r="C184" s="310" t="s">
        <v>299</v>
      </c>
      <c r="D184" s="311"/>
      <c r="E184" s="321">
        <f t="shared" ref="E184:BX184" si="70">E179+E180+E181+E182+E183</f>
        <v>0</v>
      </c>
      <c r="F184" s="321">
        <f t="shared" si="70"/>
        <v>0</v>
      </c>
      <c r="G184" s="321">
        <f t="shared" si="70"/>
        <v>0</v>
      </c>
      <c r="H184" s="321">
        <f t="shared" si="70"/>
        <v>-5341205.5</v>
      </c>
      <c r="I184" s="321">
        <f t="shared" si="70"/>
        <v>0</v>
      </c>
      <c r="J184" s="321">
        <f t="shared" si="70"/>
        <v>0</v>
      </c>
      <c r="K184" s="321">
        <f t="shared" si="70"/>
        <v>0</v>
      </c>
      <c r="L184" s="321">
        <f t="shared" si="70"/>
        <v>0</v>
      </c>
      <c r="M184" s="321">
        <f t="shared" si="70"/>
        <v>0</v>
      </c>
      <c r="N184" s="321">
        <f t="shared" si="70"/>
        <v>0</v>
      </c>
      <c r="O184" s="321">
        <f t="shared" si="70"/>
        <v>0</v>
      </c>
      <c r="P184" s="321">
        <f t="shared" si="70"/>
        <v>0</v>
      </c>
      <c r="Q184" s="321">
        <f t="shared" si="70"/>
        <v>0</v>
      </c>
      <c r="R184" s="321">
        <f t="shared" si="70"/>
        <v>0</v>
      </c>
      <c r="S184" s="321">
        <f t="shared" si="70"/>
        <v>0</v>
      </c>
      <c r="T184" s="321">
        <f t="shared" si="70"/>
        <v>8091205.5</v>
      </c>
      <c r="U184" s="321">
        <f t="shared" si="70"/>
        <v>0</v>
      </c>
      <c r="V184" s="321">
        <f t="shared" si="70"/>
        <v>0</v>
      </c>
      <c r="W184" s="321">
        <f t="shared" si="70"/>
        <v>0</v>
      </c>
      <c r="X184" s="321">
        <f t="shared" si="70"/>
        <v>0</v>
      </c>
      <c r="Y184" s="321">
        <f t="shared" si="70"/>
        <v>0</v>
      </c>
      <c r="Z184" s="321">
        <f t="shared" si="70"/>
        <v>0</v>
      </c>
      <c r="AA184" s="321">
        <f t="shared" si="70"/>
        <v>0</v>
      </c>
      <c r="AB184" s="321">
        <f t="shared" si="70"/>
        <v>0</v>
      </c>
      <c r="AC184" s="321">
        <f t="shared" si="70"/>
        <v>0</v>
      </c>
      <c r="AD184" s="321">
        <f t="shared" si="70"/>
        <v>0</v>
      </c>
      <c r="AE184" s="321">
        <f t="shared" si="70"/>
        <v>0</v>
      </c>
      <c r="AF184" s="321">
        <f t="shared" si="70"/>
        <v>0</v>
      </c>
      <c r="AG184" s="321">
        <f t="shared" si="70"/>
        <v>0</v>
      </c>
      <c r="AH184" s="321">
        <f t="shared" si="70"/>
        <v>0</v>
      </c>
      <c r="AI184" s="321">
        <f t="shared" si="70"/>
        <v>0</v>
      </c>
      <c r="AJ184" s="321">
        <f t="shared" si="70"/>
        <v>0</v>
      </c>
      <c r="AK184" s="321">
        <f t="shared" si="70"/>
        <v>0</v>
      </c>
      <c r="AL184" s="321">
        <f t="shared" si="70"/>
        <v>0</v>
      </c>
      <c r="AM184" s="321">
        <f t="shared" si="70"/>
        <v>0</v>
      </c>
      <c r="AN184" s="321">
        <f t="shared" si="70"/>
        <v>0</v>
      </c>
      <c r="AO184" s="321">
        <f t="shared" si="70"/>
        <v>0</v>
      </c>
      <c r="AP184" s="321">
        <f t="shared" si="70"/>
        <v>0</v>
      </c>
      <c r="AQ184" s="321">
        <f t="shared" si="70"/>
        <v>0</v>
      </c>
      <c r="AR184" s="321">
        <f t="shared" si="70"/>
        <v>0</v>
      </c>
      <c r="AS184" s="321">
        <f t="shared" si="70"/>
        <v>0</v>
      </c>
      <c r="AT184" s="321">
        <f t="shared" si="70"/>
        <v>0</v>
      </c>
      <c r="AU184" s="321">
        <f t="shared" si="70"/>
        <v>0</v>
      </c>
      <c r="AV184" s="321">
        <f t="shared" si="70"/>
        <v>0</v>
      </c>
      <c r="AW184" s="321">
        <f t="shared" si="70"/>
        <v>0</v>
      </c>
      <c r="AX184" s="321">
        <f t="shared" si="70"/>
        <v>0</v>
      </c>
      <c r="AY184" s="321">
        <f t="shared" si="70"/>
        <v>0</v>
      </c>
      <c r="AZ184" s="321">
        <f t="shared" si="70"/>
        <v>0</v>
      </c>
      <c r="BA184" s="321">
        <f t="shared" si="70"/>
        <v>0</v>
      </c>
      <c r="BB184" s="321">
        <f t="shared" si="70"/>
        <v>0</v>
      </c>
      <c r="BC184" s="321">
        <f t="shared" si="70"/>
        <v>0</v>
      </c>
      <c r="BD184" s="321">
        <f t="shared" si="70"/>
        <v>0</v>
      </c>
      <c r="BE184" s="321">
        <f t="shared" si="70"/>
        <v>0</v>
      </c>
      <c r="BF184" s="321">
        <f t="shared" si="70"/>
        <v>0</v>
      </c>
      <c r="BG184" s="321">
        <f t="shared" si="70"/>
        <v>0</v>
      </c>
      <c r="BH184" s="321">
        <f t="shared" si="70"/>
        <v>0</v>
      </c>
      <c r="BI184" s="321">
        <f t="shared" si="70"/>
        <v>0</v>
      </c>
      <c r="BJ184" s="321">
        <f t="shared" si="70"/>
        <v>0</v>
      </c>
      <c r="BK184" s="321">
        <f t="shared" si="70"/>
        <v>0</v>
      </c>
      <c r="BL184" s="321">
        <f t="shared" si="70"/>
        <v>0</v>
      </c>
      <c r="BM184" s="321">
        <f t="shared" si="70"/>
        <v>0</v>
      </c>
      <c r="BN184" s="321">
        <f t="shared" si="70"/>
        <v>0</v>
      </c>
      <c r="BO184" s="321">
        <f t="shared" si="70"/>
        <v>0</v>
      </c>
      <c r="BP184" s="321">
        <f t="shared" si="70"/>
        <v>0</v>
      </c>
      <c r="BQ184" s="321">
        <f t="shared" si="70"/>
        <v>0</v>
      </c>
      <c r="BR184" s="321">
        <f t="shared" si="70"/>
        <v>0</v>
      </c>
      <c r="BS184" s="321">
        <f t="shared" si="70"/>
        <v>0</v>
      </c>
      <c r="BT184" s="321">
        <f t="shared" si="70"/>
        <v>0</v>
      </c>
      <c r="BU184" s="321">
        <f t="shared" si="70"/>
        <v>0</v>
      </c>
      <c r="BV184" s="321">
        <f t="shared" si="70"/>
        <v>0</v>
      </c>
      <c r="BW184" s="321">
        <f t="shared" si="70"/>
        <v>0</v>
      </c>
      <c r="BX184" s="321">
        <f t="shared" si="70"/>
        <v>0</v>
      </c>
      <c r="BY184" s="222"/>
      <c r="BZ184" s="222"/>
      <c r="CA184" s="222"/>
      <c r="CB184" s="222"/>
      <c r="CC184" s="222"/>
      <c r="CD184" s="222"/>
      <c r="CE184" s="222"/>
      <c r="CF184" s="222"/>
      <c r="CG184" s="222"/>
      <c r="CH184" s="222"/>
      <c r="CI184" s="222"/>
      <c r="CJ184" s="222"/>
      <c r="CK184" s="222"/>
      <c r="CL184" s="222"/>
      <c r="CM184" s="222"/>
      <c r="CN184" s="222"/>
      <c r="CO184" s="222"/>
      <c r="CP184" s="222"/>
      <c r="CQ184" s="222"/>
      <c r="CR184" s="222"/>
      <c r="CS184" s="222"/>
      <c r="CT184" s="222"/>
      <c r="CU184" s="222"/>
      <c r="CV184" s="222"/>
      <c r="CW184" s="222"/>
      <c r="CX184" s="222"/>
      <c r="CY184" s="222"/>
      <c r="CZ184" s="222"/>
      <c r="DA184" s="222"/>
      <c r="DB184" s="222"/>
      <c r="DC184" s="222"/>
      <c r="DD184" s="222"/>
      <c r="DE184" s="222"/>
      <c r="DF184" s="222"/>
      <c r="DG184" s="222"/>
      <c r="DH184" s="222"/>
      <c r="DI184" s="222"/>
      <c r="DJ184" s="222"/>
      <c r="DK184" s="222"/>
      <c r="DL184" s="222"/>
      <c r="DM184" s="222"/>
      <c r="DN184" s="222"/>
      <c r="DO184" s="222"/>
      <c r="DP184" s="222"/>
      <c r="DQ184" s="222"/>
      <c r="DR184" s="222"/>
      <c r="DS184" s="222"/>
      <c r="DT184" s="222"/>
      <c r="DU184" s="222"/>
      <c r="DV184" s="222"/>
      <c r="DW184" s="222"/>
      <c r="DX184" s="222"/>
      <c r="DY184" s="222"/>
      <c r="DZ184" s="222"/>
      <c r="EA184" s="222"/>
      <c r="EB184" s="222"/>
      <c r="EC184" s="222"/>
      <c r="ED184" s="222"/>
      <c r="EE184" s="222"/>
      <c r="EF184" s="222"/>
      <c r="EG184" s="222"/>
      <c r="EH184" s="222"/>
    </row>
    <row r="185" spans="1:138" hidden="1">
      <c r="A185" s="222"/>
      <c r="B185" s="318"/>
      <c r="C185" s="314"/>
      <c r="D185" s="322" t="s">
        <v>306</v>
      </c>
      <c r="E185" s="327">
        <f>E184</f>
        <v>0</v>
      </c>
      <c r="F185" s="327">
        <f t="shared" ref="F185:BX185" si="71">E185+F184</f>
        <v>0</v>
      </c>
      <c r="G185" s="327">
        <f t="shared" si="71"/>
        <v>0</v>
      </c>
      <c r="H185" s="327">
        <f t="shared" si="71"/>
        <v>-5341205.5</v>
      </c>
      <c r="I185" s="327">
        <f t="shared" si="71"/>
        <v>-5341205.5</v>
      </c>
      <c r="J185" s="327">
        <f t="shared" si="71"/>
        <v>-5341205.5</v>
      </c>
      <c r="K185" s="327">
        <f t="shared" si="71"/>
        <v>-5341205.5</v>
      </c>
      <c r="L185" s="327">
        <f t="shared" si="71"/>
        <v>-5341205.5</v>
      </c>
      <c r="M185" s="327">
        <f t="shared" si="71"/>
        <v>-5341205.5</v>
      </c>
      <c r="N185" s="327">
        <f t="shared" si="71"/>
        <v>-5341205.5</v>
      </c>
      <c r="O185" s="327">
        <f t="shared" si="71"/>
        <v>-5341205.5</v>
      </c>
      <c r="P185" s="327">
        <f t="shared" si="71"/>
        <v>-5341205.5</v>
      </c>
      <c r="Q185" s="327">
        <f t="shared" si="71"/>
        <v>-5341205.5</v>
      </c>
      <c r="R185" s="327">
        <f t="shared" si="71"/>
        <v>-5341205.5</v>
      </c>
      <c r="S185" s="327">
        <f t="shared" si="71"/>
        <v>-5341205.5</v>
      </c>
      <c r="T185" s="327">
        <f t="shared" si="71"/>
        <v>2750000</v>
      </c>
      <c r="U185" s="327">
        <f t="shared" si="71"/>
        <v>2750000</v>
      </c>
      <c r="V185" s="328">
        <f t="shared" si="71"/>
        <v>2750000</v>
      </c>
      <c r="W185" s="328">
        <f t="shared" si="71"/>
        <v>2750000</v>
      </c>
      <c r="X185" s="328">
        <f t="shared" si="71"/>
        <v>2750000</v>
      </c>
      <c r="Y185" s="328">
        <f t="shared" si="71"/>
        <v>2750000</v>
      </c>
      <c r="Z185" s="328">
        <f t="shared" si="71"/>
        <v>2750000</v>
      </c>
      <c r="AA185" s="328">
        <f t="shared" si="71"/>
        <v>2750000</v>
      </c>
      <c r="AB185" s="328">
        <f t="shared" si="71"/>
        <v>2750000</v>
      </c>
      <c r="AC185" s="328">
        <f t="shared" si="71"/>
        <v>2750000</v>
      </c>
      <c r="AD185" s="328">
        <f t="shared" si="71"/>
        <v>2750000</v>
      </c>
      <c r="AE185" s="328">
        <f t="shared" si="71"/>
        <v>2750000</v>
      </c>
      <c r="AF185" s="328">
        <f t="shared" si="71"/>
        <v>2750000</v>
      </c>
      <c r="AG185" s="328">
        <f t="shared" si="71"/>
        <v>2750000</v>
      </c>
      <c r="AH185" s="328">
        <f t="shared" si="71"/>
        <v>2750000</v>
      </c>
      <c r="AI185" s="328">
        <f t="shared" si="71"/>
        <v>2750000</v>
      </c>
      <c r="AJ185" s="328">
        <f t="shared" si="71"/>
        <v>2750000</v>
      </c>
      <c r="AK185" s="328">
        <f t="shared" si="71"/>
        <v>2750000</v>
      </c>
      <c r="AL185" s="328">
        <f t="shared" si="71"/>
        <v>2750000</v>
      </c>
      <c r="AM185" s="328">
        <f t="shared" si="71"/>
        <v>2750000</v>
      </c>
      <c r="AN185" s="328">
        <f t="shared" si="71"/>
        <v>2750000</v>
      </c>
      <c r="AO185" s="328">
        <f t="shared" si="71"/>
        <v>2750000</v>
      </c>
      <c r="AP185" s="328">
        <f t="shared" si="71"/>
        <v>2750000</v>
      </c>
      <c r="AQ185" s="328">
        <f t="shared" si="71"/>
        <v>2750000</v>
      </c>
      <c r="AR185" s="328">
        <f t="shared" si="71"/>
        <v>2750000</v>
      </c>
      <c r="AS185" s="328">
        <f t="shared" si="71"/>
        <v>2750000</v>
      </c>
      <c r="AT185" s="328">
        <f t="shared" si="71"/>
        <v>2750000</v>
      </c>
      <c r="AU185" s="328">
        <f t="shared" si="71"/>
        <v>2750000</v>
      </c>
      <c r="AV185" s="328">
        <f t="shared" si="71"/>
        <v>2750000</v>
      </c>
      <c r="AW185" s="328">
        <f t="shared" si="71"/>
        <v>2750000</v>
      </c>
      <c r="AX185" s="328">
        <f t="shared" si="71"/>
        <v>2750000</v>
      </c>
      <c r="AY185" s="328">
        <f t="shared" si="71"/>
        <v>2750000</v>
      </c>
      <c r="AZ185" s="328">
        <f t="shared" si="71"/>
        <v>2750000</v>
      </c>
      <c r="BA185" s="328">
        <f t="shared" si="71"/>
        <v>2750000</v>
      </c>
      <c r="BB185" s="328">
        <f t="shared" si="71"/>
        <v>2750000</v>
      </c>
      <c r="BC185" s="327">
        <f t="shared" si="71"/>
        <v>2750000</v>
      </c>
      <c r="BD185" s="327">
        <f t="shared" si="71"/>
        <v>2750000</v>
      </c>
      <c r="BE185" s="327">
        <f t="shared" si="71"/>
        <v>2750000</v>
      </c>
      <c r="BF185" s="327">
        <f t="shared" si="71"/>
        <v>2750000</v>
      </c>
      <c r="BG185" s="327">
        <f t="shared" si="71"/>
        <v>2750000</v>
      </c>
      <c r="BH185" s="327">
        <f t="shared" si="71"/>
        <v>2750000</v>
      </c>
      <c r="BI185" s="327">
        <f t="shared" si="71"/>
        <v>2750000</v>
      </c>
      <c r="BJ185" s="327">
        <f t="shared" si="71"/>
        <v>2750000</v>
      </c>
      <c r="BK185" s="327">
        <f t="shared" si="71"/>
        <v>2750000</v>
      </c>
      <c r="BL185" s="327">
        <f t="shared" si="71"/>
        <v>2750000</v>
      </c>
      <c r="BM185" s="327">
        <f t="shared" si="71"/>
        <v>2750000</v>
      </c>
      <c r="BN185" s="327">
        <f t="shared" si="71"/>
        <v>2750000</v>
      </c>
      <c r="BO185" s="327">
        <f t="shared" si="71"/>
        <v>2750000</v>
      </c>
      <c r="BP185" s="327">
        <f t="shared" si="71"/>
        <v>2750000</v>
      </c>
      <c r="BQ185" s="327">
        <f t="shared" si="71"/>
        <v>2750000</v>
      </c>
      <c r="BR185" s="327">
        <f t="shared" si="71"/>
        <v>2750000</v>
      </c>
      <c r="BS185" s="327">
        <f t="shared" si="71"/>
        <v>2750000</v>
      </c>
      <c r="BT185" s="327">
        <f t="shared" si="71"/>
        <v>2750000</v>
      </c>
      <c r="BU185" s="327">
        <f t="shared" si="71"/>
        <v>2750000</v>
      </c>
      <c r="BV185" s="327">
        <f t="shared" si="71"/>
        <v>2750000</v>
      </c>
      <c r="BW185" s="327">
        <f t="shared" si="71"/>
        <v>2750000</v>
      </c>
      <c r="BX185" s="327">
        <f t="shared" si="71"/>
        <v>2750000</v>
      </c>
      <c r="BY185" s="222"/>
      <c r="BZ185" s="222"/>
      <c r="CA185" s="222"/>
      <c r="CB185" s="222"/>
      <c r="CC185" s="222"/>
      <c r="CD185" s="222"/>
      <c r="CE185" s="222"/>
      <c r="CF185" s="222"/>
      <c r="CG185" s="222"/>
      <c r="CH185" s="222"/>
      <c r="CI185" s="222"/>
      <c r="CJ185" s="222"/>
      <c r="CK185" s="222"/>
      <c r="CL185" s="222"/>
      <c r="CM185" s="222"/>
      <c r="CN185" s="222"/>
      <c r="CO185" s="222"/>
      <c r="CP185" s="222"/>
      <c r="CQ185" s="222"/>
      <c r="CR185" s="222"/>
      <c r="CS185" s="222"/>
      <c r="CT185" s="222"/>
      <c r="CU185" s="222"/>
      <c r="CV185" s="222"/>
      <c r="CW185" s="222"/>
      <c r="CX185" s="222"/>
      <c r="CY185" s="222"/>
      <c r="CZ185" s="222"/>
      <c r="DA185" s="222"/>
      <c r="DB185" s="222"/>
      <c r="DC185" s="222"/>
      <c r="DD185" s="222"/>
      <c r="DE185" s="222"/>
      <c r="DF185" s="222"/>
      <c r="DG185" s="222"/>
      <c r="DH185" s="222"/>
      <c r="DI185" s="222"/>
      <c r="DJ185" s="222"/>
      <c r="DK185" s="222"/>
      <c r="DL185" s="222"/>
      <c r="DM185" s="222"/>
      <c r="DN185" s="222"/>
      <c r="DO185" s="222"/>
      <c r="DP185" s="222"/>
      <c r="DQ185" s="222"/>
      <c r="DR185" s="222"/>
      <c r="DS185" s="222"/>
      <c r="DT185" s="222"/>
      <c r="DU185" s="222"/>
      <c r="DV185" s="222"/>
      <c r="DW185" s="222"/>
      <c r="DX185" s="222"/>
      <c r="DY185" s="222"/>
      <c r="DZ185" s="222"/>
      <c r="EA185" s="222"/>
      <c r="EB185" s="222"/>
      <c r="EC185" s="222"/>
      <c r="ED185" s="222"/>
      <c r="EE185" s="222"/>
      <c r="EF185" s="222"/>
      <c r="EG185" s="222"/>
      <c r="EH185" s="222"/>
    </row>
    <row r="186" spans="1:138" hidden="1">
      <c r="A186" s="222"/>
      <c r="B186" s="318"/>
      <c r="C186" s="313" t="s">
        <v>292</v>
      </c>
      <c r="D186" s="322">
        <f>IRR(E184:BX184)*12</f>
        <v>0.42259732866030397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2"/>
      <c r="AX186" s="222"/>
      <c r="AY186" s="222"/>
      <c r="AZ186" s="222"/>
      <c r="BA186" s="222"/>
      <c r="BB186" s="222"/>
      <c r="BC186" s="222"/>
      <c r="BD186" s="222"/>
      <c r="BE186" s="222"/>
      <c r="BF186" s="222"/>
      <c r="BG186" s="222"/>
      <c r="BH186" s="222"/>
      <c r="BI186" s="222"/>
      <c r="BJ186" s="222"/>
      <c r="BK186" s="222"/>
      <c r="BL186" s="222"/>
      <c r="BM186" s="222"/>
      <c r="BN186" s="222"/>
      <c r="BO186" s="222"/>
      <c r="BP186" s="222"/>
      <c r="BQ186" s="222"/>
      <c r="BR186" s="222"/>
      <c r="BS186" s="222"/>
      <c r="BT186" s="222"/>
      <c r="BU186" s="222"/>
      <c r="BV186" s="222"/>
      <c r="BW186" s="222"/>
      <c r="BX186" s="222"/>
      <c r="BY186" s="222"/>
      <c r="BZ186" s="222"/>
      <c r="CA186" s="222"/>
      <c r="CB186" s="222"/>
      <c r="CC186" s="222"/>
      <c r="CD186" s="222"/>
      <c r="CE186" s="222"/>
      <c r="CF186" s="222"/>
      <c r="CG186" s="222"/>
      <c r="CH186" s="222"/>
      <c r="CI186" s="222"/>
      <c r="CJ186" s="222"/>
      <c r="CK186" s="222"/>
      <c r="CL186" s="222"/>
      <c r="CM186" s="222"/>
      <c r="CN186" s="222"/>
      <c r="CO186" s="222"/>
      <c r="CP186" s="222"/>
      <c r="CQ186" s="222"/>
      <c r="CR186" s="222"/>
      <c r="CS186" s="222"/>
      <c r="CT186" s="222"/>
      <c r="CU186" s="222"/>
      <c r="CV186" s="222"/>
      <c r="CW186" s="222"/>
      <c r="CX186" s="222"/>
      <c r="CY186" s="222"/>
      <c r="CZ186" s="222"/>
      <c r="DA186" s="222"/>
      <c r="DB186" s="222"/>
      <c r="DC186" s="222"/>
      <c r="DD186" s="222"/>
      <c r="DE186" s="222"/>
      <c r="DF186" s="222"/>
      <c r="DG186" s="222"/>
      <c r="DH186" s="222"/>
      <c r="DI186" s="222"/>
      <c r="DJ186" s="222"/>
      <c r="DK186" s="222"/>
      <c r="DL186" s="222"/>
      <c r="DM186" s="222"/>
      <c r="DN186" s="222"/>
      <c r="DO186" s="222"/>
      <c r="DP186" s="222"/>
      <c r="DQ186" s="222"/>
      <c r="DR186" s="222"/>
      <c r="DS186" s="222"/>
      <c r="DT186" s="222"/>
      <c r="DU186" s="222"/>
      <c r="DV186" s="222"/>
      <c r="DW186" s="222"/>
      <c r="DX186" s="222"/>
      <c r="DY186" s="222"/>
      <c r="DZ186" s="222"/>
      <c r="EA186" s="222"/>
      <c r="EB186" s="222"/>
      <c r="EC186" s="222"/>
      <c r="ED186" s="222"/>
      <c r="EE186" s="222"/>
      <c r="EF186" s="222"/>
      <c r="EG186" s="222"/>
      <c r="EH186" s="222"/>
    </row>
    <row r="187" spans="1:138" hidden="1">
      <c r="A187" s="222"/>
      <c r="B187" s="318"/>
      <c r="C187" s="323" t="s">
        <v>300</v>
      </c>
      <c r="D187" s="324">
        <f>-MIN(M185:BL185)-D188</f>
        <v>5341205.5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2"/>
      <c r="AX187" s="222"/>
      <c r="AY187" s="222"/>
      <c r="AZ187" s="222"/>
      <c r="BA187" s="222"/>
      <c r="BB187" s="222"/>
      <c r="BC187" s="222"/>
      <c r="BD187" s="222"/>
      <c r="BE187" s="222"/>
      <c r="BF187" s="222"/>
      <c r="BG187" s="222"/>
      <c r="BH187" s="222"/>
      <c r="BI187" s="222"/>
      <c r="BJ187" s="222"/>
      <c r="BK187" s="222"/>
      <c r="BL187" s="222"/>
      <c r="BM187" s="222"/>
      <c r="BN187" s="222"/>
      <c r="BO187" s="222"/>
      <c r="BP187" s="222"/>
      <c r="BQ187" s="222"/>
      <c r="BR187" s="222"/>
      <c r="BS187" s="222"/>
      <c r="BT187" s="222"/>
      <c r="BU187" s="222"/>
      <c r="BV187" s="222"/>
      <c r="BW187" s="222"/>
      <c r="BX187" s="222"/>
      <c r="BY187" s="222"/>
      <c r="BZ187" s="222"/>
      <c r="CA187" s="222"/>
      <c r="CB187" s="222"/>
      <c r="CC187" s="222"/>
      <c r="CD187" s="222"/>
      <c r="CE187" s="222"/>
      <c r="CF187" s="222"/>
      <c r="CG187" s="222"/>
      <c r="CH187" s="222"/>
      <c r="CI187" s="222"/>
      <c r="CJ187" s="222"/>
      <c r="CK187" s="222"/>
      <c r="CL187" s="222"/>
      <c r="CM187" s="222"/>
      <c r="CN187" s="222"/>
      <c r="CO187" s="222"/>
      <c r="CP187" s="222"/>
      <c r="CQ187" s="222"/>
      <c r="CR187" s="222"/>
      <c r="CS187" s="222"/>
      <c r="CT187" s="222"/>
      <c r="CU187" s="222"/>
      <c r="CV187" s="222"/>
      <c r="CW187" s="222"/>
      <c r="CX187" s="222"/>
      <c r="CY187" s="222"/>
      <c r="CZ187" s="222"/>
      <c r="DA187" s="222"/>
      <c r="DB187" s="222"/>
      <c r="DC187" s="222"/>
      <c r="DD187" s="222"/>
      <c r="DE187" s="222"/>
      <c r="DF187" s="222"/>
      <c r="DG187" s="222"/>
      <c r="DH187" s="222"/>
      <c r="DI187" s="222"/>
      <c r="DJ187" s="222"/>
      <c r="DK187" s="222"/>
      <c r="DL187" s="222"/>
      <c r="DM187" s="222"/>
      <c r="DN187" s="222"/>
      <c r="DO187" s="222"/>
      <c r="DP187" s="222"/>
      <c r="DQ187" s="222"/>
      <c r="DR187" s="222"/>
      <c r="DS187" s="222"/>
      <c r="DT187" s="222"/>
      <c r="DU187" s="222"/>
      <c r="DV187" s="222"/>
      <c r="DW187" s="222"/>
      <c r="DX187" s="222"/>
      <c r="DY187" s="222"/>
      <c r="DZ187" s="222"/>
      <c r="EA187" s="222"/>
      <c r="EB187" s="222"/>
      <c r="EC187" s="222"/>
      <c r="ED187" s="222"/>
      <c r="EE187" s="222"/>
      <c r="EF187" s="222"/>
      <c r="EG187" s="222"/>
      <c r="EH187" s="222"/>
    </row>
    <row r="188" spans="1:138" hidden="1">
      <c r="A188" s="222"/>
      <c r="B188" s="318"/>
      <c r="C188" s="323" t="s">
        <v>301</v>
      </c>
      <c r="D188" s="324">
        <f>-SUM(M183:BB183)</f>
        <v>0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2"/>
      <c r="BN188" s="222"/>
      <c r="BO188" s="222"/>
      <c r="BP188" s="222"/>
      <c r="BQ188" s="222"/>
      <c r="BR188" s="222"/>
      <c r="BS188" s="222"/>
      <c r="BT188" s="222"/>
      <c r="BU188" s="222"/>
      <c r="BV188" s="222"/>
      <c r="BW188" s="222"/>
      <c r="BX188" s="222"/>
      <c r="BY188" s="222"/>
      <c r="BZ188" s="222"/>
      <c r="CA188" s="222"/>
      <c r="CB188" s="222"/>
      <c r="CC188" s="222"/>
      <c r="CD188" s="222"/>
      <c r="CE188" s="222"/>
      <c r="CF188" s="222"/>
      <c r="CG188" s="222"/>
      <c r="CH188" s="222"/>
      <c r="CI188" s="222"/>
      <c r="CJ188" s="222"/>
      <c r="CK188" s="222"/>
      <c r="CL188" s="222"/>
      <c r="CM188" s="222"/>
      <c r="CN188" s="222"/>
      <c r="CO188" s="222"/>
      <c r="CP188" s="222"/>
      <c r="CQ188" s="222"/>
      <c r="CR188" s="222"/>
      <c r="CS188" s="222"/>
      <c r="CT188" s="222"/>
      <c r="CU188" s="222"/>
      <c r="CV188" s="222"/>
      <c r="CW188" s="222"/>
      <c r="CX188" s="222"/>
      <c r="CY188" s="222"/>
      <c r="CZ188" s="222"/>
      <c r="DA188" s="222"/>
      <c r="DB188" s="222"/>
      <c r="DC188" s="222"/>
      <c r="DD188" s="222"/>
      <c r="DE188" s="222"/>
      <c r="DF188" s="222"/>
      <c r="DG188" s="222"/>
      <c r="DH188" s="222"/>
      <c r="DI188" s="222"/>
      <c r="DJ188" s="222"/>
      <c r="DK188" s="222"/>
      <c r="DL188" s="222"/>
      <c r="DM188" s="222"/>
      <c r="DN188" s="222"/>
      <c r="DO188" s="222"/>
      <c r="DP188" s="222"/>
      <c r="DQ188" s="222"/>
      <c r="DR188" s="222"/>
      <c r="DS188" s="222"/>
      <c r="DT188" s="222"/>
      <c r="DU188" s="222"/>
      <c r="DV188" s="222"/>
      <c r="DW188" s="222"/>
      <c r="DX188" s="222"/>
      <c r="DY188" s="222"/>
      <c r="DZ188" s="222"/>
      <c r="EA188" s="222"/>
      <c r="EB188" s="222"/>
      <c r="EC188" s="222"/>
      <c r="ED188" s="222"/>
      <c r="EE188" s="222"/>
      <c r="EF188" s="222"/>
      <c r="EG188" s="222"/>
      <c r="EH188" s="222"/>
    </row>
    <row r="189" spans="1:138" hidden="1">
      <c r="A189" s="222"/>
      <c r="B189" s="318"/>
      <c r="C189" s="313" t="s">
        <v>302</v>
      </c>
      <c r="D189" s="326">
        <f>D188+D187</f>
        <v>5341205.5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2"/>
      <c r="BN189" s="222"/>
      <c r="BO189" s="222"/>
      <c r="BP189" s="222"/>
      <c r="BQ189" s="222"/>
      <c r="BR189" s="222"/>
      <c r="BS189" s="222"/>
      <c r="BT189" s="222"/>
      <c r="BU189" s="222"/>
      <c r="BV189" s="222"/>
      <c r="BW189" s="222"/>
      <c r="BX189" s="222"/>
      <c r="BY189" s="222"/>
      <c r="BZ189" s="222"/>
      <c r="CA189" s="222"/>
      <c r="CB189" s="222"/>
      <c r="CC189" s="222"/>
      <c r="CD189" s="222"/>
      <c r="CE189" s="222"/>
      <c r="CF189" s="222"/>
      <c r="CG189" s="222"/>
      <c r="CH189" s="222"/>
      <c r="CI189" s="222"/>
      <c r="CJ189" s="222"/>
      <c r="CK189" s="222"/>
      <c r="CL189" s="222"/>
      <c r="CM189" s="222"/>
      <c r="CN189" s="222"/>
      <c r="CO189" s="222"/>
      <c r="CP189" s="222"/>
      <c r="CQ189" s="222"/>
      <c r="CR189" s="222"/>
      <c r="CS189" s="222"/>
      <c r="CT189" s="222"/>
      <c r="CU189" s="222"/>
      <c r="CV189" s="222"/>
      <c r="CW189" s="222"/>
      <c r="CX189" s="222"/>
      <c r="CY189" s="222"/>
      <c r="CZ189" s="222"/>
      <c r="DA189" s="222"/>
      <c r="DB189" s="222"/>
      <c r="DC189" s="222"/>
      <c r="DD189" s="222"/>
      <c r="DE189" s="222"/>
      <c r="DF189" s="222"/>
      <c r="DG189" s="222"/>
      <c r="DH189" s="222"/>
      <c r="DI189" s="222"/>
      <c r="DJ189" s="222"/>
      <c r="DK189" s="222"/>
      <c r="DL189" s="222"/>
      <c r="DM189" s="222"/>
      <c r="DN189" s="222"/>
      <c r="DO189" s="222"/>
      <c r="DP189" s="222"/>
      <c r="DQ189" s="222"/>
      <c r="DR189" s="222"/>
      <c r="DS189" s="222"/>
      <c r="DT189" s="222"/>
      <c r="DU189" s="222"/>
      <c r="DV189" s="222"/>
      <c r="DW189" s="325"/>
      <c r="DX189" s="325"/>
      <c r="DY189" s="325"/>
      <c r="DZ189" s="325"/>
      <c r="EA189" s="325"/>
      <c r="EB189" s="325"/>
      <c r="EC189" s="325"/>
      <c r="ED189" s="325"/>
      <c r="EE189" s="325"/>
      <c r="EF189" s="325"/>
      <c r="EG189" s="325"/>
      <c r="EH189" s="325"/>
    </row>
    <row r="190" spans="1:138" hidden="1">
      <c r="A190" s="222"/>
      <c r="B190" s="318"/>
      <c r="C190" s="313" t="s">
        <v>303</v>
      </c>
      <c r="D190" s="326">
        <f>BX181+BX182</f>
        <v>0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2"/>
      <c r="BN190" s="222"/>
      <c r="BO190" s="222"/>
      <c r="BP190" s="222"/>
      <c r="BQ190" s="222"/>
      <c r="BR190" s="222"/>
      <c r="BS190" s="222"/>
      <c r="BT190" s="222"/>
      <c r="BU190" s="222"/>
      <c r="BV190" s="222"/>
      <c r="BW190" s="222"/>
      <c r="BX190" s="222"/>
      <c r="BY190" s="222"/>
      <c r="BZ190" s="222"/>
      <c r="CA190" s="222"/>
      <c r="CB190" s="222"/>
      <c r="CC190" s="222"/>
      <c r="CD190" s="222"/>
      <c r="CE190" s="222"/>
      <c r="CF190" s="222"/>
      <c r="CG190" s="222"/>
      <c r="CH190" s="222"/>
      <c r="CI190" s="222"/>
      <c r="CJ190" s="222"/>
      <c r="CK190" s="222"/>
      <c r="CL190" s="222"/>
      <c r="CM190" s="222"/>
      <c r="CN190" s="222"/>
      <c r="CO190" s="222"/>
      <c r="CP190" s="222"/>
      <c r="CQ190" s="222"/>
      <c r="CR190" s="222"/>
      <c r="CS190" s="222"/>
      <c r="CT190" s="222"/>
      <c r="CU190" s="222"/>
      <c r="CV190" s="222"/>
      <c r="CW190" s="222"/>
      <c r="CX190" s="222"/>
      <c r="CY190" s="222"/>
      <c r="CZ190" s="222"/>
      <c r="DA190" s="222"/>
      <c r="DB190" s="222"/>
      <c r="DC190" s="222"/>
      <c r="DD190" s="222"/>
      <c r="DE190" s="222"/>
      <c r="DF190" s="222"/>
      <c r="DG190" s="222"/>
      <c r="DH190" s="222"/>
      <c r="DI190" s="222"/>
      <c r="DJ190" s="222"/>
      <c r="DK190" s="222"/>
      <c r="DL190" s="222"/>
      <c r="DM190" s="222"/>
      <c r="DN190" s="222"/>
      <c r="DO190" s="222"/>
      <c r="DP190" s="222"/>
      <c r="DQ190" s="222"/>
      <c r="DR190" s="222"/>
      <c r="DS190" s="222"/>
      <c r="DT190" s="222"/>
      <c r="DU190" s="222"/>
      <c r="DV190" s="222"/>
      <c r="DW190" s="325"/>
      <c r="DX190" s="325"/>
      <c r="DY190" s="325"/>
      <c r="DZ190" s="325"/>
      <c r="EA190" s="325"/>
      <c r="EB190" s="325"/>
      <c r="EC190" s="325"/>
      <c r="ED190" s="325"/>
      <c r="EE190" s="325"/>
      <c r="EF190" s="325"/>
      <c r="EG190" s="325"/>
      <c r="EH190" s="325"/>
    </row>
    <row r="191" spans="1:138" hidden="1">
      <c r="A191" s="222"/>
      <c r="B191" s="318"/>
      <c r="C191" s="313" t="s">
        <v>147</v>
      </c>
      <c r="D191" s="322">
        <f>T182/T179</f>
        <v>0.51486504310684167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2"/>
      <c r="BN191" s="222"/>
      <c r="BO191" s="222"/>
      <c r="BP191" s="222"/>
      <c r="BQ191" s="222"/>
      <c r="BR191" s="222"/>
      <c r="BS191" s="222"/>
      <c r="BT191" s="222"/>
      <c r="BU191" s="222"/>
      <c r="BV191" s="222"/>
      <c r="BW191" s="222"/>
      <c r="BX191" s="222"/>
      <c r="BY191" s="222"/>
      <c r="BZ191" s="222"/>
      <c r="CA191" s="222"/>
      <c r="CB191" s="222"/>
      <c r="CC191" s="222"/>
      <c r="CD191" s="222"/>
      <c r="CE191" s="222"/>
      <c r="CF191" s="222"/>
      <c r="CG191" s="222"/>
      <c r="CH191" s="222"/>
      <c r="CI191" s="222"/>
      <c r="CJ191" s="222"/>
      <c r="CK191" s="222"/>
      <c r="CL191" s="222"/>
      <c r="CM191" s="222"/>
      <c r="CN191" s="222"/>
      <c r="CO191" s="222"/>
      <c r="CP191" s="222"/>
      <c r="CQ191" s="222"/>
      <c r="CR191" s="222"/>
      <c r="CS191" s="222"/>
      <c r="CT191" s="222"/>
      <c r="CU191" s="222"/>
      <c r="CV191" s="222"/>
      <c r="CW191" s="222"/>
      <c r="CX191" s="222"/>
      <c r="CY191" s="222"/>
      <c r="CZ191" s="222"/>
      <c r="DA191" s="222"/>
      <c r="DB191" s="222"/>
      <c r="DC191" s="222"/>
      <c r="DD191" s="222"/>
      <c r="DE191" s="222"/>
      <c r="DF191" s="222"/>
      <c r="DG191" s="222"/>
      <c r="DH191" s="222"/>
      <c r="DI191" s="222"/>
      <c r="DJ191" s="222"/>
      <c r="DK191" s="222"/>
      <c r="DL191" s="222"/>
      <c r="DM191" s="222"/>
      <c r="DN191" s="222"/>
      <c r="DO191" s="222"/>
      <c r="DP191" s="222"/>
      <c r="DQ191" s="222"/>
      <c r="DR191" s="222"/>
      <c r="DS191" s="222"/>
      <c r="DT191" s="222"/>
      <c r="DU191" s="222"/>
      <c r="DV191" s="222"/>
      <c r="DW191" s="325"/>
      <c r="DX191" s="325"/>
      <c r="DY191" s="325"/>
      <c r="DZ191" s="325"/>
      <c r="EA191" s="325"/>
      <c r="EB191" s="325"/>
      <c r="EC191" s="325"/>
      <c r="ED191" s="325"/>
      <c r="EE191" s="325"/>
      <c r="EF191" s="325"/>
      <c r="EG191" s="325"/>
      <c r="EH191" s="325"/>
    </row>
    <row r="192" spans="1:138" hidden="1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2"/>
      <c r="BN192" s="222"/>
      <c r="BO192" s="222"/>
      <c r="BP192" s="222"/>
      <c r="BQ192" s="222"/>
      <c r="BR192" s="222"/>
      <c r="BS192" s="222"/>
      <c r="BT192" s="222"/>
      <c r="BU192" s="222"/>
      <c r="BV192" s="222"/>
      <c r="BW192" s="222"/>
      <c r="BX192" s="222"/>
      <c r="BY192" s="222"/>
      <c r="BZ192" s="238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325"/>
      <c r="DX192" s="325"/>
      <c r="DY192" s="325"/>
      <c r="DZ192" s="325"/>
      <c r="EA192" s="325"/>
      <c r="EB192" s="325"/>
      <c r="EC192" s="325"/>
      <c r="ED192" s="325"/>
      <c r="EE192" s="325"/>
      <c r="EF192" s="325"/>
      <c r="EG192" s="325"/>
      <c r="EH192" s="325"/>
    </row>
    <row r="193" spans="19:23" ht="14.1" hidden="1"/>
    <row r="194" spans="19:23" ht="14.1" hidden="1"/>
    <row r="195" spans="19:23" ht="14.1" hidden="1"/>
    <row r="196" spans="19:23" ht="14.1" hidden="1"/>
    <row r="197" spans="19:23" ht="14.1" hidden="1"/>
    <row r="198" spans="19:23" hidden="1">
      <c r="S198" s="329">
        <v>700000</v>
      </c>
      <c r="T198" s="330">
        <v>1000000</v>
      </c>
      <c r="U198" s="329">
        <v>5300000</v>
      </c>
      <c r="V198" s="329">
        <v>4750000</v>
      </c>
      <c r="W198" s="329">
        <v>1250000</v>
      </c>
    </row>
    <row r="199" spans="19:23" ht="14.1" hidden="1"/>
    <row r="200" spans="19:23" ht="14.1" hidden="1">
      <c r="S200" s="25">
        <f t="shared" ref="S200:W200" si="72">S198*0.8</f>
        <v>560000</v>
      </c>
      <c r="T200" s="25">
        <f t="shared" si="72"/>
        <v>800000</v>
      </c>
      <c r="U200" s="25">
        <f t="shared" si="72"/>
        <v>4240000</v>
      </c>
      <c r="V200" s="25">
        <f t="shared" si="72"/>
        <v>3800000</v>
      </c>
      <c r="W200" s="25">
        <f t="shared" si="72"/>
        <v>1000000</v>
      </c>
    </row>
    <row r="201" spans="19:23" ht="14.1" hidden="1"/>
    <row r="202" spans="19:23" ht="14.1" hidden="1"/>
    <row r="203" spans="19:23" ht="14.1" hidden="1"/>
    <row r="204" spans="19:23" ht="14.1" hidden="1"/>
    <row r="205" spans="19:23" ht="14.1" hidden="1"/>
    <row r="206" spans="19:23" ht="14.1" hidden="1"/>
    <row r="207" spans="19:23" ht="14.1" hidden="1"/>
    <row r="208" spans="19:23" ht="14.1" hidden="1"/>
    <row r="209" ht="14.1" hidden="1"/>
  </sheetData>
  <mergeCells count="34">
    <mergeCell ref="S124:T124"/>
    <mergeCell ref="B2:C4"/>
    <mergeCell ref="B5:B8"/>
    <mergeCell ref="B9:B11"/>
    <mergeCell ref="B12:B15"/>
    <mergeCell ref="B16:C16"/>
    <mergeCell ref="B17:B97"/>
    <mergeCell ref="B98:C98"/>
    <mergeCell ref="B100:C100"/>
    <mergeCell ref="B101:C101"/>
    <mergeCell ref="D106:E106"/>
    <mergeCell ref="D109:BW109"/>
    <mergeCell ref="S123:T123"/>
    <mergeCell ref="BM2:BX2"/>
    <mergeCell ref="E2:P2"/>
    <mergeCell ref="Q2:AB2"/>
    <mergeCell ref="BY90:BZ90"/>
    <mergeCell ref="BZ91:BZ97"/>
    <mergeCell ref="BY98:BZ98"/>
    <mergeCell ref="BY100:BZ100"/>
    <mergeCell ref="BZ5:BZ8"/>
    <mergeCell ref="BZ9:BZ11"/>
    <mergeCell ref="BY16:BZ16"/>
    <mergeCell ref="BZ17:BZ89"/>
    <mergeCell ref="CC17:CC89"/>
    <mergeCell ref="CC5:CC8"/>
    <mergeCell ref="CC9:CC11"/>
    <mergeCell ref="CC12:CC15"/>
    <mergeCell ref="CB16:CC16"/>
    <mergeCell ref="AC2:AN2"/>
    <mergeCell ref="AO2:AZ2"/>
    <mergeCell ref="BA2:BL2"/>
    <mergeCell ref="BY2:BZ4"/>
    <mergeCell ref="BZ12:BZ15"/>
  </mergeCells>
  <conditionalFormatting sqref="E17:BX17 E23:BX23 E26:BX26 E34:BX34 E37:BX37 E49:BX49 E55:BX55 E63:BX63 E87:BX87 E90:BX90">
    <cfRule type="cellIs" dxfId="33" priority="1" operator="equal">
      <formula>0</formula>
    </cfRule>
  </conditionalFormatting>
  <conditionalFormatting sqref="F114:BS117 E115 BT115:BX115 E117 BT117:BX117 E131 F131:BX134 E133 E149:BX149 E163 M163:BX163 F163:L166 E165 M165:BX165 M179:T179 H179:L182 E181:G181 M181:BX181">
    <cfRule type="cellIs" dxfId="32" priority="2" operator="equal">
      <formula>0</formula>
    </cfRule>
  </conditionalFormatting>
  <dataValidations count="1">
    <dataValidation type="list" allowBlank="1" showErrorMessage="1" sqref="CB4" xr:uid="{00000000-0002-0000-0500-000000000000}">
      <formula1>$D$3:$BX$3</formula1>
    </dataValidation>
  </dataValidations>
  <pageMargins left="0" right="0" top="0" bottom="0" header="0" footer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  <outlinePr summaryBelow="0" summaryRight="0"/>
  </sheetPr>
  <dimension ref="A1:EH214"/>
  <sheetViews>
    <sheetView tabSelected="1" workbookViewId="0">
      <pane xSplit="3" ySplit="4" topLeftCell="L5" activePane="bottomRight" state="frozen"/>
      <selection pane="bottomRight" activeCell="Q3" sqref="Q3"/>
      <selection pane="bottomLeft" activeCell="A5" sqref="A5"/>
      <selection pane="topRight" activeCell="D1" sqref="D1"/>
    </sheetView>
  </sheetViews>
  <sheetFormatPr defaultColWidth="12.625" defaultRowHeight="15" customHeight="1" outlineLevelRow="2" outlineLevelCol="2"/>
  <cols>
    <col min="1" max="1" width="2.375" customWidth="1"/>
    <col min="3" max="3" width="40.125" customWidth="1"/>
    <col min="4" max="4" width="12.625" outlineLevel="1"/>
    <col min="5" max="5" width="10.875" customWidth="1" outlineLevel="1"/>
    <col min="6" max="16" width="10.875" customWidth="1" outlineLevel="2"/>
    <col min="17" max="17" width="10.875" customWidth="1" outlineLevel="1"/>
    <col min="18" max="20" width="10.875" customWidth="1" outlineLevel="2"/>
    <col min="21" max="21" width="9.125" customWidth="1" outlineLevel="2"/>
    <col min="22" max="26" width="12.625" customWidth="1" outlineLevel="2"/>
    <col min="27" max="28" width="13.125" customWidth="1" outlineLevel="2"/>
    <col min="29" max="29" width="10.625" customWidth="1" outlineLevel="1" collapsed="1"/>
    <col min="30" max="32" width="10.625" hidden="1" customWidth="1" outlineLevel="2"/>
    <col min="33" max="33" width="6.5" hidden="1" customWidth="1" outlineLevel="2"/>
    <col min="34" max="34" width="9.625" hidden="1" customWidth="1" outlineLevel="2"/>
    <col min="35" max="40" width="6.5" hidden="1" customWidth="1" outlineLevel="2"/>
    <col min="41" max="41" width="6.5" customWidth="1" outlineLevel="1" collapsed="1"/>
    <col min="42" max="52" width="6.5" hidden="1" customWidth="1" outlineLevel="2"/>
    <col min="53" max="53" width="6.5" customWidth="1" outlineLevel="1" collapsed="1"/>
    <col min="54" max="64" width="6.5" hidden="1" customWidth="1" outlineLevel="2"/>
    <col min="65" max="65" width="6.5" customWidth="1" outlineLevel="1" collapsed="1"/>
    <col min="66" max="76" width="6.5" hidden="1" customWidth="1" outlineLevel="2"/>
    <col min="79" max="79" width="12.625" collapsed="1"/>
    <col min="80" max="82" width="12.625" hidden="1" outlineLevel="1"/>
  </cols>
  <sheetData>
    <row r="1" spans="1:138" ht="26.1">
      <c r="A1" s="222"/>
      <c r="B1" s="331"/>
      <c r="C1" s="224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</row>
    <row r="2" spans="1:138">
      <c r="A2" s="505"/>
      <c r="B2" s="567" t="s">
        <v>200</v>
      </c>
      <c r="C2" s="597"/>
      <c r="D2" s="505"/>
      <c r="E2" s="559">
        <v>45292</v>
      </c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9"/>
      <c r="Q2" s="558">
        <v>2025</v>
      </c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9"/>
      <c r="AC2" s="558">
        <v>2026</v>
      </c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9"/>
      <c r="AO2" s="559">
        <v>46388</v>
      </c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9"/>
      <c r="BA2" s="559">
        <v>46753</v>
      </c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9"/>
      <c r="BM2" s="559">
        <v>47119</v>
      </c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9"/>
      <c r="BY2" s="560" t="s">
        <v>201</v>
      </c>
      <c r="BZ2" s="597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</row>
    <row r="3" spans="1:138">
      <c r="A3" s="505"/>
      <c r="B3" s="588"/>
      <c r="C3" s="597"/>
      <c r="D3" s="505"/>
      <c r="E3" s="226" t="str">
        <f>IFERROR(VLOOKUP(TEXT(E4,"mm.yyyy"),HMG!$B$2:$C$1001, 2, FALSE),"")</f>
        <v>zapis KS</v>
      </c>
      <c r="F3" s="226" t="str">
        <f>IFERROR(VLOOKUP(TEXT(F4,"mm.yyyy"),HMG!$B$2:$C$1001, 2, FALSE),"")</f>
        <v/>
      </c>
      <c r="G3" s="226" t="str">
        <f>IFERROR(VLOOKUP(TEXT(G4,"mm.yyyy"),HMG!$B$2:$C$1001, 2, FALSE),"")</f>
        <v/>
      </c>
      <c r="H3" s="226" t="str">
        <f>IFERROR(VLOOKUP(TEXT(H4,"mm.yyyy"),HMG!$B$2:$C$1001, 2, FALSE),"")</f>
        <v/>
      </c>
      <c r="I3" s="226" t="str">
        <f>IFERROR(VLOOKUP(TEXT(I4,"mm.yyyy"),HMG!$B$2:$C$1001, 2, FALSE),"")</f>
        <v/>
      </c>
      <c r="J3" s="226" t="str">
        <f>IFERROR(VLOOKUP(TEXT(J4,"mm.yyyy"),HMG!$B$2:$C$1001, 2, FALSE),"")</f>
        <v/>
      </c>
      <c r="K3" s="226" t="str">
        <f>IFERROR(VLOOKUP(TEXT(K4,"mm.yyyy"),HMG!$B$2:$C$1001, 2, FALSE),"")</f>
        <v/>
      </c>
      <c r="L3" s="226" t="str">
        <f>IFERROR(VLOOKUP(TEXT(L4,"mm.yyyy"),HMG!$B$2:$C$1001, 2, FALSE),"")</f>
        <v/>
      </c>
      <c r="M3" s="226" t="str">
        <f>IFERROR(VLOOKUP(TEXT(M4,"mm.yyyy"),HMG!$B$2:$C$1001, 2, FALSE),"")</f>
        <v/>
      </c>
      <c r="N3" s="226" t="str">
        <f>IFERROR(VLOOKUP(TEXT(N4,"mm.yyyy"),HMG!$B$2:$C$1001, 2, FALSE),"")</f>
        <v/>
      </c>
      <c r="O3" s="226" t="str">
        <f>IFERROR(VLOOKUP(TEXT(O4,"mm.yyyy"),HMG!$B$2:$C$1001, 2, FALSE),"")</f>
        <v/>
      </c>
      <c r="P3" s="226" t="str">
        <f>IFERROR(VLOOKUP(TEXT(P4,"mm.yyyy"),HMG!$B$2:$C$1001, 2, FALSE),"")</f>
        <v/>
      </c>
      <c r="Q3" s="226"/>
      <c r="R3" s="226" t="str">
        <f>IFERROR(VLOOKUP(TEXT(R4,"mm.yyyy"),HMG!$B$2:$C$1001, 2, FALSE),"")</f>
        <v/>
      </c>
      <c r="S3" s="226" t="str">
        <f>IFERROR(VLOOKUP(TEXT(S4,"mm.yyyy"),HMG!$B$2:$C$1001, 2, FALSE),"")</f>
        <v/>
      </c>
      <c r="T3" s="226" t="str">
        <f>IFERROR(VLOOKUP(TEXT(T4,"mm.yyyy"),HMG!$B$2:$C$1001, 2, FALSE),"")</f>
        <v/>
      </c>
      <c r="U3" s="226" t="str">
        <f>IFERROR(VLOOKUP(TEXT(U4,"mm.yyyy"),HMG!$B$2:$C$1001, 2, FALSE),"")</f>
        <v/>
      </c>
      <c r="V3" s="226" t="str">
        <f>IFERROR(VLOOKUP(TEXT(V4,"mm.yyyy"),HMG!$B$2:$C$1001, 2, FALSE),"")</f>
        <v/>
      </c>
      <c r="W3" s="226" t="str">
        <f>IFERROR(VLOOKUP(TEXT(W4,"mm.yyyy"),HMG!$B$2:$C$1001, 2, FALSE),"")</f>
        <v/>
      </c>
      <c r="X3" s="226" t="str">
        <f>IFERROR(VLOOKUP(TEXT(X4,"mm.yyyy"),HMG!$B$2:$C$1001, 2, FALSE),"")</f>
        <v/>
      </c>
      <c r="Y3" s="226" t="str">
        <f>IFERROR(VLOOKUP(TEXT(Y4,"mm.yyyy"),HMG!$B$2:$C$1001, 2, FALSE),"")</f>
        <v/>
      </c>
      <c r="Z3" s="226" t="str">
        <f>IFERROR(VLOOKUP(TEXT(Z4,"mm.yyyy"),HMG!$B$2:$C$1001, 2, FALSE),"")</f>
        <v/>
      </c>
      <c r="AA3" s="226" t="str">
        <f>IFERROR(VLOOKUP(TEXT(AA4,"mm.yyyy"),HMG!$B$2:$C$1001, 2, FALSE),"")</f>
        <v/>
      </c>
      <c r="AB3" s="226" t="str">
        <f>IFERROR(VLOOKUP(TEXT(AB4,"mm.yyyy"),HMG!$B$2:$C$1001, 2, FALSE),"")</f>
        <v/>
      </c>
      <c r="AC3" s="226" t="str">
        <f>IFERROR(VLOOKUP(TEXT(AC4,"mm.yyyy"),HMG!$B$2:$C$1001, 2, FALSE),"")</f>
        <v>zapis KS</v>
      </c>
      <c r="AD3" s="226" t="str">
        <f>IFERROR(VLOOKUP(TEXT(AD4,"mm.yyyy"),HMG!$B$2:$C$1001, 2, FALSE),"")</f>
        <v/>
      </c>
      <c r="AE3" s="226" t="str">
        <f>IFERROR(VLOOKUP(TEXT(AE4,"mm.yyyy"),HMG!$B$2:$C$1001, 2, FALSE),"")</f>
        <v/>
      </c>
      <c r="AF3" s="226" t="str">
        <f>IFERROR(VLOOKUP(TEXT(AF4,"mm.yyyy"),HMG!$B$2:$C$1001, 2, FALSE),"")</f>
        <v/>
      </c>
      <c r="AG3" s="226" t="str">
        <f>IFERROR(VLOOKUP(TEXT(AG4,"mm.yyyy"),HMG!$B$2:$C$1001, 2, FALSE),"")</f>
        <v/>
      </c>
      <c r="AH3" s="226" t="str">
        <f>IFERROR(VLOOKUP(TEXT(AH4,"mm.yyyy"),HMG!$B$2:$C$1001, 2, FALSE),"")</f>
        <v/>
      </c>
      <c r="AI3" s="226" t="str">
        <f>IFERROR(VLOOKUP(TEXT(AI4,"mm.yyyy"),HMG!$B$2:$C$1001, 2, FALSE),"")</f>
        <v/>
      </c>
      <c r="AJ3" s="226" t="str">
        <f>IFERROR(VLOOKUP(TEXT(AJ4,"mm.yyyy"),HMG!$B$2:$C$1001, 2, FALSE),"")</f>
        <v/>
      </c>
      <c r="AK3" s="226" t="str">
        <f>IFERROR(VLOOKUP(TEXT(AK4,"mm.yyyy"),HMG!$B$2:$C$1001, 2, FALSE),"")</f>
        <v/>
      </c>
      <c r="AL3" s="226" t="str">
        <f>IFERROR(VLOOKUP(TEXT(AL4,"mm.yyyy"),HMG!$B$2:$C$1001, 2, FALSE),"")</f>
        <v/>
      </c>
      <c r="AM3" s="226" t="str">
        <f>IFERROR(VLOOKUP(TEXT(AM4,"mm.yyyy"),HMG!$B$2:$C$1001, 2, FALSE),"")</f>
        <v/>
      </c>
      <c r="AN3" s="226" t="str">
        <f>IFERROR(VLOOKUP(TEXT(AN4,"mm.yyyy"),HMG!$B$2:$C$1001, 2, FALSE),"")</f>
        <v/>
      </c>
      <c r="AO3" s="226" t="str">
        <f>IFERROR(VLOOKUP(TEXT(AO4,"mm.yyyy"),HMG!$B$2:$C$1001, 2, FALSE),"")</f>
        <v>zapis KS</v>
      </c>
      <c r="AP3" s="226" t="str">
        <f>IFERROR(VLOOKUP(TEXT(AP4,"mm.yyyy"),HMG!$B$2:$C$1001, 2, FALSE),"")</f>
        <v/>
      </c>
      <c r="AQ3" s="226" t="str">
        <f>IFERROR(VLOOKUP(TEXT(AQ4,"mm.yyyy"),HMG!$B$2:$C$1001, 2, FALSE),"")</f>
        <v/>
      </c>
      <c r="AR3" s="226" t="str">
        <f>IFERROR(VLOOKUP(TEXT(AR4,"mm.yyyy"),HMG!$B$2:$C$1001, 2, FALSE),"")</f>
        <v/>
      </c>
      <c r="AS3" s="226" t="str">
        <f>IFERROR(VLOOKUP(TEXT(AS4,"mm.yyyy"),HMG!$B$2:$C$1001, 2, FALSE),"")</f>
        <v/>
      </c>
      <c r="AT3" s="226" t="str">
        <f>IFERROR(VLOOKUP(TEXT(AT4,"mm.yyyy"),HMG!$B$2:$C$1001, 2, FALSE),"")</f>
        <v/>
      </c>
      <c r="AU3" s="226" t="str">
        <f>IFERROR(VLOOKUP(TEXT(AU4,"mm.yyyy"),HMG!$B$2:$C$1001, 2, FALSE),"")</f>
        <v/>
      </c>
      <c r="AV3" s="226" t="str">
        <f>IFERROR(VLOOKUP(TEXT(AV4,"mm.yyyy"),HMG!$B$2:$C$1001, 2, FALSE),"")</f>
        <v/>
      </c>
      <c r="AW3" s="226" t="str">
        <f>IFERROR(VLOOKUP(TEXT(AW4,"mm.yyyy"),HMG!$B$2:$C$1001, 2, FALSE),"")</f>
        <v/>
      </c>
      <c r="AX3" s="226" t="str">
        <f>IFERROR(VLOOKUP(TEXT(AX4,"mm.yyyy"),HMG!$B$2:$C$1001, 2, FALSE),"")</f>
        <v/>
      </c>
      <c r="AY3" s="226" t="str">
        <f>IFERROR(VLOOKUP(TEXT(AY4,"mm.yyyy"),HMG!$B$2:$C$1001, 2, FALSE),"")</f>
        <v/>
      </c>
      <c r="AZ3" s="226" t="str">
        <f>IFERROR(VLOOKUP(TEXT(AZ4,"mm.yyyy"),HMG!$B$2:$C$1001, 2, FALSE),"")</f>
        <v/>
      </c>
      <c r="BA3" s="226" t="str">
        <f>IFERROR(VLOOKUP(TEXT(BA4,"mm.yyyy"),HMG!$B$2:$C$1001, 2, FALSE),"")</f>
        <v>zapis KS</v>
      </c>
      <c r="BB3" s="226" t="str">
        <f>IFERROR(VLOOKUP(TEXT(BB4,"mm.yyyy"),HMG!$B$2:$C$1001, 2, FALSE),"")</f>
        <v/>
      </c>
      <c r="BC3" s="226" t="str">
        <f>IFERROR(VLOOKUP(TEXT(BC4,"mm.yyyy"),HMG!$B$2:$C$1001, 2, FALSE),"")</f>
        <v/>
      </c>
      <c r="BD3" s="226" t="str">
        <f>IFERROR(VLOOKUP(TEXT(BD4,"mm.yyyy"),HMG!$B$2:$C$1001, 2, FALSE),"")</f>
        <v/>
      </c>
      <c r="BE3" s="226" t="str">
        <f>IFERROR(VLOOKUP(TEXT(BE4,"mm.yyyy"),HMG!$B$2:$C$1001, 2, FALSE),"")</f>
        <v/>
      </c>
      <c r="BF3" s="226" t="str">
        <f>IFERROR(VLOOKUP(TEXT(BF4,"mm.yyyy"),HMG!$B$2:$C$1001, 2, FALSE),"")</f>
        <v/>
      </c>
      <c r="BG3" s="226" t="str">
        <f>IFERROR(VLOOKUP(TEXT(BG4,"mm.yyyy"),HMG!$B$2:$C$1001, 2, FALSE),"")</f>
        <v/>
      </c>
      <c r="BH3" s="226" t="str">
        <f>IFERROR(VLOOKUP(TEXT(BH4,"mm.yyyy"),HMG!$B$2:$C$1001, 2, FALSE),"")</f>
        <v/>
      </c>
      <c r="BI3" s="226" t="str">
        <f>IFERROR(VLOOKUP(TEXT(BI4,"mm.yyyy"),HMG!$B$2:$C$1001, 2, FALSE),"")</f>
        <v/>
      </c>
      <c r="BJ3" s="226" t="str">
        <f>IFERROR(VLOOKUP(TEXT(BJ4,"mm.yyyy"),HMG!$B$2:$C$1001, 2, FALSE),"")</f>
        <v/>
      </c>
      <c r="BK3" s="226" t="str">
        <f>IFERROR(VLOOKUP(TEXT(BK4,"mm.yyyy"),HMG!$B$2:$C$1001, 2, FALSE),"")</f>
        <v/>
      </c>
      <c r="BL3" s="226" t="str">
        <f>IFERROR(VLOOKUP(TEXT(BL4,"mm.yyyy"),HMG!$B$2:$C$1001, 2, FALSE),"")</f>
        <v/>
      </c>
      <c r="BM3" s="226" t="str">
        <f>IFERROR(VLOOKUP(TEXT(BM4,"mm.yyyy"),HMG!$B$2:$C$1001, 2, FALSE),"")</f>
        <v>zapis KS</v>
      </c>
      <c r="BN3" s="226" t="str">
        <f>IFERROR(VLOOKUP(TEXT(BN4,"mm.yyyy"),HMG!$B$2:$C$1001, 2, FALSE),"")</f>
        <v/>
      </c>
      <c r="BO3" s="226" t="str">
        <f>IFERROR(VLOOKUP(TEXT(BO4,"mm.yyyy"),HMG!$B$2:$C$1001, 2, FALSE),"")</f>
        <v/>
      </c>
      <c r="BP3" s="226" t="str">
        <f>IFERROR(VLOOKUP(TEXT(BP4,"mm.yyyy"),HMG!$B$2:$C$1001, 2, FALSE),"")</f>
        <v/>
      </c>
      <c r="BQ3" s="226" t="str">
        <f>IFERROR(VLOOKUP(TEXT(BQ4,"mm.yyyy"),HMG!$B$2:$C$1001, 2, FALSE),"")</f>
        <v/>
      </c>
      <c r="BR3" s="226" t="str">
        <f>IFERROR(VLOOKUP(TEXT(BR4,"mm.yyyy"),HMG!$B$2:$C$1001, 2, FALSE),"")</f>
        <v/>
      </c>
      <c r="BS3" s="226" t="str">
        <f>IFERROR(VLOOKUP(TEXT(BS4,"mm.yyyy"),HMG!$B$2:$C$1001, 2, FALSE),"")</f>
        <v/>
      </c>
      <c r="BT3" s="226" t="str">
        <f>IFERROR(VLOOKUP(TEXT(BT4,"mm.yyyy"),HMG!$B$2:$C$1001, 2, FALSE),"")</f>
        <v/>
      </c>
      <c r="BU3" s="226" t="str">
        <f>IFERROR(VLOOKUP(TEXT(BU4,"mm.yyyy"),HMG!$B$2:$C$1001, 2, FALSE),"")</f>
        <v/>
      </c>
      <c r="BV3" s="226" t="str">
        <f>IFERROR(VLOOKUP(TEXT(BV4,"mm.yyyy"),HMG!$B$2:$C$1001, 2, FALSE),"")</f>
        <v/>
      </c>
      <c r="BW3" s="226" t="str">
        <f>IFERROR(VLOOKUP(TEXT(BW4,"mm.yyyy"),HMG!$B$2:$C$1001, 2, FALSE),"")</f>
        <v/>
      </c>
      <c r="BX3" s="226" t="str">
        <f>IFERROR(VLOOKUP(TEXT(BX4,"mm.yyyy"),HMG!$B$2:$C$1001, 2, FALSE),"")</f>
        <v/>
      </c>
      <c r="BY3" s="588"/>
      <c r="BZ3" s="597"/>
      <c r="CA3" s="222"/>
      <c r="CB3" s="222" t="s">
        <v>202</v>
      </c>
      <c r="CC3" s="222" t="s">
        <v>203</v>
      </c>
      <c r="CD3" s="222"/>
      <c r="CE3" s="222"/>
      <c r="CF3" s="222"/>
      <c r="CG3" s="222"/>
      <c r="CH3" s="222"/>
      <c r="CI3" s="222"/>
      <c r="CJ3" s="222"/>
      <c r="CK3" s="222"/>
      <c r="CL3" s="222"/>
      <c r="CM3" s="222"/>
      <c r="CN3" s="222"/>
      <c r="CO3" s="222"/>
      <c r="CP3" s="222"/>
      <c r="CQ3" s="222"/>
      <c r="CR3" s="222"/>
      <c r="CS3" s="222"/>
      <c r="CT3" s="222"/>
      <c r="CU3" s="222"/>
      <c r="CV3" s="222"/>
      <c r="CW3" s="222"/>
      <c r="CX3" s="222"/>
      <c r="CY3" s="222"/>
      <c r="CZ3" s="222"/>
      <c r="DA3" s="222"/>
      <c r="DB3" s="222"/>
      <c r="DC3" s="222"/>
      <c r="DD3" s="222"/>
      <c r="DE3" s="222"/>
      <c r="DF3" s="222"/>
      <c r="DG3" s="222"/>
      <c r="DH3" s="222"/>
      <c r="DI3" s="222"/>
      <c r="DJ3" s="222"/>
      <c r="DK3" s="222"/>
      <c r="DL3" s="222"/>
      <c r="DM3" s="222"/>
      <c r="DN3" s="222"/>
      <c r="DO3" s="222"/>
      <c r="DP3" s="222"/>
      <c r="DQ3" s="222"/>
      <c r="DR3" s="222"/>
      <c r="DS3" s="222"/>
      <c r="DT3" s="222"/>
      <c r="DU3" s="222"/>
      <c r="DV3" s="222"/>
      <c r="DW3" s="222"/>
      <c r="DX3" s="222"/>
      <c r="DY3" s="222"/>
      <c r="DZ3" s="222"/>
      <c r="EA3" s="222"/>
      <c r="EB3" s="222"/>
      <c r="EC3" s="222"/>
      <c r="ED3" s="222"/>
      <c r="EE3" s="222"/>
      <c r="EF3" s="222"/>
      <c r="EG3" s="222"/>
      <c r="EH3" s="222"/>
    </row>
    <row r="4" spans="1:138">
      <c r="A4" s="505"/>
      <c r="B4" s="591"/>
      <c r="C4" s="592"/>
      <c r="D4" s="506"/>
      <c r="E4" s="227">
        <v>45292</v>
      </c>
      <c r="F4" s="227">
        <v>45323</v>
      </c>
      <c r="G4" s="227">
        <v>45352</v>
      </c>
      <c r="H4" s="227">
        <v>45383</v>
      </c>
      <c r="I4" s="227">
        <v>45413</v>
      </c>
      <c r="J4" s="227">
        <v>45444</v>
      </c>
      <c r="K4" s="227">
        <v>45474</v>
      </c>
      <c r="L4" s="227">
        <v>45505</v>
      </c>
      <c r="M4" s="227">
        <v>45536</v>
      </c>
      <c r="N4" s="227">
        <v>45566</v>
      </c>
      <c r="O4" s="227">
        <v>45597</v>
      </c>
      <c r="P4" s="227">
        <v>45627</v>
      </c>
      <c r="Q4" s="227">
        <v>45658</v>
      </c>
      <c r="R4" s="227">
        <v>45689</v>
      </c>
      <c r="S4" s="227">
        <v>45717</v>
      </c>
      <c r="T4" s="227">
        <v>45748</v>
      </c>
      <c r="U4" s="227">
        <v>45778</v>
      </c>
      <c r="V4" s="227">
        <v>45809</v>
      </c>
      <c r="W4" s="227">
        <v>45839</v>
      </c>
      <c r="X4" s="227">
        <v>45870</v>
      </c>
      <c r="Y4" s="227">
        <v>45901</v>
      </c>
      <c r="Z4" s="227">
        <v>45931</v>
      </c>
      <c r="AA4" s="227">
        <v>45962</v>
      </c>
      <c r="AB4" s="227">
        <v>45992</v>
      </c>
      <c r="AC4" s="227">
        <v>46023</v>
      </c>
      <c r="AD4" s="227">
        <v>46054</v>
      </c>
      <c r="AE4" s="227">
        <v>46082</v>
      </c>
      <c r="AF4" s="227">
        <v>46113</v>
      </c>
      <c r="AG4" s="227">
        <v>46143</v>
      </c>
      <c r="AH4" s="227">
        <v>46174</v>
      </c>
      <c r="AI4" s="227">
        <v>46204</v>
      </c>
      <c r="AJ4" s="227">
        <v>46235</v>
      </c>
      <c r="AK4" s="227">
        <v>46266</v>
      </c>
      <c r="AL4" s="227">
        <v>46296</v>
      </c>
      <c r="AM4" s="227">
        <v>46327</v>
      </c>
      <c r="AN4" s="227">
        <v>46357</v>
      </c>
      <c r="AO4" s="227">
        <v>46388</v>
      </c>
      <c r="AP4" s="227">
        <v>46419</v>
      </c>
      <c r="AQ4" s="227">
        <v>46447</v>
      </c>
      <c r="AR4" s="227">
        <v>46478</v>
      </c>
      <c r="AS4" s="227">
        <v>46508</v>
      </c>
      <c r="AT4" s="227">
        <v>46539</v>
      </c>
      <c r="AU4" s="227">
        <v>46569</v>
      </c>
      <c r="AV4" s="227">
        <v>46600</v>
      </c>
      <c r="AW4" s="227">
        <v>46631</v>
      </c>
      <c r="AX4" s="227">
        <v>46661</v>
      </c>
      <c r="AY4" s="227">
        <v>46692</v>
      </c>
      <c r="AZ4" s="227">
        <v>46722</v>
      </c>
      <c r="BA4" s="227">
        <v>46753</v>
      </c>
      <c r="BB4" s="227">
        <v>46784</v>
      </c>
      <c r="BC4" s="227">
        <v>46813</v>
      </c>
      <c r="BD4" s="227">
        <v>46844</v>
      </c>
      <c r="BE4" s="227">
        <v>46874</v>
      </c>
      <c r="BF4" s="227">
        <v>46905</v>
      </c>
      <c r="BG4" s="227">
        <v>46935</v>
      </c>
      <c r="BH4" s="227">
        <v>46966</v>
      </c>
      <c r="BI4" s="227">
        <v>46997</v>
      </c>
      <c r="BJ4" s="227">
        <v>47027</v>
      </c>
      <c r="BK4" s="227">
        <v>47058</v>
      </c>
      <c r="BL4" s="227">
        <v>47088</v>
      </c>
      <c r="BM4" s="227">
        <v>47119</v>
      </c>
      <c r="BN4" s="227">
        <v>47150</v>
      </c>
      <c r="BO4" s="227">
        <v>47178</v>
      </c>
      <c r="BP4" s="227">
        <v>47209</v>
      </c>
      <c r="BQ4" s="227">
        <v>47239</v>
      </c>
      <c r="BR4" s="227">
        <v>47270</v>
      </c>
      <c r="BS4" s="227">
        <v>47300</v>
      </c>
      <c r="BT4" s="227">
        <v>47331</v>
      </c>
      <c r="BU4" s="227">
        <v>47362</v>
      </c>
      <c r="BV4" s="227">
        <v>47392</v>
      </c>
      <c r="BW4" s="227">
        <v>47423</v>
      </c>
      <c r="BX4" s="227">
        <v>47453</v>
      </c>
      <c r="BY4" s="591"/>
      <c r="BZ4" s="592"/>
      <c r="CA4" s="222"/>
      <c r="CB4" s="222" t="s">
        <v>63</v>
      </c>
      <c r="CC4" s="222"/>
      <c r="CD4" s="222"/>
      <c r="CE4" s="222"/>
      <c r="CF4" s="222"/>
      <c r="CG4" s="222"/>
      <c r="CH4" s="222"/>
      <c r="CI4" s="222"/>
      <c r="CJ4" s="222"/>
      <c r="CK4" s="222"/>
      <c r="CL4" s="222"/>
      <c r="CM4" s="222"/>
      <c r="CN4" s="222"/>
      <c r="CO4" s="222"/>
      <c r="CP4" s="222"/>
      <c r="CQ4" s="222"/>
      <c r="CR4" s="222"/>
      <c r="CS4" s="222"/>
      <c r="CT4" s="222"/>
      <c r="CU4" s="222"/>
      <c r="CV4" s="222"/>
      <c r="CW4" s="222"/>
      <c r="CX4" s="222"/>
      <c r="CY4" s="222"/>
      <c r="CZ4" s="222"/>
      <c r="DA4" s="222"/>
      <c r="DB4" s="222"/>
      <c r="DC4" s="222"/>
      <c r="DD4" s="222"/>
      <c r="DE4" s="222"/>
      <c r="DF4" s="222"/>
      <c r="DG4" s="222"/>
      <c r="DH4" s="222"/>
      <c r="DI4" s="222"/>
      <c r="DJ4" s="222"/>
      <c r="DK4" s="222"/>
      <c r="DL4" s="222"/>
      <c r="DM4" s="222"/>
      <c r="DN4" s="222"/>
      <c r="DO4" s="222"/>
      <c r="DP4" s="222"/>
      <c r="DQ4" s="222"/>
      <c r="DR4" s="222"/>
      <c r="DS4" s="222"/>
      <c r="DT4" s="222"/>
      <c r="DU4" s="222"/>
      <c r="DV4" s="222"/>
      <c r="DW4" s="222"/>
      <c r="DX4" s="222"/>
      <c r="DY4" s="222"/>
      <c r="DZ4" s="222"/>
      <c r="EA4" s="222"/>
      <c r="EB4" s="222"/>
      <c r="EC4" s="222"/>
      <c r="ED4" s="222"/>
      <c r="EE4" s="222"/>
      <c r="EF4" s="222"/>
      <c r="EG4" s="222"/>
      <c r="EH4" s="222"/>
    </row>
    <row r="5" spans="1:138">
      <c r="A5" s="505"/>
      <c r="B5" s="568" t="s">
        <v>204</v>
      </c>
      <c r="C5" s="228" t="s">
        <v>205</v>
      </c>
      <c r="D5" s="229" t="s">
        <v>206</v>
      </c>
      <c r="E5" s="230"/>
      <c r="F5" s="231"/>
      <c r="G5" s="231"/>
      <c r="H5" s="231">
        <f>16365002</f>
        <v>16365002</v>
      </c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  <c r="AU5" s="231"/>
      <c r="AV5" s="231"/>
      <c r="AW5" s="231"/>
      <c r="AX5" s="231"/>
      <c r="AY5" s="231"/>
      <c r="AZ5" s="231"/>
      <c r="BA5" s="231"/>
      <c r="BB5" s="231"/>
      <c r="BC5" s="231"/>
      <c r="BD5" s="231"/>
      <c r="BE5" s="231"/>
      <c r="BF5" s="231"/>
      <c r="BG5" s="231"/>
      <c r="BH5" s="231"/>
      <c r="BI5" s="231"/>
      <c r="BJ5" s="231"/>
      <c r="BK5" s="231"/>
      <c r="BL5" s="231"/>
      <c r="BM5" s="231"/>
      <c r="BN5" s="231"/>
      <c r="BO5" s="231"/>
      <c r="BP5" s="231"/>
      <c r="BQ5" s="231"/>
      <c r="BR5" s="231"/>
      <c r="BS5" s="231"/>
      <c r="BT5" s="231"/>
      <c r="BU5" s="231"/>
      <c r="BV5" s="231"/>
      <c r="BW5" s="231"/>
      <c r="BX5" s="232"/>
      <c r="BY5" s="233">
        <f t="shared" ref="BY5:BY15" si="0">SUM(E5:BX5)</f>
        <v>16365002</v>
      </c>
      <c r="BZ5" s="561">
        <f>SUM(BY5:BY8)</f>
        <v>29850002</v>
      </c>
      <c r="CA5" s="222"/>
      <c r="CB5" s="233"/>
      <c r="CC5" s="561"/>
      <c r="CD5" s="222"/>
      <c r="CE5" s="222"/>
      <c r="CF5" s="222"/>
      <c r="CG5" s="222"/>
      <c r="CH5" s="222"/>
      <c r="CI5" s="222"/>
      <c r="CJ5" s="222"/>
      <c r="CK5" s="222"/>
      <c r="CL5" s="222"/>
      <c r="CM5" s="222"/>
      <c r="CN5" s="222"/>
      <c r="CO5" s="222"/>
      <c r="CP5" s="222"/>
      <c r="CQ5" s="222"/>
      <c r="CR5" s="222"/>
      <c r="CS5" s="222"/>
      <c r="CT5" s="222"/>
      <c r="CU5" s="222"/>
      <c r="CV5" s="222"/>
      <c r="CW5" s="222"/>
      <c r="CX5" s="222"/>
      <c r="CY5" s="222"/>
      <c r="CZ5" s="222"/>
      <c r="DA5" s="222"/>
      <c r="DB5" s="222"/>
      <c r="DC5" s="222"/>
      <c r="DD5" s="222"/>
      <c r="DE5" s="222"/>
      <c r="DF5" s="222"/>
      <c r="DG5" s="222"/>
      <c r="DH5" s="222"/>
      <c r="DI5" s="222"/>
      <c r="DJ5" s="222"/>
      <c r="DK5" s="222"/>
      <c r="DL5" s="222"/>
      <c r="DM5" s="222"/>
      <c r="DN5" s="222"/>
      <c r="DO5" s="222"/>
      <c r="DP5" s="222"/>
      <c r="DQ5" s="222"/>
      <c r="DR5" s="222"/>
      <c r="DS5" s="222"/>
      <c r="DT5" s="222"/>
      <c r="DU5" s="222"/>
      <c r="DV5" s="222"/>
      <c r="DW5" s="222"/>
      <c r="DX5" s="222"/>
      <c r="DY5" s="222"/>
      <c r="DZ5" s="222"/>
      <c r="EA5" s="222"/>
      <c r="EB5" s="222"/>
      <c r="EC5" s="222"/>
      <c r="ED5" s="222"/>
      <c r="EE5" s="222"/>
      <c r="EF5" s="222"/>
      <c r="EG5" s="222"/>
      <c r="EH5" s="222"/>
    </row>
    <row r="6" spans="1:138">
      <c r="A6" s="505"/>
      <c r="B6" s="600"/>
      <c r="C6" s="228" t="s">
        <v>207</v>
      </c>
      <c r="D6" s="229" t="s">
        <v>206</v>
      </c>
      <c r="E6" s="231"/>
      <c r="F6" s="231"/>
      <c r="G6" s="231"/>
      <c r="H6" s="231"/>
      <c r="I6" s="231"/>
      <c r="J6" s="231"/>
      <c r="K6" s="231">
        <v>885000</v>
      </c>
      <c r="L6" s="231">
        <f>1640000+300000</f>
        <v>1940000</v>
      </c>
      <c r="M6" s="231">
        <f>4260000</f>
        <v>4260000</v>
      </c>
      <c r="N6" s="231"/>
      <c r="O6" s="231">
        <f>50000+270000</f>
        <v>320000</v>
      </c>
      <c r="P6" s="231">
        <v>320000</v>
      </c>
      <c r="Q6" s="231"/>
      <c r="R6" s="231">
        <f>600000+70000</f>
        <v>670000</v>
      </c>
      <c r="S6" s="231"/>
      <c r="T6" s="231"/>
      <c r="U6" s="231"/>
      <c r="V6" s="231">
        <f>2700000+390000</f>
        <v>3090000</v>
      </c>
      <c r="W6" s="231"/>
      <c r="X6" s="231"/>
      <c r="Y6" s="231"/>
      <c r="Z6" s="231">
        <v>2000000</v>
      </c>
      <c r="AA6" s="231"/>
      <c r="AB6" s="231"/>
      <c r="AC6" s="231"/>
      <c r="AD6" s="231"/>
      <c r="AE6" s="231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  <c r="AU6" s="231"/>
      <c r="AV6" s="231"/>
      <c r="AW6" s="231"/>
      <c r="AX6" s="231"/>
      <c r="AY6" s="231"/>
      <c r="AZ6" s="231"/>
      <c r="BA6" s="231"/>
      <c r="BB6" s="231"/>
      <c r="BC6" s="231"/>
      <c r="BD6" s="231"/>
      <c r="BE6" s="231"/>
      <c r="BF6" s="231"/>
      <c r="BG6" s="231"/>
      <c r="BH6" s="231"/>
      <c r="BI6" s="231"/>
      <c r="BJ6" s="231"/>
      <c r="BK6" s="231"/>
      <c r="BL6" s="231"/>
      <c r="BM6" s="231"/>
      <c r="BN6" s="231"/>
      <c r="BO6" s="231"/>
      <c r="BP6" s="231"/>
      <c r="BQ6" s="231"/>
      <c r="BR6" s="231"/>
      <c r="BS6" s="231"/>
      <c r="BT6" s="231"/>
      <c r="BU6" s="231"/>
      <c r="BV6" s="231"/>
      <c r="BW6" s="231"/>
      <c r="BX6" s="228"/>
      <c r="BY6" s="233">
        <f t="shared" si="0"/>
        <v>13485000</v>
      </c>
      <c r="BZ6" s="597"/>
      <c r="CA6" s="222"/>
      <c r="CB6" s="233"/>
      <c r="CC6" s="597"/>
      <c r="CD6" s="222"/>
      <c r="CE6" s="222"/>
      <c r="CF6" s="230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  <c r="DZ6" s="222"/>
      <c r="EA6" s="222"/>
      <c r="EB6" s="222"/>
      <c r="EC6" s="222"/>
      <c r="ED6" s="222"/>
      <c r="EE6" s="222"/>
      <c r="EF6" s="222"/>
      <c r="EG6" s="222"/>
      <c r="EH6" s="222"/>
    </row>
    <row r="7" spans="1:138">
      <c r="A7" s="505"/>
      <c r="B7" s="600"/>
      <c r="C7" s="234" t="s">
        <v>208</v>
      </c>
      <c r="D7" s="229" t="s">
        <v>206</v>
      </c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28"/>
      <c r="BY7" s="233">
        <f t="shared" si="0"/>
        <v>0</v>
      </c>
      <c r="BZ7" s="597"/>
      <c r="CA7" s="222" t="e">
        <f>BZ5+#REF!+700000*2</f>
        <v>#REF!</v>
      </c>
      <c r="CB7" s="233"/>
      <c r="CC7" s="597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</row>
    <row r="8" spans="1:138">
      <c r="A8" s="505"/>
      <c r="B8" s="601"/>
      <c r="C8" s="234" t="s">
        <v>209</v>
      </c>
      <c r="D8" s="235" t="s">
        <v>206</v>
      </c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6"/>
      <c r="AC8" s="236"/>
      <c r="AD8" s="236"/>
      <c r="AE8" s="236"/>
      <c r="AF8" s="236"/>
      <c r="AG8" s="236"/>
      <c r="AH8" s="236"/>
      <c r="AI8" s="236"/>
      <c r="AJ8" s="236"/>
      <c r="AK8" s="236"/>
      <c r="AL8" s="236"/>
      <c r="AM8" s="236"/>
      <c r="AN8" s="236"/>
      <c r="AO8" s="236"/>
      <c r="AP8" s="236"/>
      <c r="AQ8" s="236"/>
      <c r="AR8" s="236"/>
      <c r="AS8" s="236"/>
      <c r="AT8" s="236"/>
      <c r="AU8" s="236"/>
      <c r="AV8" s="236"/>
      <c r="AW8" s="236"/>
      <c r="AX8" s="236"/>
      <c r="AY8" s="236"/>
      <c r="AZ8" s="236"/>
      <c r="BA8" s="236"/>
      <c r="BB8" s="236"/>
      <c r="BC8" s="236"/>
      <c r="BD8" s="236"/>
      <c r="BE8" s="236"/>
      <c r="BF8" s="236"/>
      <c r="BG8" s="236"/>
      <c r="BH8" s="236"/>
      <c r="BI8" s="236"/>
      <c r="BJ8" s="236"/>
      <c r="BK8" s="236"/>
      <c r="BL8" s="236"/>
      <c r="BM8" s="236"/>
      <c r="BN8" s="236"/>
      <c r="BO8" s="236"/>
      <c r="BP8" s="236"/>
      <c r="BQ8" s="236"/>
      <c r="BR8" s="236"/>
      <c r="BS8" s="236"/>
      <c r="BT8" s="236"/>
      <c r="BU8" s="236"/>
      <c r="BV8" s="236"/>
      <c r="BW8" s="236"/>
      <c r="BX8" s="234"/>
      <c r="BY8" s="237">
        <f t="shared" si="0"/>
        <v>0</v>
      </c>
      <c r="BZ8" s="592"/>
      <c r="CA8" s="222"/>
      <c r="CB8" s="237"/>
      <c r="CC8" s="592"/>
      <c r="CD8" s="222"/>
      <c r="CE8" s="222"/>
      <c r="CF8" s="238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</row>
    <row r="9" spans="1:138">
      <c r="A9" s="505"/>
      <c r="B9" s="568" t="s">
        <v>210</v>
      </c>
      <c r="C9" s="232" t="s">
        <v>211</v>
      </c>
      <c r="D9" s="229" t="s">
        <v>206</v>
      </c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>
        <f>-V61</f>
        <v>14609.487199999998</v>
      </c>
      <c r="W9" s="230">
        <v>42489</v>
      </c>
      <c r="X9" s="230">
        <f t="shared" ref="X9:AA9" si="1">-X61</f>
        <v>81607.299899999998</v>
      </c>
      <c r="Y9" s="230">
        <f t="shared" si="1"/>
        <v>103657.2999</v>
      </c>
      <c r="Z9" s="230">
        <f t="shared" si="1"/>
        <v>120317.2999</v>
      </c>
      <c r="AA9" s="230">
        <f t="shared" si="1"/>
        <v>132300</v>
      </c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2"/>
      <c r="BY9" s="233">
        <f t="shared" si="0"/>
        <v>494980.38689999998</v>
      </c>
      <c r="BZ9" s="561">
        <f>SUM(BY9:BY11)</f>
        <v>78817411.716900006</v>
      </c>
      <c r="CA9" s="222"/>
      <c r="CB9" s="233"/>
      <c r="CC9" s="561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</row>
    <row r="10" spans="1:138">
      <c r="A10" s="505"/>
      <c r="B10" s="600"/>
      <c r="C10" s="232" t="s">
        <v>212</v>
      </c>
      <c r="D10" s="229" t="s">
        <v>206</v>
      </c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>
        <v>2981528</v>
      </c>
      <c r="W10" s="231">
        <v>6673023</v>
      </c>
      <c r="X10" s="231">
        <v>7000000</v>
      </c>
      <c r="Y10" s="231">
        <v>4500000</v>
      </c>
      <c r="Z10" s="231">
        <v>3400000</v>
      </c>
      <c r="AA10" s="231">
        <f>27000000-SUM(V10:Z10)</f>
        <v>2445449</v>
      </c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1"/>
      <c r="AP10" s="231"/>
      <c r="AQ10" s="231"/>
      <c r="AR10" s="231"/>
      <c r="AS10" s="231"/>
      <c r="AT10" s="231"/>
      <c r="AU10" s="231"/>
      <c r="AV10" s="231"/>
      <c r="AW10" s="231"/>
      <c r="AX10" s="231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28"/>
      <c r="BY10" s="233">
        <f t="shared" si="0"/>
        <v>27000000</v>
      </c>
      <c r="BZ10" s="597"/>
      <c r="CA10" s="222"/>
      <c r="CB10" s="233"/>
      <c r="CC10" s="597"/>
      <c r="CD10" s="222"/>
      <c r="CE10" s="231">
        <v>3100000</v>
      </c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</row>
    <row r="11" spans="1:138">
      <c r="A11" s="505"/>
      <c r="B11" s="599"/>
      <c r="C11" s="234" t="s">
        <v>213</v>
      </c>
      <c r="D11" s="235" t="s">
        <v>206</v>
      </c>
      <c r="E11" s="236"/>
      <c r="F11" s="236"/>
      <c r="G11" s="236"/>
      <c r="H11" s="236"/>
      <c r="I11" s="236"/>
      <c r="J11" s="236"/>
      <c r="K11" s="236"/>
      <c r="L11" s="236"/>
      <c r="M11" s="236">
        <f>6449487.53+48944.52</f>
        <v>6498432.0499999998</v>
      </c>
      <c r="N11" s="236">
        <f>19937831.95</f>
        <v>19937831.949999999</v>
      </c>
      <c r="O11" s="236">
        <f>133478.48+9278006.75</f>
        <v>9411485.2300000004</v>
      </c>
      <c r="P11" s="236">
        <f>186701+7000000+5138503.39+219819.11</f>
        <v>12545023.5</v>
      </c>
      <c r="Q11" s="236">
        <f>2929658.6</f>
        <v>2929658.6</v>
      </c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36"/>
      <c r="AM11" s="236"/>
      <c r="AN11" s="236"/>
      <c r="AO11" s="239"/>
      <c r="AP11" s="236"/>
      <c r="AQ11" s="236"/>
      <c r="AR11" s="236"/>
      <c r="AS11" s="236"/>
      <c r="AT11" s="236"/>
      <c r="AU11" s="236"/>
      <c r="AV11" s="236"/>
      <c r="AW11" s="236"/>
      <c r="AX11" s="236"/>
      <c r="AY11" s="236"/>
      <c r="AZ11" s="236"/>
      <c r="BA11" s="236"/>
      <c r="BB11" s="236"/>
      <c r="BC11" s="236"/>
      <c r="BD11" s="236"/>
      <c r="BE11" s="236"/>
      <c r="BF11" s="236"/>
      <c r="BG11" s="236"/>
      <c r="BH11" s="236"/>
      <c r="BI11" s="236"/>
      <c r="BJ11" s="236"/>
      <c r="BK11" s="236"/>
      <c r="BL11" s="236"/>
      <c r="BM11" s="236"/>
      <c r="BN11" s="236"/>
      <c r="BO11" s="236"/>
      <c r="BP11" s="236"/>
      <c r="BQ11" s="236"/>
      <c r="BR11" s="236"/>
      <c r="BS11" s="236"/>
      <c r="BT11" s="236"/>
      <c r="BU11" s="236"/>
      <c r="BV11" s="236"/>
      <c r="BW11" s="236"/>
      <c r="BX11" s="234"/>
      <c r="BY11" s="237">
        <f t="shared" si="0"/>
        <v>51322431.330000006</v>
      </c>
      <c r="BZ11" s="602"/>
      <c r="CA11" s="240"/>
      <c r="CB11" s="237"/>
      <c r="CC11" s="602"/>
      <c r="CD11" s="241"/>
      <c r="CE11" s="241"/>
      <c r="CF11" s="241"/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  <c r="CS11" s="241"/>
      <c r="CT11" s="241"/>
      <c r="CU11" s="241"/>
      <c r="CV11" s="241"/>
      <c r="CW11" s="241"/>
      <c r="CX11" s="241"/>
      <c r="CY11" s="241"/>
      <c r="CZ11" s="241"/>
      <c r="DA11" s="241"/>
      <c r="DB11" s="241"/>
      <c r="DC11" s="241"/>
      <c r="DD11" s="241"/>
      <c r="DE11" s="241"/>
      <c r="DF11" s="241"/>
      <c r="DG11" s="241"/>
      <c r="DH11" s="241"/>
      <c r="DI11" s="241"/>
      <c r="DJ11" s="241"/>
      <c r="DK11" s="241"/>
      <c r="DL11" s="241"/>
      <c r="DM11" s="241"/>
      <c r="DN11" s="241"/>
      <c r="DO11" s="241"/>
      <c r="DP11" s="241"/>
      <c r="DQ11" s="241"/>
      <c r="DR11" s="241"/>
      <c r="DS11" s="241"/>
      <c r="DT11" s="241"/>
      <c r="DU11" s="241"/>
      <c r="DV11" s="241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</row>
    <row r="12" spans="1:138">
      <c r="A12" s="505"/>
      <c r="B12" s="568" t="s">
        <v>214</v>
      </c>
      <c r="C12" s="228" t="s">
        <v>215</v>
      </c>
      <c r="D12" s="229" t="s">
        <v>206</v>
      </c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>
        <f>(1368.39+21210.09+21210.09)*25</f>
        <v>1094714.25</v>
      </c>
      <c r="S12" s="230">
        <f>161197.41+57199.08+(21210.09+21210.09)*25</f>
        <v>1278900.99</v>
      </c>
      <c r="T12" s="230">
        <f>53732+21210.09*25.2</f>
        <v>588226.26800000004</v>
      </c>
      <c r="U12" s="230">
        <f>SUM(Rentroll!$M$2)</f>
        <v>589640.50199999986</v>
      </c>
      <c r="V12" s="230">
        <f>SUM(Rentroll!$M$2)</f>
        <v>589640.50199999986</v>
      </c>
      <c r="W12" s="230">
        <f t="shared" ref="W12:Z12" si="2">53732.47+21210.09*25</f>
        <v>583984.72</v>
      </c>
      <c r="X12" s="230">
        <f t="shared" si="2"/>
        <v>583984.72</v>
      </c>
      <c r="Y12" s="230">
        <f t="shared" si="2"/>
        <v>583984.72</v>
      </c>
      <c r="Z12" s="230">
        <f t="shared" si="2"/>
        <v>583984.72</v>
      </c>
      <c r="AA12" s="230">
        <f>SUM(Rentroll!$M$2:$M$10)</f>
        <v>1065607.4044666667</v>
      </c>
      <c r="AB12" s="230">
        <f>SUM(Rentroll!$M$2:$M$10)</f>
        <v>1065607.4044666667</v>
      </c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2"/>
      <c r="BY12" s="233">
        <f t="shared" si="0"/>
        <v>8608276.2009333316</v>
      </c>
      <c r="BZ12" s="561">
        <f>SUM(BY12:BY15)</f>
        <v>157417459.06405583</v>
      </c>
      <c r="CA12" s="222"/>
      <c r="CB12" s="233"/>
      <c r="CC12" s="561"/>
      <c r="CD12" s="222"/>
      <c r="CE12" s="238"/>
      <c r="CF12" s="222"/>
      <c r="CG12" s="222"/>
      <c r="CH12" s="222"/>
      <c r="CI12" s="222"/>
      <c r="CJ12" s="222"/>
      <c r="CK12" s="222"/>
      <c r="CL12" s="222"/>
      <c r="CM12" s="222"/>
      <c r="CN12" s="222"/>
      <c r="CO12" s="222"/>
      <c r="CP12" s="222"/>
      <c r="CQ12" s="222"/>
      <c r="CR12" s="222"/>
      <c r="CS12" s="222"/>
      <c r="CT12" s="222"/>
      <c r="CU12" s="222"/>
      <c r="CV12" s="222"/>
      <c r="CW12" s="222"/>
      <c r="CX12" s="222"/>
      <c r="CY12" s="222"/>
      <c r="CZ12" s="222"/>
      <c r="DA12" s="222"/>
      <c r="DB12" s="222"/>
      <c r="DC12" s="222"/>
      <c r="DD12" s="222"/>
      <c r="DE12" s="222"/>
      <c r="DF12" s="222"/>
      <c r="DG12" s="222"/>
      <c r="DH12" s="222"/>
      <c r="DI12" s="222"/>
      <c r="DJ12" s="222"/>
      <c r="DK12" s="222"/>
      <c r="DL12" s="222"/>
      <c r="DM12" s="222"/>
      <c r="DN12" s="222"/>
      <c r="DO12" s="222"/>
      <c r="DP12" s="222"/>
      <c r="DQ12" s="222"/>
      <c r="DR12" s="222"/>
      <c r="DS12" s="222"/>
      <c r="DT12" s="222"/>
      <c r="DU12" s="222"/>
      <c r="DV12" s="222"/>
      <c r="DW12" s="222"/>
      <c r="DX12" s="222"/>
      <c r="DY12" s="222"/>
      <c r="DZ12" s="222"/>
      <c r="EA12" s="222"/>
      <c r="EB12" s="222"/>
      <c r="EC12" s="222"/>
      <c r="ED12" s="222"/>
      <c r="EE12" s="222"/>
      <c r="EF12" s="222"/>
      <c r="EG12" s="222"/>
      <c r="EH12" s="222"/>
    </row>
    <row r="13" spans="1:138">
      <c r="A13" s="505"/>
      <c r="B13" s="600"/>
      <c r="C13" s="228" t="s">
        <v>216</v>
      </c>
      <c r="D13" s="229" t="s">
        <v>206</v>
      </c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>
        <f>Businessplan_prodej!$J$25</f>
        <v>138882598.15999994</v>
      </c>
      <c r="AC13" s="230"/>
      <c r="AD13" s="230">
        <f>5386482</f>
        <v>5386482</v>
      </c>
      <c r="AE13" s="230">
        <f>AC13-AD13</f>
        <v>-5386482</v>
      </c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2"/>
      <c r="BY13" s="233">
        <f t="shared" si="0"/>
        <v>138882598.15999994</v>
      </c>
      <c r="BZ13" s="597"/>
      <c r="CA13" s="222"/>
      <c r="CB13" s="233"/>
      <c r="CC13" s="597"/>
      <c r="CD13" s="222"/>
      <c r="CE13" s="222"/>
      <c r="CF13" s="222"/>
      <c r="CG13" s="222"/>
      <c r="CH13" s="222"/>
      <c r="CI13" s="222"/>
      <c r="CJ13" s="222"/>
      <c r="CK13" s="222"/>
      <c r="CL13" s="222"/>
      <c r="CM13" s="222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  <c r="DG13" s="222"/>
      <c r="DH13" s="222"/>
      <c r="DI13" s="222"/>
      <c r="DJ13" s="222"/>
      <c r="DK13" s="222"/>
      <c r="DL13" s="222"/>
      <c r="DM13" s="222"/>
      <c r="DN13" s="222"/>
      <c r="DO13" s="222"/>
      <c r="DP13" s="222"/>
      <c r="DQ13" s="222"/>
      <c r="DR13" s="222"/>
      <c r="DS13" s="222"/>
      <c r="DT13" s="222"/>
      <c r="DU13" s="222"/>
      <c r="DV13" s="222"/>
      <c r="DW13" s="222"/>
      <c r="DX13" s="222"/>
      <c r="DY13" s="222"/>
      <c r="DZ13" s="222"/>
      <c r="EA13" s="222"/>
      <c r="EB13" s="222"/>
      <c r="EC13" s="222"/>
      <c r="ED13" s="222"/>
      <c r="EE13" s="222"/>
      <c r="EF13" s="222"/>
      <c r="EG13" s="222"/>
      <c r="EH13" s="222"/>
    </row>
    <row r="14" spans="1:138">
      <c r="A14" s="505"/>
      <c r="B14" s="600"/>
      <c r="C14" s="228" t="s">
        <v>7</v>
      </c>
      <c r="D14" s="229" t="s">
        <v>217</v>
      </c>
      <c r="E14" s="231"/>
      <c r="F14" s="231"/>
      <c r="G14" s="231"/>
      <c r="H14" s="231"/>
      <c r="I14" s="231">
        <v>6227</v>
      </c>
      <c r="J14" s="231">
        <v>14588</v>
      </c>
      <c r="K14" s="231">
        <f>457468</f>
        <v>457468</v>
      </c>
      <c r="L14" s="231">
        <v>57517</v>
      </c>
      <c r="M14" s="231">
        <f>60362</f>
        <v>60362</v>
      </c>
      <c r="N14" s="231">
        <v>56101</v>
      </c>
      <c r="O14" s="231">
        <f>59696</f>
        <v>59696</v>
      </c>
      <c r="P14" s="231">
        <f>60211</f>
        <v>60211</v>
      </c>
      <c r="Q14" s="231">
        <f>49860-602</f>
        <v>49258</v>
      </c>
      <c r="R14" s="231">
        <f>-79566+25315</f>
        <v>-54251</v>
      </c>
      <c r="S14" s="231">
        <f>-17980</f>
        <v>-17980</v>
      </c>
      <c r="T14" s="231">
        <f>-90242</f>
        <v>-90242</v>
      </c>
      <c r="U14" s="231">
        <f>IF(S12&gt;0,-(SUM(Rentroll!$H$2:$H$4)+Rentroll!$K$2),0)-(SUM(S23,S37)-SUM(S23,S37)/1.21)</f>
        <v>-100279.07885950414</v>
      </c>
      <c r="V14" s="231"/>
      <c r="W14" s="231"/>
      <c r="X14" s="231">
        <f>IF(V12&gt;0,-(SUM(Rentroll!$H$2:$H$4)+Rentroll!$K$2),0)-(SUM(V23,V37,V63)-SUM(V23,V37,V63)/1.21)</f>
        <v>145264.75038842965</v>
      </c>
      <c r="Y14" s="231">
        <f>IF(W12&gt;0,-(SUM(Rentroll!$H$2:$H$4)+Rentroll!$K$2),0)-(SUM(W23,W37,W63)-SUM(W23,W37,W63)/1.21)</f>
        <v>-22744.334975206613</v>
      </c>
      <c r="Z14" s="231">
        <f>IF(X12&gt;0,-(SUM(Rentroll!$H$2:$H$4)+Rentroll!$K$2),0)-(SUM(X23,X37,X63)-SUM(X23,X37,X63)/1.21)</f>
        <v>-23597.451471074397</v>
      </c>
      <c r="AA14" s="231">
        <f>IF(Y12&gt;0,-(SUM(Rentroll!$H$2:$H$4)+Rentroll!$K$2),0)-(SUM(Y23,Y37,Y63)-SUM(Y23,Y37,Y63)/1.21)</f>
        <v>8167.1485289256379</v>
      </c>
      <c r="AB14" s="231">
        <f>IF(Z12&gt;0,-(SUM(Rentroll!$H$2:$H$4)+Rentroll!$K$2),0)-(SUM(Z23,Z37,Z63)-SUM(Z23,Z37,Z63)/1.21)+IF(AA12&gt;0,-(SUM(Rentroll!$H$2:$H$4)+Rentroll!$K$2),0)-(SUM(AA23,AA37,AA63)-SUM(AA23,AA37,AA63)/1.21)+IF(AB12&gt;0,-(SUM(Rentroll!$H$2:$H$4)+Rentroll!$K$2),0)-(SUM(AB23,AB37,AB63)-SUM(AB23,AB37,AB63)/1.21)</f>
        <v>63830.489510975051</v>
      </c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28"/>
      <c r="BY14" s="233">
        <f t="shared" si="0"/>
        <v>729596.52312254522</v>
      </c>
      <c r="BZ14" s="597"/>
      <c r="CA14" s="222"/>
      <c r="CB14" s="233"/>
      <c r="CC14" s="597"/>
      <c r="CD14" s="222"/>
      <c r="CE14" s="222"/>
      <c r="CF14" s="222"/>
      <c r="CG14" s="222"/>
      <c r="CH14" s="222"/>
      <c r="CI14" s="222"/>
      <c r="CJ14" s="222"/>
      <c r="CK14" s="222"/>
      <c r="CL14" s="222"/>
      <c r="CM14" s="222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  <c r="DG14" s="222"/>
      <c r="DH14" s="222"/>
      <c r="DI14" s="222"/>
      <c r="DJ14" s="222"/>
      <c r="DK14" s="222"/>
      <c r="DL14" s="222"/>
      <c r="DM14" s="222"/>
      <c r="DN14" s="222"/>
      <c r="DO14" s="222"/>
      <c r="DP14" s="222"/>
      <c r="DQ14" s="222"/>
      <c r="DR14" s="222"/>
      <c r="DS14" s="222"/>
      <c r="DT14" s="222"/>
      <c r="DU14" s="222"/>
      <c r="DV14" s="222"/>
      <c r="DW14" s="222"/>
      <c r="DX14" s="222"/>
      <c r="DY14" s="222"/>
      <c r="DZ14" s="222"/>
      <c r="EA14" s="222"/>
      <c r="EB14" s="222"/>
      <c r="EC14" s="222"/>
      <c r="ED14" s="222"/>
      <c r="EE14" s="222"/>
      <c r="EF14" s="222"/>
      <c r="EG14" s="222"/>
      <c r="EH14" s="222"/>
    </row>
    <row r="15" spans="1:138">
      <c r="A15" s="505"/>
      <c r="B15" s="599"/>
      <c r="C15" s="234" t="s">
        <v>218</v>
      </c>
      <c r="D15" s="235" t="s">
        <v>217</v>
      </c>
      <c r="E15" s="236"/>
      <c r="F15" s="236"/>
      <c r="G15" s="236"/>
      <c r="H15" s="236"/>
      <c r="I15" s="236"/>
      <c r="J15" s="236"/>
      <c r="K15" s="236"/>
      <c r="L15" s="236"/>
      <c r="M15" s="236"/>
      <c r="N15" s="236"/>
      <c r="O15" s="236"/>
      <c r="P15" s="236">
        <f>17343.33+17343.33+1835.52</f>
        <v>36522.18</v>
      </c>
      <c r="Q15" s="236">
        <f>9100000+2904+5142</f>
        <v>9108046</v>
      </c>
      <c r="R15" s="236">
        <f>2420</f>
        <v>2420</v>
      </c>
      <c r="S15" s="236"/>
      <c r="T15" s="236"/>
      <c r="U15" s="236"/>
      <c r="V15" s="236"/>
      <c r="W15" s="236"/>
      <c r="X15" s="236"/>
      <c r="Y15" s="236"/>
      <c r="Z15" s="236"/>
      <c r="AA15" s="236">
        <f>-Businessplan_prodej!F36</f>
        <v>50000</v>
      </c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36"/>
      <c r="AY15" s="236"/>
      <c r="AZ15" s="236"/>
      <c r="BA15" s="236"/>
      <c r="BB15" s="236"/>
      <c r="BC15" s="236"/>
      <c r="BD15" s="236"/>
      <c r="BE15" s="236"/>
      <c r="BF15" s="236"/>
      <c r="BG15" s="236"/>
      <c r="BH15" s="236"/>
      <c r="BI15" s="236"/>
      <c r="BJ15" s="236"/>
      <c r="BK15" s="236"/>
      <c r="BL15" s="236"/>
      <c r="BM15" s="236"/>
      <c r="BN15" s="236"/>
      <c r="BO15" s="236"/>
      <c r="BP15" s="236"/>
      <c r="BQ15" s="236"/>
      <c r="BR15" s="236"/>
      <c r="BS15" s="236"/>
      <c r="BT15" s="236"/>
      <c r="BU15" s="236"/>
      <c r="BV15" s="236"/>
      <c r="BW15" s="236"/>
      <c r="BX15" s="234"/>
      <c r="BY15" s="237">
        <f t="shared" si="0"/>
        <v>9196988.1799999997</v>
      </c>
      <c r="BZ15" s="602"/>
      <c r="CA15" s="222"/>
      <c r="CB15" s="237"/>
      <c r="CC15" s="602"/>
      <c r="CD15" s="222"/>
      <c r="CE15" s="222"/>
      <c r="CF15" s="222"/>
      <c r="CG15" s="222"/>
      <c r="CH15" s="222"/>
      <c r="CI15" s="222"/>
      <c r="CJ15" s="222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222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222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222"/>
      <c r="EC15" s="222"/>
      <c r="ED15" s="222"/>
      <c r="EE15" s="222"/>
      <c r="EF15" s="222"/>
      <c r="EG15" s="222"/>
      <c r="EH15" s="222"/>
    </row>
    <row r="16" spans="1:138" ht="15.95">
      <c r="A16" s="505"/>
      <c r="B16" s="569" t="s">
        <v>219</v>
      </c>
      <c r="C16" s="592"/>
      <c r="D16" s="242"/>
      <c r="E16" s="243">
        <f t="shared" ref="E16:BX16" si="3">SUM(E5:E15)</f>
        <v>0</v>
      </c>
      <c r="F16" s="243">
        <f t="shared" si="3"/>
        <v>0</v>
      </c>
      <c r="G16" s="243">
        <f t="shared" si="3"/>
        <v>0</v>
      </c>
      <c r="H16" s="243">
        <f t="shared" si="3"/>
        <v>16365002</v>
      </c>
      <c r="I16" s="243">
        <f t="shared" si="3"/>
        <v>6227</v>
      </c>
      <c r="J16" s="243">
        <f t="shared" si="3"/>
        <v>14588</v>
      </c>
      <c r="K16" s="243">
        <f t="shared" si="3"/>
        <v>1342468</v>
      </c>
      <c r="L16" s="243">
        <f t="shared" si="3"/>
        <v>1997517</v>
      </c>
      <c r="M16" s="243">
        <f t="shared" si="3"/>
        <v>10818794.050000001</v>
      </c>
      <c r="N16" s="243">
        <f t="shared" si="3"/>
        <v>19993932.949999999</v>
      </c>
      <c r="O16" s="243">
        <f t="shared" si="3"/>
        <v>9791181.2300000004</v>
      </c>
      <c r="P16" s="243">
        <f t="shared" si="3"/>
        <v>12961756.68</v>
      </c>
      <c r="Q16" s="243">
        <f t="shared" si="3"/>
        <v>12086962.6</v>
      </c>
      <c r="R16" s="243">
        <f t="shared" si="3"/>
        <v>1712883.25</v>
      </c>
      <c r="S16" s="243">
        <f t="shared" si="3"/>
        <v>1260920.99</v>
      </c>
      <c r="T16" s="243">
        <f t="shared" si="3"/>
        <v>497984.26800000004</v>
      </c>
      <c r="U16" s="243">
        <f t="shared" si="3"/>
        <v>489361.42314049572</v>
      </c>
      <c r="V16" s="243">
        <f t="shared" si="3"/>
        <v>6675777.9891999997</v>
      </c>
      <c r="W16" s="243">
        <f t="shared" si="3"/>
        <v>7299496.7199999997</v>
      </c>
      <c r="X16" s="243">
        <f t="shared" si="3"/>
        <v>7810856.7702884292</v>
      </c>
      <c r="Y16" s="243">
        <f t="shared" si="3"/>
        <v>5164897.6849247934</v>
      </c>
      <c r="Z16" s="243">
        <f t="shared" si="3"/>
        <v>6080704.5684289252</v>
      </c>
      <c r="AA16" s="243">
        <f t="shared" si="3"/>
        <v>3701523.5529955924</v>
      </c>
      <c r="AB16" s="243">
        <f t="shared" si="3"/>
        <v>140012036.05397758</v>
      </c>
      <c r="AC16" s="243">
        <f t="shared" si="3"/>
        <v>0</v>
      </c>
      <c r="AD16" s="243">
        <f t="shared" si="3"/>
        <v>5386482</v>
      </c>
      <c r="AE16" s="243">
        <f t="shared" si="3"/>
        <v>-5386482</v>
      </c>
      <c r="AF16" s="243">
        <f t="shared" si="3"/>
        <v>0</v>
      </c>
      <c r="AG16" s="243">
        <f t="shared" si="3"/>
        <v>0</v>
      </c>
      <c r="AH16" s="243">
        <f t="shared" si="3"/>
        <v>0</v>
      </c>
      <c r="AI16" s="243">
        <f t="shared" si="3"/>
        <v>0</v>
      </c>
      <c r="AJ16" s="243">
        <f t="shared" si="3"/>
        <v>0</v>
      </c>
      <c r="AK16" s="243">
        <f t="shared" si="3"/>
        <v>0</v>
      </c>
      <c r="AL16" s="243">
        <f t="shared" si="3"/>
        <v>0</v>
      </c>
      <c r="AM16" s="243">
        <f t="shared" si="3"/>
        <v>0</v>
      </c>
      <c r="AN16" s="243">
        <f t="shared" si="3"/>
        <v>0</v>
      </c>
      <c r="AO16" s="243">
        <f t="shared" si="3"/>
        <v>0</v>
      </c>
      <c r="AP16" s="243">
        <f t="shared" si="3"/>
        <v>0</v>
      </c>
      <c r="AQ16" s="243">
        <f t="shared" si="3"/>
        <v>0</v>
      </c>
      <c r="AR16" s="243">
        <f t="shared" si="3"/>
        <v>0</v>
      </c>
      <c r="AS16" s="243">
        <f t="shared" si="3"/>
        <v>0</v>
      </c>
      <c r="AT16" s="243">
        <f t="shared" si="3"/>
        <v>0</v>
      </c>
      <c r="AU16" s="243">
        <f t="shared" si="3"/>
        <v>0</v>
      </c>
      <c r="AV16" s="243">
        <f t="shared" si="3"/>
        <v>0</v>
      </c>
      <c r="AW16" s="243">
        <f t="shared" si="3"/>
        <v>0</v>
      </c>
      <c r="AX16" s="243">
        <f t="shared" si="3"/>
        <v>0</v>
      </c>
      <c r="AY16" s="243">
        <f t="shared" si="3"/>
        <v>0</v>
      </c>
      <c r="AZ16" s="243">
        <f t="shared" si="3"/>
        <v>0</v>
      </c>
      <c r="BA16" s="243">
        <f t="shared" si="3"/>
        <v>0</v>
      </c>
      <c r="BB16" s="243">
        <f t="shared" si="3"/>
        <v>0</v>
      </c>
      <c r="BC16" s="243">
        <f t="shared" si="3"/>
        <v>0</v>
      </c>
      <c r="BD16" s="243">
        <f t="shared" si="3"/>
        <v>0</v>
      </c>
      <c r="BE16" s="243">
        <f t="shared" si="3"/>
        <v>0</v>
      </c>
      <c r="BF16" s="243">
        <f t="shared" si="3"/>
        <v>0</v>
      </c>
      <c r="BG16" s="243">
        <f t="shared" si="3"/>
        <v>0</v>
      </c>
      <c r="BH16" s="243">
        <f t="shared" si="3"/>
        <v>0</v>
      </c>
      <c r="BI16" s="243">
        <f t="shared" si="3"/>
        <v>0</v>
      </c>
      <c r="BJ16" s="243">
        <f t="shared" si="3"/>
        <v>0</v>
      </c>
      <c r="BK16" s="243">
        <f t="shared" si="3"/>
        <v>0</v>
      </c>
      <c r="BL16" s="243">
        <f t="shared" si="3"/>
        <v>0</v>
      </c>
      <c r="BM16" s="243">
        <f t="shared" si="3"/>
        <v>0</v>
      </c>
      <c r="BN16" s="243">
        <f t="shared" si="3"/>
        <v>0</v>
      </c>
      <c r="BO16" s="243">
        <f t="shared" si="3"/>
        <v>0</v>
      </c>
      <c r="BP16" s="243">
        <f t="shared" si="3"/>
        <v>0</v>
      </c>
      <c r="BQ16" s="243">
        <f t="shared" si="3"/>
        <v>0</v>
      </c>
      <c r="BR16" s="243">
        <f t="shared" si="3"/>
        <v>0</v>
      </c>
      <c r="BS16" s="243">
        <f t="shared" si="3"/>
        <v>0</v>
      </c>
      <c r="BT16" s="243">
        <f t="shared" si="3"/>
        <v>0</v>
      </c>
      <c r="BU16" s="243">
        <f t="shared" si="3"/>
        <v>0</v>
      </c>
      <c r="BV16" s="243">
        <f t="shared" si="3"/>
        <v>0</v>
      </c>
      <c r="BW16" s="243">
        <f t="shared" si="3"/>
        <v>0</v>
      </c>
      <c r="BX16" s="243">
        <f t="shared" si="3"/>
        <v>0</v>
      </c>
      <c r="BY16" s="563">
        <f>BZ5+BZ9+BZ12</f>
        <v>266084872.78095585</v>
      </c>
      <c r="BZ16" s="592"/>
      <c r="CA16" s="222"/>
      <c r="CB16" s="563">
        <f>CC5+CC9+CC12</f>
        <v>0</v>
      </c>
      <c r="CC16" s="592"/>
      <c r="CD16" s="222"/>
      <c r="CE16" s="222"/>
      <c r="CF16" s="222"/>
      <c r="CG16" s="222"/>
      <c r="CH16" s="222"/>
      <c r="CI16" s="222"/>
      <c r="CJ16" s="222"/>
      <c r="CK16" s="222"/>
      <c r="CL16" s="222"/>
      <c r="CM16" s="222"/>
      <c r="CN16" s="222"/>
      <c r="CO16" s="222"/>
      <c r="CP16" s="222"/>
      <c r="CQ16" s="222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2"/>
      <c r="DI16" s="222"/>
      <c r="DJ16" s="222"/>
      <c r="DK16" s="222"/>
      <c r="DL16" s="222"/>
      <c r="DM16" s="222"/>
      <c r="DN16" s="222"/>
      <c r="DO16" s="222"/>
      <c r="DP16" s="222"/>
      <c r="DQ16" s="222"/>
      <c r="DR16" s="222"/>
      <c r="DS16" s="222"/>
      <c r="DT16" s="222"/>
      <c r="DU16" s="222"/>
      <c r="DV16" s="222"/>
      <c r="DW16" s="222"/>
      <c r="DX16" s="222"/>
      <c r="DY16" s="222"/>
      <c r="DZ16" s="222"/>
      <c r="EA16" s="222"/>
      <c r="EB16" s="222"/>
      <c r="EC16" s="222"/>
      <c r="ED16" s="222"/>
      <c r="EE16" s="222"/>
      <c r="EF16" s="222"/>
      <c r="EG16" s="222"/>
      <c r="EH16" s="222"/>
    </row>
    <row r="17" spans="1:138" ht="15.95" collapsed="1">
      <c r="A17" s="505"/>
      <c r="B17" s="570" t="s">
        <v>220</v>
      </c>
      <c r="C17" s="244" t="s">
        <v>221</v>
      </c>
      <c r="D17" s="245"/>
      <c r="E17" s="246">
        <f t="shared" ref="E17:BY17" si="4">SUM(E18:E22)</f>
        <v>0</v>
      </c>
      <c r="F17" s="246">
        <f t="shared" si="4"/>
        <v>0</v>
      </c>
      <c r="G17" s="246">
        <f t="shared" si="4"/>
        <v>0</v>
      </c>
      <c r="H17" s="246">
        <f t="shared" si="4"/>
        <v>-10620712</v>
      </c>
      <c r="I17" s="246">
        <f t="shared" si="4"/>
        <v>0</v>
      </c>
      <c r="J17" s="246">
        <f t="shared" si="4"/>
        <v>-808333</v>
      </c>
      <c r="K17" s="246">
        <f t="shared" si="4"/>
        <v>0</v>
      </c>
      <c r="L17" s="246">
        <f t="shared" si="4"/>
        <v>0</v>
      </c>
      <c r="M17" s="246">
        <f t="shared" si="4"/>
        <v>0</v>
      </c>
      <c r="N17" s="246">
        <f t="shared" si="4"/>
        <v>0</v>
      </c>
      <c r="O17" s="246">
        <f t="shared" si="4"/>
        <v>0</v>
      </c>
      <c r="P17" s="246">
        <f t="shared" si="4"/>
        <v>0</v>
      </c>
      <c r="Q17" s="246">
        <f t="shared" si="4"/>
        <v>0</v>
      </c>
      <c r="R17" s="246">
        <f t="shared" si="4"/>
        <v>0</v>
      </c>
      <c r="S17" s="246">
        <f t="shared" si="4"/>
        <v>0</v>
      </c>
      <c r="T17" s="246">
        <f t="shared" si="4"/>
        <v>0</v>
      </c>
      <c r="U17" s="246">
        <f t="shared" si="4"/>
        <v>0</v>
      </c>
      <c r="V17" s="246">
        <f t="shared" si="4"/>
        <v>0</v>
      </c>
      <c r="W17" s="246">
        <f t="shared" si="4"/>
        <v>0</v>
      </c>
      <c r="X17" s="246">
        <f t="shared" si="4"/>
        <v>0</v>
      </c>
      <c r="Y17" s="246">
        <f t="shared" si="4"/>
        <v>0</v>
      </c>
      <c r="Z17" s="246">
        <f t="shared" si="4"/>
        <v>0</v>
      </c>
      <c r="AA17" s="246">
        <f t="shared" si="4"/>
        <v>0</v>
      </c>
      <c r="AB17" s="246">
        <f t="shared" si="4"/>
        <v>0</v>
      </c>
      <c r="AC17" s="246">
        <f t="shared" si="4"/>
        <v>0</v>
      </c>
      <c r="AD17" s="246">
        <f t="shared" si="4"/>
        <v>0</v>
      </c>
      <c r="AE17" s="246">
        <f t="shared" si="4"/>
        <v>0</v>
      </c>
      <c r="AF17" s="246">
        <f t="shared" si="4"/>
        <v>0</v>
      </c>
      <c r="AG17" s="246">
        <f t="shared" si="4"/>
        <v>0</v>
      </c>
      <c r="AH17" s="246">
        <f t="shared" si="4"/>
        <v>0</v>
      </c>
      <c r="AI17" s="246">
        <f t="shared" si="4"/>
        <v>0</v>
      </c>
      <c r="AJ17" s="246">
        <f t="shared" si="4"/>
        <v>0</v>
      </c>
      <c r="AK17" s="246">
        <f t="shared" si="4"/>
        <v>0</v>
      </c>
      <c r="AL17" s="246">
        <f t="shared" si="4"/>
        <v>0</v>
      </c>
      <c r="AM17" s="246">
        <f t="shared" si="4"/>
        <v>0</v>
      </c>
      <c r="AN17" s="246">
        <f t="shared" si="4"/>
        <v>0</v>
      </c>
      <c r="AO17" s="246">
        <f t="shared" si="4"/>
        <v>0</v>
      </c>
      <c r="AP17" s="246">
        <f t="shared" si="4"/>
        <v>0</v>
      </c>
      <c r="AQ17" s="246">
        <f t="shared" si="4"/>
        <v>0</v>
      </c>
      <c r="AR17" s="246">
        <f t="shared" si="4"/>
        <v>0</v>
      </c>
      <c r="AS17" s="246">
        <f t="shared" si="4"/>
        <v>0</v>
      </c>
      <c r="AT17" s="246">
        <f t="shared" si="4"/>
        <v>0</v>
      </c>
      <c r="AU17" s="246">
        <f t="shared" si="4"/>
        <v>0</v>
      </c>
      <c r="AV17" s="246">
        <f t="shared" si="4"/>
        <v>0</v>
      </c>
      <c r="AW17" s="246">
        <f t="shared" si="4"/>
        <v>0</v>
      </c>
      <c r="AX17" s="246">
        <f t="shared" si="4"/>
        <v>0</v>
      </c>
      <c r="AY17" s="246">
        <f t="shared" si="4"/>
        <v>0</v>
      </c>
      <c r="AZ17" s="246">
        <f t="shared" si="4"/>
        <v>0</v>
      </c>
      <c r="BA17" s="246">
        <f t="shared" si="4"/>
        <v>0</v>
      </c>
      <c r="BB17" s="246">
        <f t="shared" si="4"/>
        <v>0</v>
      </c>
      <c r="BC17" s="246">
        <f t="shared" si="4"/>
        <v>0</v>
      </c>
      <c r="BD17" s="246">
        <f t="shared" si="4"/>
        <v>0</v>
      </c>
      <c r="BE17" s="246">
        <f t="shared" si="4"/>
        <v>0</v>
      </c>
      <c r="BF17" s="246">
        <f t="shared" si="4"/>
        <v>0</v>
      </c>
      <c r="BG17" s="246">
        <f t="shared" si="4"/>
        <v>0</v>
      </c>
      <c r="BH17" s="246">
        <f t="shared" si="4"/>
        <v>0</v>
      </c>
      <c r="BI17" s="246">
        <f t="shared" si="4"/>
        <v>0</v>
      </c>
      <c r="BJ17" s="246">
        <f t="shared" si="4"/>
        <v>0</v>
      </c>
      <c r="BK17" s="246">
        <f t="shared" si="4"/>
        <v>0</v>
      </c>
      <c r="BL17" s="246">
        <f t="shared" si="4"/>
        <v>0</v>
      </c>
      <c r="BM17" s="246">
        <f t="shared" si="4"/>
        <v>0</v>
      </c>
      <c r="BN17" s="246">
        <f t="shared" si="4"/>
        <v>0</v>
      </c>
      <c r="BO17" s="246">
        <f t="shared" si="4"/>
        <v>0</v>
      </c>
      <c r="BP17" s="246">
        <f t="shared" si="4"/>
        <v>0</v>
      </c>
      <c r="BQ17" s="246">
        <f t="shared" si="4"/>
        <v>0</v>
      </c>
      <c r="BR17" s="246">
        <f t="shared" si="4"/>
        <v>0</v>
      </c>
      <c r="BS17" s="246">
        <f t="shared" si="4"/>
        <v>0</v>
      </c>
      <c r="BT17" s="246">
        <f t="shared" si="4"/>
        <v>0</v>
      </c>
      <c r="BU17" s="246">
        <f t="shared" si="4"/>
        <v>0</v>
      </c>
      <c r="BV17" s="246">
        <f t="shared" si="4"/>
        <v>0</v>
      </c>
      <c r="BW17" s="246">
        <f t="shared" si="4"/>
        <v>0</v>
      </c>
      <c r="BX17" s="246">
        <f t="shared" si="4"/>
        <v>0</v>
      </c>
      <c r="BY17" s="247">
        <f t="shared" si="4"/>
        <v>-11429045</v>
      </c>
      <c r="BZ17" s="562">
        <f>BY17+BY23+BY26+BY34+BY37+BY49+BY55+BY63+BY87</f>
        <v>-123130792.61202553</v>
      </c>
      <c r="CA17" s="222"/>
      <c r="CB17" s="248"/>
      <c r="CC17" s="562"/>
      <c r="CD17" s="222"/>
      <c r="CE17" s="222"/>
      <c r="CF17" s="222"/>
      <c r="CG17" s="222"/>
      <c r="CH17" s="222"/>
      <c r="CI17" s="222"/>
      <c r="CJ17" s="222"/>
      <c r="CK17" s="222"/>
      <c r="CL17" s="222"/>
      <c r="CM17" s="222"/>
      <c r="CN17" s="222"/>
      <c r="CO17" s="222"/>
      <c r="CP17" s="222"/>
      <c r="CQ17" s="222"/>
      <c r="CR17" s="222"/>
      <c r="CS17" s="222"/>
      <c r="CT17" s="222"/>
      <c r="CU17" s="222"/>
      <c r="CV17" s="222"/>
      <c r="CW17" s="222"/>
      <c r="CX17" s="222"/>
      <c r="CY17" s="222"/>
      <c r="CZ17" s="222"/>
      <c r="DA17" s="222"/>
      <c r="DB17" s="222"/>
      <c r="DC17" s="222"/>
      <c r="DD17" s="222"/>
      <c r="DE17" s="222"/>
      <c r="DF17" s="222"/>
      <c r="DG17" s="222"/>
      <c r="DH17" s="222"/>
      <c r="DI17" s="222"/>
      <c r="DJ17" s="222"/>
      <c r="DK17" s="222"/>
      <c r="DL17" s="222"/>
      <c r="DM17" s="222"/>
      <c r="DN17" s="222"/>
      <c r="DO17" s="222"/>
      <c r="DP17" s="222"/>
      <c r="DQ17" s="222"/>
      <c r="DR17" s="222"/>
      <c r="DS17" s="222"/>
      <c r="DT17" s="222"/>
      <c r="DU17" s="222"/>
      <c r="DV17" s="222"/>
      <c r="DW17" s="222"/>
      <c r="DX17" s="222"/>
      <c r="DY17" s="222"/>
      <c r="DZ17" s="222"/>
      <c r="EA17" s="222"/>
      <c r="EB17" s="222"/>
      <c r="EC17" s="222"/>
      <c r="ED17" s="222"/>
      <c r="EE17" s="222"/>
      <c r="EF17" s="222"/>
      <c r="EG17" s="222"/>
      <c r="EH17" s="222"/>
    </row>
    <row r="18" spans="1:138" ht="15.95" hidden="1" outlineLevel="1">
      <c r="A18" s="505"/>
      <c r="B18" s="600"/>
      <c r="C18" s="249" t="s">
        <v>222</v>
      </c>
      <c r="D18" s="250" t="s">
        <v>223</v>
      </c>
      <c r="E18" s="251"/>
      <c r="F18" s="251"/>
      <c r="G18" s="251"/>
      <c r="H18" s="252">
        <f>-8458812-2161900</f>
        <v>-10620712</v>
      </c>
      <c r="I18" s="252"/>
      <c r="J18" s="252">
        <f>-657296-151037</f>
        <v>-808333</v>
      </c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3">
        <f t="shared" ref="BY18:BY22" si="5">SUM(E18:BX18)</f>
        <v>-11429045</v>
      </c>
      <c r="BZ18" s="597"/>
      <c r="CA18" s="222"/>
      <c r="CB18" s="248"/>
      <c r="CC18" s="597"/>
      <c r="CD18" s="222"/>
      <c r="CE18" s="222"/>
      <c r="CF18" s="222"/>
      <c r="CG18" s="222"/>
      <c r="CH18" s="222"/>
      <c r="CI18" s="222"/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  <c r="CT18" s="222"/>
      <c r="CU18" s="222"/>
      <c r="CV18" s="222"/>
      <c r="CW18" s="222"/>
      <c r="CX18" s="222"/>
      <c r="CY18" s="222"/>
      <c r="CZ18" s="222"/>
      <c r="DA18" s="222"/>
      <c r="DB18" s="222"/>
      <c r="DC18" s="222"/>
      <c r="DD18" s="222"/>
      <c r="DE18" s="222"/>
      <c r="DF18" s="222"/>
      <c r="DG18" s="222"/>
      <c r="DH18" s="222"/>
      <c r="DI18" s="222"/>
      <c r="DJ18" s="222"/>
      <c r="DK18" s="222"/>
      <c r="DL18" s="222"/>
      <c r="DM18" s="222"/>
      <c r="DN18" s="222"/>
      <c r="DO18" s="222"/>
      <c r="DP18" s="222"/>
      <c r="DQ18" s="222"/>
      <c r="DR18" s="222"/>
      <c r="DS18" s="222"/>
      <c r="DT18" s="222"/>
      <c r="DU18" s="222"/>
      <c r="DV18" s="222"/>
      <c r="DW18" s="222"/>
      <c r="DX18" s="222"/>
      <c r="DY18" s="222"/>
      <c r="DZ18" s="222"/>
      <c r="EA18" s="222"/>
      <c r="EB18" s="222"/>
      <c r="EC18" s="222"/>
      <c r="ED18" s="222"/>
      <c r="EE18" s="222"/>
      <c r="EF18" s="222"/>
      <c r="EG18" s="222"/>
      <c r="EH18" s="222"/>
    </row>
    <row r="19" spans="1:138" ht="15.95" hidden="1" outlineLevel="1">
      <c r="A19" s="505"/>
      <c r="B19" s="600"/>
      <c r="C19" s="249" t="s">
        <v>224</v>
      </c>
      <c r="D19" s="250" t="s">
        <v>223</v>
      </c>
      <c r="E19" s="251"/>
      <c r="F19" s="251"/>
      <c r="G19" s="251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  <c r="AF19" s="251"/>
      <c r="AG19" s="251"/>
      <c r="AH19" s="251"/>
      <c r="AI19" s="251"/>
      <c r="AJ19" s="251"/>
      <c r="AK19" s="251"/>
      <c r="AL19" s="251"/>
      <c r="AM19" s="251"/>
      <c r="AN19" s="251"/>
      <c r="AO19" s="251"/>
      <c r="AP19" s="251"/>
      <c r="AQ19" s="251"/>
      <c r="AR19" s="251"/>
      <c r="AS19" s="251"/>
      <c r="AT19" s="251"/>
      <c r="AU19" s="251"/>
      <c r="AV19" s="251"/>
      <c r="AW19" s="251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3">
        <f t="shared" si="5"/>
        <v>0</v>
      </c>
      <c r="BZ19" s="597"/>
      <c r="CA19" s="222"/>
      <c r="CB19" s="248"/>
      <c r="CC19" s="597"/>
      <c r="CD19" s="222"/>
      <c r="CE19" s="222"/>
      <c r="CF19" s="222"/>
      <c r="CG19" s="222"/>
      <c r="CH19" s="222"/>
      <c r="CI19" s="222"/>
      <c r="CJ19" s="222"/>
      <c r="CK19" s="222"/>
      <c r="CL19" s="222"/>
      <c r="CM19" s="222"/>
      <c r="CN19" s="222"/>
      <c r="CO19" s="222"/>
      <c r="CP19" s="222"/>
      <c r="CQ19" s="222"/>
      <c r="CR19" s="222"/>
      <c r="CS19" s="222"/>
      <c r="CT19" s="222"/>
      <c r="CU19" s="222"/>
      <c r="CV19" s="222"/>
      <c r="CW19" s="222"/>
      <c r="CX19" s="222"/>
      <c r="CY19" s="222"/>
      <c r="CZ19" s="222"/>
      <c r="DA19" s="222"/>
      <c r="DB19" s="222"/>
      <c r="DC19" s="222"/>
      <c r="DD19" s="222"/>
      <c r="DE19" s="222"/>
      <c r="DF19" s="222"/>
      <c r="DG19" s="222"/>
      <c r="DH19" s="222"/>
      <c r="DI19" s="222"/>
      <c r="DJ19" s="222"/>
      <c r="DK19" s="222"/>
      <c r="DL19" s="222"/>
      <c r="DM19" s="222"/>
      <c r="DN19" s="222"/>
      <c r="DO19" s="222"/>
      <c r="DP19" s="222"/>
      <c r="DQ19" s="222"/>
      <c r="DR19" s="222"/>
      <c r="DS19" s="222"/>
      <c r="DT19" s="222"/>
      <c r="DU19" s="222"/>
      <c r="DV19" s="222"/>
      <c r="DW19" s="222"/>
      <c r="DX19" s="222"/>
      <c r="DY19" s="222"/>
      <c r="DZ19" s="222"/>
      <c r="EA19" s="222"/>
      <c r="EB19" s="222"/>
      <c r="EC19" s="222"/>
      <c r="ED19" s="222"/>
      <c r="EE19" s="222"/>
      <c r="EF19" s="222"/>
      <c r="EG19" s="222"/>
      <c r="EH19" s="222"/>
    </row>
    <row r="20" spans="1:138" ht="15.95" hidden="1" outlineLevel="1">
      <c r="A20" s="505"/>
      <c r="B20" s="600"/>
      <c r="C20" s="249" t="s">
        <v>225</v>
      </c>
      <c r="D20" s="250" t="s">
        <v>223</v>
      </c>
      <c r="E20" s="251"/>
      <c r="F20" s="251"/>
      <c r="G20" s="251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3">
        <f t="shared" si="5"/>
        <v>0</v>
      </c>
      <c r="BZ20" s="597"/>
      <c r="CA20" s="222"/>
      <c r="CB20" s="248"/>
      <c r="CC20" s="597"/>
      <c r="CD20" s="222"/>
      <c r="CE20" s="222"/>
      <c r="CF20" s="222"/>
      <c r="CG20" s="222"/>
      <c r="CH20" s="222"/>
      <c r="CI20" s="222"/>
      <c r="CJ20" s="222"/>
      <c r="CK20" s="222"/>
      <c r="CL20" s="222"/>
      <c r="CM20" s="222"/>
      <c r="CN20" s="222"/>
      <c r="CO20" s="222"/>
      <c r="CP20" s="222"/>
      <c r="CQ20" s="222"/>
      <c r="CR20" s="222"/>
      <c r="CS20" s="222"/>
      <c r="CT20" s="222"/>
      <c r="CU20" s="222"/>
      <c r="CV20" s="222"/>
      <c r="CW20" s="222"/>
      <c r="CX20" s="222"/>
      <c r="CY20" s="222"/>
      <c r="CZ20" s="222"/>
      <c r="DA20" s="222"/>
      <c r="DB20" s="222"/>
      <c r="DC20" s="222"/>
      <c r="DD20" s="222"/>
      <c r="DE20" s="222"/>
      <c r="DF20" s="222"/>
      <c r="DG20" s="222"/>
      <c r="DH20" s="222"/>
      <c r="DI20" s="222"/>
      <c r="DJ20" s="222"/>
      <c r="DK20" s="222"/>
      <c r="DL20" s="222"/>
      <c r="DM20" s="222"/>
      <c r="DN20" s="222"/>
      <c r="DO20" s="222"/>
      <c r="DP20" s="222"/>
      <c r="DQ20" s="222"/>
      <c r="DR20" s="222"/>
      <c r="DS20" s="222"/>
      <c r="DT20" s="222"/>
      <c r="DU20" s="222"/>
      <c r="DV20" s="222"/>
      <c r="DW20" s="222"/>
      <c r="DX20" s="222"/>
      <c r="DY20" s="222"/>
      <c r="DZ20" s="222"/>
      <c r="EA20" s="222"/>
      <c r="EB20" s="222"/>
      <c r="EC20" s="222"/>
      <c r="ED20" s="222"/>
      <c r="EE20" s="222"/>
      <c r="EF20" s="222"/>
      <c r="EG20" s="222"/>
      <c r="EH20" s="222"/>
    </row>
    <row r="21" spans="1:138" ht="15.95" hidden="1" outlineLevel="1">
      <c r="A21" s="505"/>
      <c r="B21" s="600"/>
      <c r="C21" s="249" t="s">
        <v>226</v>
      </c>
      <c r="D21" s="250" t="s">
        <v>223</v>
      </c>
      <c r="E21" s="251"/>
      <c r="F21" s="251"/>
      <c r="G21" s="251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3">
        <f t="shared" si="5"/>
        <v>0</v>
      </c>
      <c r="BZ21" s="597"/>
      <c r="CA21" s="222"/>
      <c r="CB21" s="248"/>
      <c r="CC21" s="597"/>
      <c r="CD21" s="222"/>
      <c r="CE21" s="222"/>
      <c r="CF21" s="222"/>
      <c r="CG21" s="222"/>
      <c r="CH21" s="222"/>
      <c r="CI21" s="222"/>
      <c r="CJ21" s="222"/>
      <c r="CK21" s="222"/>
      <c r="CL21" s="222"/>
      <c r="CM21" s="222"/>
      <c r="CN21" s="222"/>
      <c r="CO21" s="222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22"/>
      <c r="DE21" s="222"/>
      <c r="DF21" s="222"/>
      <c r="DG21" s="222"/>
      <c r="DH21" s="222"/>
      <c r="DI21" s="222"/>
      <c r="DJ21" s="222"/>
      <c r="DK21" s="222"/>
      <c r="DL21" s="222"/>
      <c r="DM21" s="222"/>
      <c r="DN21" s="222"/>
      <c r="DO21" s="222"/>
      <c r="DP21" s="222"/>
      <c r="DQ21" s="222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</row>
    <row r="22" spans="1:138" ht="15.95" hidden="1" outlineLevel="1">
      <c r="A22" s="505"/>
      <c r="B22" s="600"/>
      <c r="C22" s="249" t="s">
        <v>227</v>
      </c>
      <c r="D22" s="254" t="s">
        <v>223</v>
      </c>
      <c r="E22" s="251"/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3">
        <f t="shared" si="5"/>
        <v>0</v>
      </c>
      <c r="BZ22" s="597"/>
      <c r="CA22" s="222"/>
      <c r="CB22" s="248"/>
      <c r="CC22" s="597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22"/>
      <c r="CX22" s="222"/>
      <c r="CY22" s="222"/>
      <c r="CZ22" s="222"/>
      <c r="DA22" s="222"/>
      <c r="DB22" s="222"/>
      <c r="DC22" s="222"/>
      <c r="DD22" s="222"/>
      <c r="DE22" s="222"/>
      <c r="DF22" s="222"/>
      <c r="DG22" s="222"/>
      <c r="DH22" s="222"/>
      <c r="DI22" s="222"/>
      <c r="DJ22" s="222"/>
      <c r="DK22" s="222"/>
      <c r="DL22" s="222"/>
      <c r="DM22" s="222"/>
      <c r="DN22" s="222"/>
      <c r="DO22" s="222"/>
      <c r="DP22" s="222"/>
      <c r="DQ22" s="222"/>
      <c r="DR22" s="222"/>
      <c r="DS22" s="222"/>
      <c r="DT22" s="222"/>
      <c r="DU22" s="222"/>
      <c r="DV22" s="222"/>
      <c r="DW22" s="222"/>
      <c r="DX22" s="222"/>
      <c r="DY22" s="222"/>
      <c r="DZ22" s="222"/>
      <c r="EA22" s="222"/>
      <c r="EB22" s="222"/>
      <c r="EC22" s="222"/>
      <c r="ED22" s="222"/>
      <c r="EE22" s="222"/>
      <c r="EF22" s="222"/>
      <c r="EG22" s="222"/>
      <c r="EH22" s="222"/>
    </row>
    <row r="23" spans="1:138" ht="15.95" collapsed="1">
      <c r="A23" s="505"/>
      <c r="B23" s="600"/>
      <c r="C23" s="244" t="s">
        <v>228</v>
      </c>
      <c r="D23" s="245"/>
      <c r="E23" s="246">
        <f t="shared" ref="E23:BY23" si="6">SUM(E24:E25)</f>
        <v>0</v>
      </c>
      <c r="F23" s="246">
        <f t="shared" si="6"/>
        <v>0</v>
      </c>
      <c r="G23" s="246">
        <f t="shared" si="6"/>
        <v>0</v>
      </c>
      <c r="H23" s="246">
        <f t="shared" si="6"/>
        <v>0</v>
      </c>
      <c r="I23" s="246">
        <f t="shared" si="6"/>
        <v>-366025</v>
      </c>
      <c r="J23" s="246">
        <f t="shared" si="6"/>
        <v>0</v>
      </c>
      <c r="K23" s="246">
        <f t="shared" si="6"/>
        <v>0</v>
      </c>
      <c r="L23" s="246">
        <f t="shared" si="6"/>
        <v>-15913.92</v>
      </c>
      <c r="M23" s="246">
        <f t="shared" si="6"/>
        <v>0</v>
      </c>
      <c r="N23" s="246">
        <f t="shared" si="6"/>
        <v>0</v>
      </c>
      <c r="O23" s="246">
        <f t="shared" si="6"/>
        <v>0</v>
      </c>
      <c r="P23" s="246">
        <f t="shared" si="6"/>
        <v>0</v>
      </c>
      <c r="Q23" s="246">
        <f t="shared" si="6"/>
        <v>-36051</v>
      </c>
      <c r="R23" s="246">
        <f t="shared" si="6"/>
        <v>-314600</v>
      </c>
      <c r="S23" s="246">
        <f t="shared" si="6"/>
        <v>0</v>
      </c>
      <c r="T23" s="246">
        <f t="shared" si="6"/>
        <v>0</v>
      </c>
      <c r="U23" s="246">
        <f t="shared" si="6"/>
        <v>-471900</v>
      </c>
      <c r="V23" s="246">
        <f t="shared" si="6"/>
        <v>0</v>
      </c>
      <c r="W23" s="246">
        <f t="shared" si="6"/>
        <v>0</v>
      </c>
      <c r="X23" s="246">
        <f t="shared" si="6"/>
        <v>0</v>
      </c>
      <c r="Y23" s="246">
        <f t="shared" si="6"/>
        <v>-183024.6</v>
      </c>
      <c r="Z23" s="246">
        <f t="shared" si="6"/>
        <v>0</v>
      </c>
      <c r="AA23" s="246">
        <f t="shared" si="6"/>
        <v>0</v>
      </c>
      <c r="AB23" s="246">
        <f t="shared" si="6"/>
        <v>0</v>
      </c>
      <c r="AC23" s="246">
        <f t="shared" si="6"/>
        <v>0</v>
      </c>
      <c r="AD23" s="246">
        <f t="shared" si="6"/>
        <v>0</v>
      </c>
      <c r="AE23" s="246">
        <f t="shared" si="6"/>
        <v>0</v>
      </c>
      <c r="AF23" s="246">
        <f t="shared" si="6"/>
        <v>0</v>
      </c>
      <c r="AG23" s="246">
        <f t="shared" si="6"/>
        <v>0</v>
      </c>
      <c r="AH23" s="246">
        <f t="shared" si="6"/>
        <v>0</v>
      </c>
      <c r="AI23" s="246">
        <f t="shared" si="6"/>
        <v>0</v>
      </c>
      <c r="AJ23" s="246">
        <f t="shared" si="6"/>
        <v>0</v>
      </c>
      <c r="AK23" s="246">
        <f t="shared" si="6"/>
        <v>0</v>
      </c>
      <c r="AL23" s="246">
        <f t="shared" si="6"/>
        <v>0</v>
      </c>
      <c r="AM23" s="246">
        <f t="shared" si="6"/>
        <v>0</v>
      </c>
      <c r="AN23" s="246">
        <f t="shared" si="6"/>
        <v>0</v>
      </c>
      <c r="AO23" s="246">
        <f t="shared" si="6"/>
        <v>0</v>
      </c>
      <c r="AP23" s="246">
        <f t="shared" si="6"/>
        <v>0</v>
      </c>
      <c r="AQ23" s="246">
        <f t="shared" si="6"/>
        <v>0</v>
      </c>
      <c r="AR23" s="246">
        <f t="shared" si="6"/>
        <v>0</v>
      </c>
      <c r="AS23" s="246">
        <f t="shared" si="6"/>
        <v>0</v>
      </c>
      <c r="AT23" s="246">
        <f t="shared" si="6"/>
        <v>0</v>
      </c>
      <c r="AU23" s="246">
        <f t="shared" si="6"/>
        <v>0</v>
      </c>
      <c r="AV23" s="246">
        <f t="shared" si="6"/>
        <v>0</v>
      </c>
      <c r="AW23" s="246">
        <f t="shared" si="6"/>
        <v>0</v>
      </c>
      <c r="AX23" s="246">
        <f t="shared" si="6"/>
        <v>0</v>
      </c>
      <c r="AY23" s="246">
        <f t="shared" si="6"/>
        <v>0</v>
      </c>
      <c r="AZ23" s="246">
        <f t="shared" si="6"/>
        <v>0</v>
      </c>
      <c r="BA23" s="246">
        <f t="shared" si="6"/>
        <v>0</v>
      </c>
      <c r="BB23" s="246">
        <f t="shared" si="6"/>
        <v>0</v>
      </c>
      <c r="BC23" s="246">
        <f t="shared" si="6"/>
        <v>0</v>
      </c>
      <c r="BD23" s="246">
        <f t="shared" si="6"/>
        <v>0</v>
      </c>
      <c r="BE23" s="246">
        <f t="shared" si="6"/>
        <v>0</v>
      </c>
      <c r="BF23" s="246">
        <f t="shared" si="6"/>
        <v>0</v>
      </c>
      <c r="BG23" s="246">
        <f t="shared" si="6"/>
        <v>0</v>
      </c>
      <c r="BH23" s="246">
        <f t="shared" si="6"/>
        <v>0</v>
      </c>
      <c r="BI23" s="246">
        <f t="shared" si="6"/>
        <v>0</v>
      </c>
      <c r="BJ23" s="246">
        <f t="shared" si="6"/>
        <v>0</v>
      </c>
      <c r="BK23" s="246">
        <f t="shared" si="6"/>
        <v>0</v>
      </c>
      <c r="BL23" s="246">
        <f t="shared" si="6"/>
        <v>0</v>
      </c>
      <c r="BM23" s="246">
        <f t="shared" si="6"/>
        <v>0</v>
      </c>
      <c r="BN23" s="246">
        <f t="shared" si="6"/>
        <v>0</v>
      </c>
      <c r="BO23" s="246">
        <f t="shared" si="6"/>
        <v>0</v>
      </c>
      <c r="BP23" s="246">
        <f t="shared" si="6"/>
        <v>0</v>
      </c>
      <c r="BQ23" s="246">
        <f t="shared" si="6"/>
        <v>0</v>
      </c>
      <c r="BR23" s="246">
        <f t="shared" si="6"/>
        <v>0</v>
      </c>
      <c r="BS23" s="246">
        <f t="shared" si="6"/>
        <v>0</v>
      </c>
      <c r="BT23" s="246">
        <f t="shared" si="6"/>
        <v>0</v>
      </c>
      <c r="BU23" s="246">
        <f t="shared" si="6"/>
        <v>0</v>
      </c>
      <c r="BV23" s="246">
        <f t="shared" si="6"/>
        <v>0</v>
      </c>
      <c r="BW23" s="246">
        <f t="shared" si="6"/>
        <v>0</v>
      </c>
      <c r="BX23" s="246">
        <f t="shared" si="6"/>
        <v>0</v>
      </c>
      <c r="BY23" s="247">
        <f t="shared" si="6"/>
        <v>-1387514.52</v>
      </c>
      <c r="BZ23" s="597"/>
      <c r="CA23" s="222"/>
      <c r="CB23" s="248"/>
      <c r="CC23" s="597"/>
      <c r="CD23" s="222"/>
      <c r="CE23" s="222"/>
      <c r="CF23" s="222"/>
      <c r="CG23" s="222">
        <f>BY5</f>
        <v>16365002</v>
      </c>
      <c r="CH23" s="222"/>
      <c r="CI23" s="222"/>
      <c r="CJ23" s="222"/>
      <c r="CK23" s="222"/>
      <c r="CL23" s="222"/>
      <c r="CM23" s="222"/>
      <c r="CN23" s="222"/>
      <c r="CO23" s="222"/>
      <c r="CP23" s="222"/>
      <c r="CQ23" s="222"/>
      <c r="CR23" s="222"/>
      <c r="CS23" s="222"/>
      <c r="CT23" s="222"/>
      <c r="CU23" s="222"/>
      <c r="CV23" s="222"/>
      <c r="CW23" s="222"/>
      <c r="CX23" s="222"/>
      <c r="CY23" s="222"/>
      <c r="CZ23" s="222"/>
      <c r="DA23" s="222"/>
      <c r="DB23" s="222"/>
      <c r="DC23" s="222"/>
      <c r="DD23" s="222"/>
      <c r="DE23" s="222"/>
      <c r="DF23" s="222"/>
      <c r="DG23" s="222"/>
      <c r="DH23" s="222"/>
      <c r="DI23" s="222"/>
      <c r="DJ23" s="222"/>
      <c r="DK23" s="222"/>
      <c r="DL23" s="222"/>
      <c r="DM23" s="222"/>
      <c r="DN23" s="222"/>
      <c r="DO23" s="222"/>
      <c r="DP23" s="222"/>
      <c r="DQ23" s="222"/>
      <c r="DR23" s="222"/>
      <c r="DS23" s="222"/>
      <c r="DT23" s="222"/>
      <c r="DU23" s="222"/>
      <c r="DV23" s="222"/>
      <c r="DW23" s="222"/>
      <c r="DX23" s="222"/>
      <c r="DY23" s="222"/>
      <c r="DZ23" s="222"/>
      <c r="EA23" s="222"/>
      <c r="EB23" s="222"/>
      <c r="EC23" s="222"/>
      <c r="ED23" s="222"/>
      <c r="EE23" s="222"/>
      <c r="EF23" s="222"/>
      <c r="EG23" s="222"/>
      <c r="EH23" s="222"/>
    </row>
    <row r="24" spans="1:138" ht="15.95" hidden="1" outlineLevel="1">
      <c r="A24" s="505"/>
      <c r="B24" s="600"/>
      <c r="C24" s="249" t="s">
        <v>229</v>
      </c>
      <c r="D24" s="254" t="s">
        <v>223</v>
      </c>
      <c r="E24" s="255"/>
      <c r="F24" s="255"/>
      <c r="G24" s="255"/>
      <c r="H24" s="256"/>
      <c r="I24" s="256">
        <f>-302500*1.21</f>
        <v>-366025</v>
      </c>
      <c r="J24" s="256"/>
      <c r="K24" s="256"/>
      <c r="L24" s="256">
        <f>-15913.92</f>
        <v>-15913.92</v>
      </c>
      <c r="M24" s="256"/>
      <c r="N24" s="256"/>
      <c r="O24" s="256"/>
      <c r="P24" s="256"/>
      <c r="Q24" s="256">
        <f>-36051</f>
        <v>-36051</v>
      </c>
      <c r="R24" s="256">
        <f>-314600</f>
        <v>-314600</v>
      </c>
      <c r="S24" s="256"/>
      <c r="T24" s="256"/>
      <c r="U24" s="332">
        <f>-390000*1.21</f>
        <v>-471900</v>
      </c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255"/>
      <c r="AK24" s="255"/>
      <c r="AL24" s="255"/>
      <c r="AM24" s="255"/>
      <c r="AN24" s="255"/>
      <c r="AO24" s="255"/>
      <c r="AP24" s="255"/>
      <c r="AQ24" s="255"/>
      <c r="AR24" s="255"/>
      <c r="AS24" s="255"/>
      <c r="AT24" s="255"/>
      <c r="AU24" s="255"/>
      <c r="AV24" s="255"/>
      <c r="AW24" s="255"/>
      <c r="AX24" s="255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7">
        <f t="shared" ref="BY24:BY25" si="7">SUM(E24:BX24)</f>
        <v>-1204489.92</v>
      </c>
      <c r="BZ24" s="597"/>
      <c r="CA24" s="222"/>
      <c r="CB24" s="248"/>
      <c r="CC24" s="597"/>
      <c r="CD24" s="222"/>
      <c r="CE24" s="222"/>
      <c r="CF24" s="222"/>
      <c r="CG24" s="238">
        <f>0.11</f>
        <v>0.11</v>
      </c>
      <c r="CH24" s="222"/>
      <c r="CI24" s="222"/>
      <c r="CJ24" s="222"/>
      <c r="CK24" s="222"/>
      <c r="CL24" s="222"/>
      <c r="CM24" s="222"/>
      <c r="CN24" s="222"/>
      <c r="CO24" s="222"/>
      <c r="CP24" s="222"/>
      <c r="CQ24" s="222"/>
      <c r="CR24" s="222"/>
      <c r="CS24" s="222"/>
      <c r="CT24" s="222"/>
      <c r="CU24" s="222"/>
      <c r="CV24" s="222"/>
      <c r="CW24" s="222"/>
      <c r="CX24" s="222"/>
      <c r="CY24" s="222"/>
      <c r="CZ24" s="222"/>
      <c r="DA24" s="222"/>
      <c r="DB24" s="222"/>
      <c r="DC24" s="222"/>
      <c r="DD24" s="222"/>
      <c r="DE24" s="222"/>
      <c r="DF24" s="222"/>
      <c r="DG24" s="222"/>
      <c r="DH24" s="222"/>
      <c r="DI24" s="222"/>
      <c r="DJ24" s="222"/>
      <c r="DK24" s="222"/>
      <c r="DL24" s="222"/>
      <c r="DM24" s="222"/>
      <c r="DN24" s="222"/>
      <c r="DO24" s="222"/>
      <c r="DP24" s="222"/>
      <c r="DQ24" s="222"/>
      <c r="DR24" s="222"/>
      <c r="DS24" s="222"/>
      <c r="DT24" s="222"/>
      <c r="DU24" s="222"/>
      <c r="DV24" s="222"/>
      <c r="DW24" s="222"/>
      <c r="DX24" s="222"/>
      <c r="DY24" s="222"/>
      <c r="DZ24" s="222"/>
      <c r="EA24" s="222"/>
      <c r="EB24" s="222"/>
      <c r="EC24" s="222"/>
      <c r="ED24" s="222"/>
      <c r="EE24" s="222"/>
      <c r="EF24" s="222"/>
      <c r="EG24" s="222"/>
      <c r="EH24" s="222"/>
    </row>
    <row r="25" spans="1:138" ht="15.95" hidden="1" outlineLevel="1">
      <c r="A25" s="505"/>
      <c r="B25" s="600"/>
      <c r="C25" s="249" t="s">
        <v>230</v>
      </c>
      <c r="D25" s="254" t="s">
        <v>223</v>
      </c>
      <c r="E25" s="255"/>
      <c r="F25" s="255"/>
      <c r="G25" s="255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5"/>
      <c r="V25" s="256"/>
      <c r="W25" s="256"/>
      <c r="X25" s="256"/>
      <c r="Y25" s="256">
        <f>-Businessplan_prodej!$F$22*1.21</f>
        <v>-183024.6</v>
      </c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255"/>
      <c r="AK25" s="255"/>
      <c r="AL25" s="255"/>
      <c r="AM25" s="255"/>
      <c r="AN25" s="255"/>
      <c r="AO25" s="255"/>
      <c r="AP25" s="255"/>
      <c r="AQ25" s="255"/>
      <c r="AR25" s="255"/>
      <c r="AS25" s="255"/>
      <c r="AT25" s="255"/>
      <c r="AU25" s="255"/>
      <c r="AV25" s="255"/>
      <c r="AW25" s="255"/>
      <c r="AX25" s="255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7">
        <f t="shared" si="7"/>
        <v>-183024.6</v>
      </c>
      <c r="BZ25" s="597"/>
      <c r="CA25" s="222"/>
      <c r="CB25" s="248"/>
      <c r="CC25" s="597"/>
      <c r="CD25" s="222"/>
      <c r="CE25" s="222"/>
      <c r="CF25" s="222"/>
      <c r="CG25" s="258">
        <v>45597</v>
      </c>
      <c r="CH25" s="222"/>
      <c r="CI25" s="222"/>
      <c r="CJ25" s="222"/>
      <c r="CK25" s="222"/>
      <c r="CL25" s="222"/>
      <c r="CM25" s="222"/>
      <c r="CN25" s="222"/>
      <c r="CO25" s="222"/>
      <c r="CP25" s="222"/>
      <c r="CQ25" s="222"/>
      <c r="CR25" s="222"/>
      <c r="CS25" s="222"/>
      <c r="CT25" s="222"/>
      <c r="CU25" s="222"/>
      <c r="CV25" s="222"/>
      <c r="CW25" s="222"/>
      <c r="CX25" s="222"/>
      <c r="CY25" s="222"/>
      <c r="CZ25" s="222"/>
      <c r="DA25" s="222"/>
      <c r="DB25" s="222"/>
      <c r="DC25" s="222"/>
      <c r="DD25" s="222"/>
      <c r="DE25" s="222"/>
      <c r="DF25" s="222"/>
      <c r="DG25" s="222"/>
      <c r="DH25" s="222"/>
      <c r="DI25" s="222"/>
      <c r="DJ25" s="222"/>
      <c r="DK25" s="222"/>
      <c r="DL25" s="222"/>
      <c r="DM25" s="222"/>
      <c r="DN25" s="222"/>
      <c r="DO25" s="222"/>
      <c r="DP25" s="222"/>
      <c r="DQ25" s="222"/>
      <c r="DR25" s="222"/>
      <c r="DS25" s="222"/>
      <c r="DT25" s="222"/>
      <c r="DU25" s="222"/>
      <c r="DV25" s="222"/>
      <c r="DW25" s="222"/>
      <c r="DX25" s="222"/>
      <c r="DY25" s="222"/>
      <c r="DZ25" s="222"/>
      <c r="EA25" s="222"/>
      <c r="EB25" s="222"/>
      <c r="EC25" s="222"/>
      <c r="ED25" s="222"/>
      <c r="EE25" s="222"/>
      <c r="EF25" s="222"/>
      <c r="EG25" s="222"/>
      <c r="EH25" s="222"/>
    </row>
    <row r="26" spans="1:138" ht="15.95">
      <c r="A26" s="505"/>
      <c r="B26" s="600"/>
      <c r="C26" s="244" t="s">
        <v>231</v>
      </c>
      <c r="D26" s="245"/>
      <c r="E26" s="246">
        <f t="shared" ref="E26:BX26" si="8">SUM(E27:E33)</f>
        <v>0</v>
      </c>
      <c r="F26" s="246">
        <f t="shared" si="8"/>
        <v>0</v>
      </c>
      <c r="G26" s="246">
        <f t="shared" si="8"/>
        <v>0</v>
      </c>
      <c r="H26" s="246">
        <f t="shared" si="8"/>
        <v>-2420</v>
      </c>
      <c r="I26" s="246">
        <f t="shared" si="8"/>
        <v>-1081909</v>
      </c>
      <c r="J26" s="246">
        <f t="shared" si="8"/>
        <v>0</v>
      </c>
      <c r="K26" s="246">
        <f t="shared" si="8"/>
        <v>0</v>
      </c>
      <c r="L26" s="246">
        <f t="shared" si="8"/>
        <v>-4688041</v>
      </c>
      <c r="M26" s="246">
        <f t="shared" si="8"/>
        <v>-10044501.530000001</v>
      </c>
      <c r="N26" s="246">
        <f t="shared" si="8"/>
        <v>-19919080.57</v>
      </c>
      <c r="O26" s="246">
        <f t="shared" si="8"/>
        <v>-9000862.4199999999</v>
      </c>
      <c r="P26" s="246">
        <f t="shared" si="8"/>
        <v>-12065344.113</v>
      </c>
      <c r="Q26" s="246">
        <f t="shared" si="8"/>
        <v>-2929659.3669999987</v>
      </c>
      <c r="R26" s="246">
        <f t="shared" si="8"/>
        <v>-1499970</v>
      </c>
      <c r="S26" s="246">
        <f t="shared" si="8"/>
        <v>0</v>
      </c>
      <c r="T26" s="246">
        <f t="shared" si="8"/>
        <v>0</v>
      </c>
      <c r="U26" s="246">
        <f t="shared" si="8"/>
        <v>0</v>
      </c>
      <c r="V26" s="246">
        <f t="shared" si="8"/>
        <v>-6300000</v>
      </c>
      <c r="W26" s="246">
        <f t="shared" si="8"/>
        <v>-6326000</v>
      </c>
      <c r="X26" s="246">
        <f t="shared" si="8"/>
        <v>-7021400</v>
      </c>
      <c r="Y26" s="246">
        <f t="shared" si="8"/>
        <v>-4401400</v>
      </c>
      <c r="Z26" s="246">
        <f t="shared" si="8"/>
        <v>-3141400</v>
      </c>
      <c r="AA26" s="246">
        <f t="shared" si="8"/>
        <v>-3421400</v>
      </c>
      <c r="AB26" s="246">
        <f t="shared" si="8"/>
        <v>0</v>
      </c>
      <c r="AC26" s="246">
        <f t="shared" si="8"/>
        <v>0</v>
      </c>
      <c r="AD26" s="246">
        <f t="shared" si="8"/>
        <v>0</v>
      </c>
      <c r="AE26" s="246">
        <f t="shared" si="8"/>
        <v>0</v>
      </c>
      <c r="AF26" s="246">
        <f t="shared" si="8"/>
        <v>0</v>
      </c>
      <c r="AG26" s="246">
        <f t="shared" si="8"/>
        <v>0</v>
      </c>
      <c r="AH26" s="246">
        <f t="shared" si="8"/>
        <v>0</v>
      </c>
      <c r="AI26" s="246">
        <f t="shared" si="8"/>
        <v>0</v>
      </c>
      <c r="AJ26" s="246">
        <f t="shared" si="8"/>
        <v>0</v>
      </c>
      <c r="AK26" s="246">
        <f t="shared" si="8"/>
        <v>0</v>
      </c>
      <c r="AL26" s="246">
        <f t="shared" si="8"/>
        <v>0</v>
      </c>
      <c r="AM26" s="246">
        <f t="shared" si="8"/>
        <v>0</v>
      </c>
      <c r="AN26" s="246">
        <f t="shared" si="8"/>
        <v>0</v>
      </c>
      <c r="AO26" s="246">
        <f t="shared" si="8"/>
        <v>0</v>
      </c>
      <c r="AP26" s="246">
        <f t="shared" si="8"/>
        <v>0</v>
      </c>
      <c r="AQ26" s="246">
        <f t="shared" si="8"/>
        <v>0</v>
      </c>
      <c r="AR26" s="246">
        <f t="shared" si="8"/>
        <v>0</v>
      </c>
      <c r="AS26" s="246">
        <f t="shared" si="8"/>
        <v>0</v>
      </c>
      <c r="AT26" s="246">
        <f t="shared" si="8"/>
        <v>0</v>
      </c>
      <c r="AU26" s="246">
        <f t="shared" si="8"/>
        <v>0</v>
      </c>
      <c r="AV26" s="246">
        <f t="shared" si="8"/>
        <v>0</v>
      </c>
      <c r="AW26" s="246">
        <f t="shared" si="8"/>
        <v>0</v>
      </c>
      <c r="AX26" s="246">
        <f t="shared" si="8"/>
        <v>0</v>
      </c>
      <c r="AY26" s="246">
        <f t="shared" si="8"/>
        <v>0</v>
      </c>
      <c r="AZ26" s="246">
        <f t="shared" si="8"/>
        <v>0</v>
      </c>
      <c r="BA26" s="246">
        <f t="shared" si="8"/>
        <v>0</v>
      </c>
      <c r="BB26" s="246">
        <f t="shared" si="8"/>
        <v>0</v>
      </c>
      <c r="BC26" s="246">
        <f t="shared" si="8"/>
        <v>0</v>
      </c>
      <c r="BD26" s="246">
        <f t="shared" si="8"/>
        <v>0</v>
      </c>
      <c r="BE26" s="246">
        <f t="shared" si="8"/>
        <v>0</v>
      </c>
      <c r="BF26" s="246">
        <f t="shared" si="8"/>
        <v>0</v>
      </c>
      <c r="BG26" s="246">
        <f t="shared" si="8"/>
        <v>0</v>
      </c>
      <c r="BH26" s="246">
        <f t="shared" si="8"/>
        <v>0</v>
      </c>
      <c r="BI26" s="246">
        <f t="shared" si="8"/>
        <v>0</v>
      </c>
      <c r="BJ26" s="246">
        <f t="shared" si="8"/>
        <v>0</v>
      </c>
      <c r="BK26" s="246">
        <f t="shared" si="8"/>
        <v>0</v>
      </c>
      <c r="BL26" s="246">
        <f t="shared" si="8"/>
        <v>0</v>
      </c>
      <c r="BM26" s="246">
        <f t="shared" si="8"/>
        <v>0</v>
      </c>
      <c r="BN26" s="246">
        <f t="shared" si="8"/>
        <v>0</v>
      </c>
      <c r="BO26" s="246">
        <f t="shared" si="8"/>
        <v>0</v>
      </c>
      <c r="BP26" s="246">
        <f t="shared" si="8"/>
        <v>0</v>
      </c>
      <c r="BQ26" s="246">
        <f t="shared" si="8"/>
        <v>0</v>
      </c>
      <c r="BR26" s="246">
        <f t="shared" si="8"/>
        <v>0</v>
      </c>
      <c r="BS26" s="246">
        <f t="shared" si="8"/>
        <v>0</v>
      </c>
      <c r="BT26" s="246">
        <f t="shared" si="8"/>
        <v>0</v>
      </c>
      <c r="BU26" s="246">
        <f t="shared" si="8"/>
        <v>0</v>
      </c>
      <c r="BV26" s="246">
        <f t="shared" si="8"/>
        <v>0</v>
      </c>
      <c r="BW26" s="246">
        <f t="shared" si="8"/>
        <v>0</v>
      </c>
      <c r="BX26" s="246">
        <f t="shared" si="8"/>
        <v>0</v>
      </c>
      <c r="BY26" s="248">
        <f>SUM(BY27:BY33)</f>
        <v>-91843388</v>
      </c>
      <c r="BZ26" s="597"/>
      <c r="CA26" s="222"/>
      <c r="CB26" s="248"/>
      <c r="CC26" s="597"/>
      <c r="CD26" s="222"/>
      <c r="CE26" s="238"/>
      <c r="CF26" s="222"/>
      <c r="CG26" s="258">
        <v>46022</v>
      </c>
      <c r="CH26" s="222"/>
      <c r="CI26" s="222"/>
      <c r="CJ26" s="222"/>
      <c r="CK26" s="222"/>
      <c r="CL26" s="222"/>
      <c r="CM26" s="222"/>
      <c r="CN26" s="222"/>
      <c r="CO26" s="222"/>
      <c r="CP26" s="222"/>
      <c r="CQ26" s="222"/>
      <c r="CR26" s="222"/>
      <c r="CS26" s="222"/>
      <c r="CT26" s="222"/>
      <c r="CU26" s="222"/>
      <c r="CV26" s="222"/>
      <c r="CW26" s="222"/>
      <c r="CX26" s="222"/>
      <c r="CY26" s="222"/>
      <c r="CZ26" s="222"/>
      <c r="DA26" s="222"/>
      <c r="DB26" s="222"/>
      <c r="DC26" s="222"/>
      <c r="DD26" s="222"/>
      <c r="DE26" s="222"/>
      <c r="DF26" s="222"/>
      <c r="DG26" s="222"/>
      <c r="DH26" s="222"/>
      <c r="DI26" s="222"/>
      <c r="DJ26" s="222"/>
      <c r="DK26" s="222"/>
      <c r="DL26" s="222"/>
      <c r="DM26" s="222"/>
      <c r="DN26" s="222"/>
      <c r="DO26" s="222"/>
      <c r="DP26" s="222"/>
      <c r="DQ26" s="222"/>
      <c r="DR26" s="222"/>
      <c r="DS26" s="222"/>
      <c r="DT26" s="222"/>
      <c r="DU26" s="222"/>
      <c r="DV26" s="222"/>
      <c r="DW26" s="222"/>
      <c r="DX26" s="222"/>
      <c r="DY26" s="222"/>
      <c r="DZ26" s="222"/>
      <c r="EA26" s="222"/>
      <c r="EB26" s="222"/>
      <c r="EC26" s="222"/>
      <c r="ED26" s="222"/>
      <c r="EE26" s="222"/>
      <c r="EF26" s="222"/>
      <c r="EG26" s="222"/>
      <c r="EH26" s="222"/>
    </row>
    <row r="27" spans="1:138" ht="15.95" outlineLevel="1">
      <c r="A27" s="505"/>
      <c r="B27" s="600"/>
      <c r="C27" s="249" t="s">
        <v>232</v>
      </c>
      <c r="D27" s="250" t="s">
        <v>223</v>
      </c>
      <c r="E27" s="251"/>
      <c r="F27" s="251"/>
      <c r="G27" s="251"/>
      <c r="H27" s="252"/>
      <c r="I27" s="252"/>
      <c r="J27" s="252"/>
      <c r="K27" s="252"/>
      <c r="L27" s="252">
        <f>-4688041</f>
        <v>-4688041</v>
      </c>
      <c r="M27" s="252">
        <f>-3615000-6429501.53</f>
        <v>-10044501.530000001</v>
      </c>
      <c r="N27" s="252">
        <f>-19909473.57</f>
        <v>-19909473.57</v>
      </c>
      <c r="O27" s="252">
        <f>-8977222.42</f>
        <v>-8977222.4199999999</v>
      </c>
      <c r="P27" s="252">
        <f>-10127350.57*0.9-2929658.6</f>
        <v>-12044274.113</v>
      </c>
      <c r="Q27" s="252">
        <f>-(58593172+SUM($L$27:P27))</f>
        <v>-2929659.3669999987</v>
      </c>
      <c r="R27" s="252">
        <f>-1499970</f>
        <v>-1499970</v>
      </c>
      <c r="S27" s="252"/>
      <c r="T27" s="252"/>
      <c r="U27" s="252"/>
      <c r="V27" s="252">
        <f>-(Businessplan_prodej!$F$31+Businessplan_prodej!$F$49)*0.25*0.9</f>
        <v>-6300000</v>
      </c>
      <c r="W27" s="252">
        <f>-(Businessplan_prodej!$F$31+Businessplan_prodej!$F$49)*0.25*0.9</f>
        <v>-6300000</v>
      </c>
      <c r="X27" s="259">
        <f>-(Businessplan_prodej!$F$31+Businessplan_prodej!$F$49)*0.25*0.9</f>
        <v>-6300000</v>
      </c>
      <c r="Y27" s="259">
        <f>-(Businessplan_prodej!$F$31+Businessplan_prodej!$F$49)*0.15*0.9</f>
        <v>-3780000</v>
      </c>
      <c r="Z27" s="259">
        <f>-28000000-SUM(V27:Y27)-AA27</f>
        <v>-2520000</v>
      </c>
      <c r="AA27" s="265">
        <f>-2800000</f>
        <v>-2800000</v>
      </c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60"/>
      <c r="BY27" s="261">
        <f t="shared" ref="BY27:BY33" si="9">SUM(E27:BX27)</f>
        <v>-88093142</v>
      </c>
      <c r="BZ27" s="597"/>
      <c r="CA27" s="222"/>
      <c r="CB27" s="248"/>
      <c r="CC27" s="597"/>
      <c r="CD27" s="222"/>
      <c r="CE27" s="222"/>
      <c r="CF27" s="222"/>
      <c r="CG27" s="222">
        <f>CG26-CG25</f>
        <v>425</v>
      </c>
      <c r="CH27" s="222"/>
      <c r="CI27" s="222"/>
      <c r="CJ27" s="222"/>
      <c r="CK27" s="222"/>
      <c r="CL27" s="222"/>
      <c r="CM27" s="222"/>
      <c r="CN27" s="222"/>
      <c r="CO27" s="222"/>
      <c r="CP27" s="222"/>
      <c r="CQ27" s="222"/>
      <c r="CR27" s="222"/>
      <c r="CS27" s="222"/>
      <c r="CT27" s="222"/>
      <c r="CU27" s="222"/>
      <c r="CV27" s="222"/>
      <c r="CW27" s="222"/>
      <c r="CX27" s="222"/>
      <c r="CY27" s="222"/>
      <c r="CZ27" s="222"/>
      <c r="DA27" s="222"/>
      <c r="DB27" s="222"/>
      <c r="DC27" s="222"/>
      <c r="DD27" s="222"/>
      <c r="DE27" s="222"/>
      <c r="DF27" s="222"/>
      <c r="DG27" s="222"/>
      <c r="DH27" s="222"/>
      <c r="DI27" s="222"/>
      <c r="DJ27" s="222"/>
      <c r="DK27" s="222"/>
      <c r="DL27" s="222"/>
      <c r="DM27" s="222"/>
      <c r="DN27" s="222"/>
      <c r="DO27" s="222"/>
      <c r="DP27" s="222"/>
      <c r="DQ27" s="222"/>
      <c r="DR27" s="222"/>
      <c r="DS27" s="222"/>
      <c r="DT27" s="222"/>
      <c r="DU27" s="222"/>
      <c r="DV27" s="222"/>
      <c r="DW27" s="222"/>
      <c r="DX27" s="222"/>
      <c r="DY27" s="222"/>
      <c r="DZ27" s="222"/>
      <c r="EA27" s="222"/>
      <c r="EB27" s="222"/>
      <c r="EC27" s="222"/>
      <c r="ED27" s="222"/>
      <c r="EE27" s="222"/>
      <c r="EF27" s="222"/>
      <c r="EG27" s="222"/>
      <c r="EH27" s="222"/>
    </row>
    <row r="28" spans="1:138" ht="15.95" outlineLevel="1">
      <c r="A28" s="505"/>
      <c r="B28" s="600"/>
      <c r="C28" s="249" t="s">
        <v>233</v>
      </c>
      <c r="D28" s="250" t="s">
        <v>223</v>
      </c>
      <c r="E28" s="251"/>
      <c r="F28" s="251"/>
      <c r="G28" s="251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60"/>
      <c r="BY28" s="262">
        <f t="shared" si="9"/>
        <v>0</v>
      </c>
      <c r="BZ28" s="597"/>
      <c r="CA28" s="222"/>
      <c r="CB28" s="248"/>
      <c r="CC28" s="597"/>
      <c r="CD28" s="222"/>
      <c r="CE28" s="222"/>
      <c r="CF28" s="222"/>
      <c r="CG28" s="222"/>
      <c r="CH28" s="222"/>
      <c r="CI28" s="222"/>
      <c r="CJ28" s="222"/>
      <c r="CK28" s="222"/>
      <c r="CL28" s="222"/>
      <c r="CM28" s="222"/>
      <c r="CN28" s="222"/>
      <c r="CO28" s="222"/>
      <c r="CP28" s="222"/>
      <c r="CQ28" s="222"/>
      <c r="CR28" s="222"/>
      <c r="CS28" s="222"/>
      <c r="CT28" s="222"/>
      <c r="CU28" s="222"/>
      <c r="CV28" s="222"/>
      <c r="CW28" s="222"/>
      <c r="CX28" s="222"/>
      <c r="CY28" s="222"/>
      <c r="CZ28" s="222"/>
      <c r="DA28" s="222"/>
      <c r="DB28" s="222"/>
      <c r="DC28" s="222"/>
      <c r="DD28" s="222"/>
      <c r="DE28" s="222"/>
      <c r="DF28" s="222"/>
      <c r="DG28" s="222"/>
      <c r="DH28" s="222"/>
      <c r="DI28" s="222"/>
      <c r="DJ28" s="222"/>
      <c r="DK28" s="222"/>
      <c r="DL28" s="222"/>
      <c r="DM28" s="222"/>
      <c r="DN28" s="222"/>
      <c r="DO28" s="222"/>
      <c r="DP28" s="222"/>
      <c r="DQ28" s="222"/>
      <c r="DR28" s="222"/>
      <c r="DS28" s="222"/>
      <c r="DT28" s="222"/>
      <c r="DU28" s="222"/>
      <c r="DV28" s="222"/>
      <c r="DW28" s="222"/>
      <c r="DX28" s="222"/>
      <c r="DY28" s="222"/>
      <c r="DZ28" s="222"/>
      <c r="EA28" s="222"/>
      <c r="EB28" s="222"/>
      <c r="EC28" s="222"/>
      <c r="ED28" s="222"/>
      <c r="EE28" s="222"/>
      <c r="EF28" s="222"/>
      <c r="EG28" s="222"/>
      <c r="EH28" s="222"/>
    </row>
    <row r="29" spans="1:138" ht="15.95" outlineLevel="1">
      <c r="A29" s="505"/>
      <c r="B29" s="600"/>
      <c r="C29" s="249" t="s">
        <v>234</v>
      </c>
      <c r="D29" s="250" t="s">
        <v>223</v>
      </c>
      <c r="E29" s="251"/>
      <c r="F29" s="251"/>
      <c r="G29" s="251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60"/>
      <c r="BY29" s="262">
        <f t="shared" si="9"/>
        <v>0</v>
      </c>
      <c r="BZ29" s="597"/>
      <c r="CA29" s="222"/>
      <c r="CB29" s="248"/>
      <c r="CC29" s="597"/>
      <c r="CD29" s="222"/>
      <c r="CE29" s="222"/>
      <c r="CF29" s="222"/>
      <c r="CG29" s="222"/>
      <c r="CH29" s="222"/>
      <c r="CI29" s="222"/>
      <c r="CJ29" s="222"/>
      <c r="CK29" s="222"/>
      <c r="CL29" s="222"/>
      <c r="CM29" s="222"/>
      <c r="CN29" s="222"/>
      <c r="CO29" s="222"/>
      <c r="CP29" s="222"/>
      <c r="CQ29" s="222"/>
      <c r="CR29" s="222"/>
      <c r="CS29" s="222"/>
      <c r="CT29" s="222"/>
      <c r="CU29" s="222"/>
      <c r="CV29" s="222"/>
      <c r="CW29" s="222"/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2"/>
      <c r="DI29" s="222"/>
      <c r="DJ29" s="222"/>
      <c r="DK29" s="222"/>
      <c r="DL29" s="222"/>
      <c r="DM29" s="222"/>
      <c r="DN29" s="222"/>
      <c r="DO29" s="222"/>
      <c r="DP29" s="222"/>
      <c r="DQ29" s="222"/>
      <c r="DR29" s="222"/>
      <c r="DS29" s="222"/>
      <c r="DT29" s="222"/>
      <c r="DU29" s="222"/>
      <c r="DV29" s="222"/>
      <c r="DW29" s="222"/>
      <c r="DX29" s="222"/>
      <c r="DY29" s="222"/>
      <c r="DZ29" s="222"/>
      <c r="EA29" s="222"/>
      <c r="EB29" s="222"/>
      <c r="EC29" s="222"/>
      <c r="ED29" s="222"/>
      <c r="EE29" s="222"/>
      <c r="EF29" s="222"/>
      <c r="EG29" s="222"/>
      <c r="EH29" s="222"/>
    </row>
    <row r="30" spans="1:138" ht="15.95" outlineLevel="1">
      <c r="A30" s="505"/>
      <c r="B30" s="600"/>
      <c r="C30" s="249" t="s">
        <v>235</v>
      </c>
      <c r="D30" s="250" t="s">
        <v>223</v>
      </c>
      <c r="E30" s="251"/>
      <c r="F30" s="251"/>
      <c r="G30" s="251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60"/>
      <c r="BY30" s="262">
        <f t="shared" si="9"/>
        <v>0</v>
      </c>
      <c r="BZ30" s="597"/>
      <c r="CA30" s="222"/>
      <c r="CB30" s="248"/>
      <c r="CC30" s="597"/>
      <c r="CD30" s="222"/>
      <c r="CE30" s="222"/>
      <c r="CF30" s="222"/>
      <c r="CG30" s="222"/>
      <c r="CH30" s="222"/>
      <c r="CI30" s="222"/>
      <c r="CJ30" s="222"/>
      <c r="CK30" s="222"/>
      <c r="CL30" s="222"/>
      <c r="CM30" s="222"/>
      <c r="CN30" s="222"/>
      <c r="CO30" s="222"/>
      <c r="CP30" s="222"/>
      <c r="CQ30" s="222"/>
      <c r="CR30" s="222"/>
      <c r="CS30" s="222"/>
      <c r="CT30" s="222"/>
      <c r="CU30" s="222"/>
      <c r="CV30" s="222"/>
      <c r="CW30" s="222"/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2"/>
      <c r="DI30" s="222"/>
      <c r="DJ30" s="222"/>
      <c r="DK30" s="222"/>
      <c r="DL30" s="222"/>
      <c r="DM30" s="222"/>
      <c r="DN30" s="222"/>
      <c r="DO30" s="222"/>
      <c r="DP30" s="222"/>
      <c r="DQ30" s="222"/>
      <c r="DR30" s="222"/>
      <c r="DS30" s="222"/>
      <c r="DT30" s="222"/>
      <c r="DU30" s="222"/>
      <c r="DV30" s="222"/>
      <c r="DW30" s="222"/>
      <c r="DX30" s="222"/>
      <c r="DY30" s="222"/>
      <c r="DZ30" s="222"/>
      <c r="EA30" s="222"/>
      <c r="EB30" s="222"/>
      <c r="EC30" s="222"/>
      <c r="ED30" s="222"/>
      <c r="EE30" s="222"/>
      <c r="EF30" s="222"/>
      <c r="EG30" s="222"/>
      <c r="EH30" s="222"/>
    </row>
    <row r="31" spans="1:138" ht="15.95" outlineLevel="1">
      <c r="A31" s="505"/>
      <c r="B31" s="600"/>
      <c r="C31" s="249" t="s">
        <v>236</v>
      </c>
      <c r="D31" s="250" t="s">
        <v>223</v>
      </c>
      <c r="E31" s="251"/>
      <c r="F31" s="251"/>
      <c r="G31" s="251"/>
      <c r="H31" s="252">
        <f>-2420</f>
        <v>-2420</v>
      </c>
      <c r="I31" s="252"/>
      <c r="J31" s="252"/>
      <c r="K31" s="252"/>
      <c r="L31" s="252"/>
      <c r="M31" s="252"/>
      <c r="N31" s="252">
        <f>-500-9107</f>
        <v>-9607</v>
      </c>
      <c r="O31" s="252">
        <f>-18750-2420-2470</f>
        <v>-23640</v>
      </c>
      <c r="P31" s="252">
        <f>-500-20570</f>
        <v>-21070</v>
      </c>
      <c r="Q31" s="252"/>
      <c r="R31" s="252"/>
      <c r="S31" s="252"/>
      <c r="T31" s="252"/>
      <c r="U31" s="252"/>
      <c r="V31" s="252"/>
      <c r="W31" s="252">
        <f>-Businessplan_prodej!$F$38/5</f>
        <v>-26000</v>
      </c>
      <c r="X31" s="252">
        <f>-Businessplan_prodej!$F$38/5</f>
        <v>-26000</v>
      </c>
      <c r="Y31" s="252">
        <f>-Businessplan_prodej!$F$38/5</f>
        <v>-26000</v>
      </c>
      <c r="Z31" s="252">
        <f>-Businessplan_prodej!$F$38/5</f>
        <v>-26000</v>
      </c>
      <c r="AA31" s="252">
        <f>-Businessplan_prodej!$F$38/5</f>
        <v>-26000</v>
      </c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60"/>
      <c r="BY31" s="262">
        <f t="shared" si="9"/>
        <v>-186737</v>
      </c>
      <c r="BZ31" s="597"/>
      <c r="CA31" s="222"/>
      <c r="CB31" s="248"/>
      <c r="CC31" s="597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222"/>
      <c r="CX31" s="222"/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  <c r="EB31" s="222"/>
      <c r="EC31" s="222"/>
      <c r="ED31" s="222"/>
      <c r="EE31" s="222"/>
      <c r="EF31" s="222"/>
      <c r="EG31" s="222"/>
      <c r="EH31" s="222"/>
    </row>
    <row r="32" spans="1:138" ht="15.95" outlineLevel="1">
      <c r="A32" s="505"/>
      <c r="B32" s="600"/>
      <c r="C32" s="263" t="s">
        <v>237</v>
      </c>
      <c r="D32" s="250" t="s">
        <v>223</v>
      </c>
      <c r="E32" s="251"/>
      <c r="F32" s="251"/>
      <c r="G32" s="251"/>
      <c r="H32" s="252"/>
      <c r="I32" s="252">
        <f>-1081909</f>
        <v>-1081909</v>
      </c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>
        <f>-100000</f>
        <v>-100000</v>
      </c>
      <c r="Y32" s="252"/>
      <c r="Z32" s="251"/>
      <c r="AA32" s="251"/>
      <c r="AB32" s="251"/>
      <c r="AC32" s="251"/>
      <c r="AD32" s="251"/>
      <c r="AE32" s="251"/>
      <c r="AF32" s="251"/>
      <c r="AG32" s="251"/>
      <c r="AH32" s="251"/>
      <c r="AI32" s="251"/>
      <c r="AJ32" s="251"/>
      <c r="AK32" s="251"/>
      <c r="AL32" s="251"/>
      <c r="AM32" s="251"/>
      <c r="AN32" s="251"/>
      <c r="AO32" s="251"/>
      <c r="AP32" s="251"/>
      <c r="AQ32" s="251"/>
      <c r="AR32" s="251"/>
      <c r="AS32" s="251"/>
      <c r="AT32" s="251"/>
      <c r="AU32" s="251"/>
      <c r="AV32" s="251"/>
      <c r="AW32" s="251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60"/>
      <c r="BY32" s="262">
        <f t="shared" si="9"/>
        <v>-1181909</v>
      </c>
      <c r="BZ32" s="597"/>
      <c r="CA32" s="222"/>
      <c r="CB32" s="248"/>
      <c r="CC32" s="597"/>
      <c r="CD32" s="222"/>
      <c r="CE32" s="222"/>
      <c r="CF32" s="222"/>
      <c r="CG32" s="222"/>
      <c r="CH32" s="222"/>
      <c r="CI32" s="222"/>
      <c r="CJ32" s="222"/>
      <c r="CK32" s="222"/>
      <c r="CL32" s="222"/>
      <c r="CM32" s="222"/>
      <c r="CN32" s="222"/>
      <c r="CO32" s="222"/>
      <c r="CP32" s="222"/>
      <c r="CQ32" s="222"/>
      <c r="CR32" s="222"/>
      <c r="CS32" s="222"/>
      <c r="CT32" s="222"/>
      <c r="CU32" s="222"/>
      <c r="CV32" s="222"/>
      <c r="CW32" s="222"/>
      <c r="CX32" s="222"/>
      <c r="CY32" s="222"/>
      <c r="CZ32" s="222"/>
      <c r="DA32" s="222"/>
      <c r="DB32" s="222"/>
      <c r="DC32" s="222"/>
      <c r="DD32" s="222"/>
      <c r="DE32" s="222"/>
      <c r="DF32" s="222"/>
      <c r="DG32" s="222"/>
      <c r="DH32" s="222"/>
      <c r="DI32" s="222"/>
      <c r="DJ32" s="222"/>
      <c r="DK32" s="222"/>
      <c r="DL32" s="222"/>
      <c r="DM32" s="222"/>
      <c r="DN32" s="222"/>
      <c r="DO32" s="222"/>
      <c r="DP32" s="222"/>
      <c r="DQ32" s="222"/>
      <c r="DR32" s="222"/>
      <c r="DS32" s="222"/>
      <c r="DT32" s="222"/>
      <c r="DU32" s="222"/>
      <c r="DV32" s="222"/>
      <c r="DW32" s="222"/>
      <c r="DX32" s="222"/>
      <c r="DY32" s="222"/>
      <c r="DZ32" s="222"/>
      <c r="EA32" s="222"/>
      <c r="EB32" s="222"/>
      <c r="EC32" s="222"/>
      <c r="ED32" s="222"/>
      <c r="EE32" s="222"/>
      <c r="EF32" s="222"/>
      <c r="EG32" s="222"/>
      <c r="EH32" s="222"/>
    </row>
    <row r="33" spans="1:138" ht="15.95" outlineLevel="1">
      <c r="A33" s="505"/>
      <c r="B33" s="600"/>
      <c r="C33" s="249" t="s">
        <v>238</v>
      </c>
      <c r="D33" s="254" t="s">
        <v>223</v>
      </c>
      <c r="E33" s="251"/>
      <c r="F33" s="251"/>
      <c r="G33" s="251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>
        <f>-Businessplan_prodej!$F$41/4</f>
        <v>-595400</v>
      </c>
      <c r="Y33" s="252">
        <f>-Businessplan_prodej!$F$41/4</f>
        <v>-595400</v>
      </c>
      <c r="Z33" s="252">
        <f>-Businessplan_prodej!$F$41/4</f>
        <v>-595400</v>
      </c>
      <c r="AA33" s="252">
        <f>-Businessplan_prodej!$F$41/4</f>
        <v>-595400</v>
      </c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251"/>
      <c r="AW33" s="251"/>
      <c r="AX33" s="251"/>
      <c r="AY33" s="251"/>
      <c r="AZ33" s="251"/>
      <c r="BA33" s="251"/>
      <c r="BB33" s="251"/>
      <c r="BC33" s="251"/>
      <c r="BD33" s="251"/>
      <c r="BE33" s="251"/>
      <c r="BF33" s="251"/>
      <c r="BG33" s="251"/>
      <c r="BH33" s="251"/>
      <c r="BI33" s="251"/>
      <c r="BJ33" s="251"/>
      <c r="BK33" s="251"/>
      <c r="BL33" s="251"/>
      <c r="BM33" s="251"/>
      <c r="BN33" s="251"/>
      <c r="BO33" s="251"/>
      <c r="BP33" s="251"/>
      <c r="BQ33" s="251"/>
      <c r="BR33" s="251"/>
      <c r="BS33" s="251"/>
      <c r="BT33" s="251"/>
      <c r="BU33" s="251"/>
      <c r="BV33" s="251"/>
      <c r="BW33" s="251"/>
      <c r="BX33" s="260"/>
      <c r="BY33" s="264">
        <f t="shared" si="9"/>
        <v>-2381600</v>
      </c>
      <c r="BZ33" s="597"/>
      <c r="CA33" s="222"/>
      <c r="CB33" s="248"/>
      <c r="CC33" s="597"/>
      <c r="CD33" s="222"/>
      <c r="CE33" s="222"/>
      <c r="CF33" s="222"/>
      <c r="CG33" s="222"/>
      <c r="CH33" s="222"/>
      <c r="CI33" s="222"/>
      <c r="CJ33" s="222"/>
      <c r="CK33" s="222"/>
      <c r="CL33" s="222"/>
      <c r="CM33" s="222"/>
      <c r="CN33" s="222"/>
      <c r="CO33" s="222"/>
      <c r="CP33" s="222"/>
      <c r="CQ33" s="222"/>
      <c r="CR33" s="222"/>
      <c r="CS33" s="222"/>
      <c r="CT33" s="222"/>
      <c r="CU33" s="222"/>
      <c r="CV33" s="222"/>
      <c r="CW33" s="222"/>
      <c r="CX33" s="222"/>
      <c r="CY33" s="222"/>
      <c r="CZ33" s="222"/>
      <c r="DA33" s="222"/>
      <c r="DB33" s="222"/>
      <c r="DC33" s="222"/>
      <c r="DD33" s="222"/>
      <c r="DE33" s="222"/>
      <c r="DF33" s="222"/>
      <c r="DG33" s="222"/>
      <c r="DH33" s="222"/>
      <c r="DI33" s="222"/>
      <c r="DJ33" s="222"/>
      <c r="DK33" s="222"/>
      <c r="DL33" s="222"/>
      <c r="DM33" s="222"/>
      <c r="DN33" s="222"/>
      <c r="DO33" s="222"/>
      <c r="DP33" s="222"/>
      <c r="DQ33" s="222"/>
      <c r="DR33" s="222"/>
      <c r="DS33" s="222"/>
      <c r="DT33" s="222"/>
      <c r="DU33" s="222"/>
      <c r="DV33" s="222"/>
      <c r="DW33" s="222"/>
      <c r="DX33" s="222"/>
      <c r="DY33" s="222"/>
      <c r="DZ33" s="222"/>
      <c r="EA33" s="222"/>
      <c r="EB33" s="222"/>
      <c r="EC33" s="222"/>
      <c r="ED33" s="222"/>
      <c r="EE33" s="222"/>
      <c r="EF33" s="222"/>
      <c r="EG33" s="222"/>
      <c r="EH33" s="222"/>
    </row>
    <row r="34" spans="1:138" ht="15.95" collapsed="1">
      <c r="A34" s="505"/>
      <c r="B34" s="600"/>
      <c r="C34" s="244" t="s">
        <v>239</v>
      </c>
      <c r="D34" s="245"/>
      <c r="E34" s="246">
        <f t="shared" ref="E34:BX34" si="10">SUM(E35:E36)</f>
        <v>0</v>
      </c>
      <c r="F34" s="246">
        <f t="shared" si="10"/>
        <v>0</v>
      </c>
      <c r="G34" s="246">
        <f t="shared" si="10"/>
        <v>0</v>
      </c>
      <c r="H34" s="246">
        <f t="shared" si="10"/>
        <v>0</v>
      </c>
      <c r="I34" s="246">
        <f t="shared" si="10"/>
        <v>0</v>
      </c>
      <c r="J34" s="246">
        <f t="shared" si="10"/>
        <v>0</v>
      </c>
      <c r="K34" s="246">
        <f t="shared" si="10"/>
        <v>0</v>
      </c>
      <c r="L34" s="246">
        <f t="shared" si="10"/>
        <v>0</v>
      </c>
      <c r="M34" s="246">
        <f t="shared" si="10"/>
        <v>0</v>
      </c>
      <c r="N34" s="246">
        <f t="shared" si="10"/>
        <v>0</v>
      </c>
      <c r="O34" s="246">
        <f t="shared" si="10"/>
        <v>0</v>
      </c>
      <c r="P34" s="246">
        <f t="shared" si="10"/>
        <v>0</v>
      </c>
      <c r="Q34" s="246">
        <f t="shared" si="10"/>
        <v>0</v>
      </c>
      <c r="R34" s="246">
        <f t="shared" si="10"/>
        <v>0</v>
      </c>
      <c r="S34" s="246">
        <f t="shared" si="10"/>
        <v>0</v>
      </c>
      <c r="T34" s="246">
        <f t="shared" si="10"/>
        <v>0</v>
      </c>
      <c r="U34" s="246">
        <f t="shared" si="10"/>
        <v>0</v>
      </c>
      <c r="V34" s="246">
        <f t="shared" si="10"/>
        <v>0</v>
      </c>
      <c r="W34" s="246">
        <f t="shared" si="10"/>
        <v>0</v>
      </c>
      <c r="X34" s="246">
        <f t="shared" si="10"/>
        <v>0</v>
      </c>
      <c r="Y34" s="246">
        <f t="shared" si="10"/>
        <v>0</v>
      </c>
      <c r="Z34" s="246">
        <f t="shared" si="10"/>
        <v>0</v>
      </c>
      <c r="AA34" s="246">
        <f t="shared" si="10"/>
        <v>0</v>
      </c>
      <c r="AB34" s="246">
        <f t="shared" si="10"/>
        <v>0</v>
      </c>
      <c r="AC34" s="246">
        <f t="shared" si="10"/>
        <v>0</v>
      </c>
      <c r="AD34" s="246">
        <f t="shared" si="10"/>
        <v>0</v>
      </c>
      <c r="AE34" s="246">
        <f t="shared" si="10"/>
        <v>0</v>
      </c>
      <c r="AF34" s="246">
        <f t="shared" si="10"/>
        <v>0</v>
      </c>
      <c r="AG34" s="246">
        <f t="shared" si="10"/>
        <v>0</v>
      </c>
      <c r="AH34" s="246">
        <f t="shared" si="10"/>
        <v>0</v>
      </c>
      <c r="AI34" s="246">
        <f t="shared" si="10"/>
        <v>0</v>
      </c>
      <c r="AJ34" s="246">
        <f t="shared" si="10"/>
        <v>0</v>
      </c>
      <c r="AK34" s="246">
        <f t="shared" si="10"/>
        <v>0</v>
      </c>
      <c r="AL34" s="246">
        <f t="shared" si="10"/>
        <v>0</v>
      </c>
      <c r="AM34" s="246">
        <f t="shared" si="10"/>
        <v>0</v>
      </c>
      <c r="AN34" s="246">
        <f t="shared" si="10"/>
        <v>0</v>
      </c>
      <c r="AO34" s="246">
        <f t="shared" si="10"/>
        <v>0</v>
      </c>
      <c r="AP34" s="246">
        <f t="shared" si="10"/>
        <v>0</v>
      </c>
      <c r="AQ34" s="246">
        <f t="shared" si="10"/>
        <v>0</v>
      </c>
      <c r="AR34" s="246">
        <f t="shared" si="10"/>
        <v>0</v>
      </c>
      <c r="AS34" s="246">
        <f t="shared" si="10"/>
        <v>0</v>
      </c>
      <c r="AT34" s="246">
        <f t="shared" si="10"/>
        <v>0</v>
      </c>
      <c r="AU34" s="246">
        <f t="shared" si="10"/>
        <v>0</v>
      </c>
      <c r="AV34" s="246">
        <f t="shared" si="10"/>
        <v>0</v>
      </c>
      <c r="AW34" s="246">
        <f t="shared" si="10"/>
        <v>0</v>
      </c>
      <c r="AX34" s="246">
        <f t="shared" si="10"/>
        <v>0</v>
      </c>
      <c r="AY34" s="246">
        <f t="shared" si="10"/>
        <v>0</v>
      </c>
      <c r="AZ34" s="246">
        <f t="shared" si="10"/>
        <v>0</v>
      </c>
      <c r="BA34" s="246">
        <f t="shared" si="10"/>
        <v>0</v>
      </c>
      <c r="BB34" s="246">
        <f t="shared" si="10"/>
        <v>0</v>
      </c>
      <c r="BC34" s="246">
        <f t="shared" si="10"/>
        <v>0</v>
      </c>
      <c r="BD34" s="246">
        <f t="shared" si="10"/>
        <v>0</v>
      </c>
      <c r="BE34" s="246">
        <f t="shared" si="10"/>
        <v>0</v>
      </c>
      <c r="BF34" s="246">
        <f t="shared" si="10"/>
        <v>0</v>
      </c>
      <c r="BG34" s="246">
        <f t="shared" si="10"/>
        <v>0</v>
      </c>
      <c r="BH34" s="246">
        <f t="shared" si="10"/>
        <v>0</v>
      </c>
      <c r="BI34" s="246">
        <f t="shared" si="10"/>
        <v>0</v>
      </c>
      <c r="BJ34" s="246">
        <f t="shared" si="10"/>
        <v>0</v>
      </c>
      <c r="BK34" s="246">
        <f t="shared" si="10"/>
        <v>0</v>
      </c>
      <c r="BL34" s="246">
        <f t="shared" si="10"/>
        <v>0</v>
      </c>
      <c r="BM34" s="246">
        <f t="shared" si="10"/>
        <v>0</v>
      </c>
      <c r="BN34" s="246">
        <f t="shared" si="10"/>
        <v>0</v>
      </c>
      <c r="BO34" s="246">
        <f t="shared" si="10"/>
        <v>0</v>
      </c>
      <c r="BP34" s="246">
        <f t="shared" si="10"/>
        <v>0</v>
      </c>
      <c r="BQ34" s="246">
        <f t="shared" si="10"/>
        <v>0</v>
      </c>
      <c r="BR34" s="246">
        <f t="shared" si="10"/>
        <v>0</v>
      </c>
      <c r="BS34" s="246">
        <f t="shared" si="10"/>
        <v>0</v>
      </c>
      <c r="BT34" s="246">
        <f t="shared" si="10"/>
        <v>0</v>
      </c>
      <c r="BU34" s="246">
        <f t="shared" si="10"/>
        <v>0</v>
      </c>
      <c r="BV34" s="246">
        <f t="shared" si="10"/>
        <v>0</v>
      </c>
      <c r="BW34" s="246">
        <f t="shared" si="10"/>
        <v>0</v>
      </c>
      <c r="BX34" s="246">
        <f t="shared" si="10"/>
        <v>0</v>
      </c>
      <c r="BY34" s="248">
        <f>SUM(BY35:BY36)</f>
        <v>0</v>
      </c>
      <c r="BZ34" s="597"/>
      <c r="CA34" s="222"/>
      <c r="CB34" s="248"/>
      <c r="CC34" s="597"/>
      <c r="CD34" s="222"/>
      <c r="CE34" s="222"/>
      <c r="CF34" s="222"/>
      <c r="CG34" s="222"/>
      <c r="CH34" s="222"/>
      <c r="CI34" s="222"/>
      <c r="CJ34" s="222"/>
      <c r="CK34" s="222"/>
      <c r="CL34" s="222"/>
      <c r="CM34" s="222"/>
      <c r="CN34" s="222"/>
      <c r="CO34" s="222"/>
      <c r="CP34" s="222"/>
      <c r="CQ34" s="222"/>
      <c r="CR34" s="222"/>
      <c r="CS34" s="222"/>
      <c r="CT34" s="222"/>
      <c r="CU34" s="222"/>
      <c r="CV34" s="222"/>
      <c r="CW34" s="222"/>
      <c r="CX34" s="222"/>
      <c r="CY34" s="222"/>
      <c r="CZ34" s="222"/>
      <c r="DA34" s="222"/>
      <c r="DB34" s="222"/>
      <c r="DC34" s="222"/>
      <c r="DD34" s="222"/>
      <c r="DE34" s="222"/>
      <c r="DF34" s="222"/>
      <c r="DG34" s="222"/>
      <c r="DH34" s="222"/>
      <c r="DI34" s="222"/>
      <c r="DJ34" s="222"/>
      <c r="DK34" s="222"/>
      <c r="DL34" s="222"/>
      <c r="DM34" s="222"/>
      <c r="DN34" s="222"/>
      <c r="DO34" s="222"/>
      <c r="DP34" s="222"/>
      <c r="DQ34" s="222"/>
      <c r="DR34" s="222"/>
      <c r="DS34" s="222"/>
      <c r="DT34" s="222"/>
      <c r="DU34" s="222"/>
      <c r="DV34" s="222"/>
      <c r="DW34" s="222"/>
      <c r="DX34" s="222"/>
      <c r="DY34" s="222"/>
      <c r="DZ34" s="222"/>
      <c r="EA34" s="222"/>
      <c r="EB34" s="222"/>
      <c r="EC34" s="222"/>
      <c r="ED34" s="222"/>
      <c r="EE34" s="222"/>
      <c r="EF34" s="222"/>
      <c r="EG34" s="222"/>
      <c r="EH34" s="222"/>
    </row>
    <row r="35" spans="1:138" ht="15.95" hidden="1" outlineLevel="1">
      <c r="A35" s="505"/>
      <c r="B35" s="600"/>
      <c r="C35" s="249" t="s">
        <v>240</v>
      </c>
      <c r="D35" s="250" t="s">
        <v>223</v>
      </c>
      <c r="E35" s="251"/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  <c r="AF35" s="251"/>
      <c r="AG35" s="251"/>
      <c r="AH35" s="251"/>
      <c r="AI35" s="251"/>
      <c r="AJ35" s="251"/>
      <c r="AK35" s="251"/>
      <c r="AL35" s="251"/>
      <c r="AM35" s="251"/>
      <c r="AN35" s="251"/>
      <c r="AO35" s="251"/>
      <c r="AP35" s="251"/>
      <c r="AQ35" s="251"/>
      <c r="AR35" s="251"/>
      <c r="AS35" s="251"/>
      <c r="AT35" s="251"/>
      <c r="AU35" s="251"/>
      <c r="AV35" s="251"/>
      <c r="AW35" s="251"/>
      <c r="AX35" s="251"/>
      <c r="AY35" s="251"/>
      <c r="AZ35" s="251"/>
      <c r="BA35" s="251"/>
      <c r="BB35" s="251"/>
      <c r="BC35" s="251"/>
      <c r="BD35" s="251"/>
      <c r="BE35" s="251"/>
      <c r="BF35" s="251"/>
      <c r="BG35" s="251"/>
      <c r="BH35" s="251"/>
      <c r="BI35" s="251"/>
      <c r="BJ35" s="251"/>
      <c r="BK35" s="251"/>
      <c r="BL35" s="251"/>
      <c r="BM35" s="251"/>
      <c r="BN35" s="251"/>
      <c r="BO35" s="251"/>
      <c r="BP35" s="251"/>
      <c r="BQ35" s="251"/>
      <c r="BR35" s="251"/>
      <c r="BS35" s="251"/>
      <c r="BT35" s="251"/>
      <c r="BU35" s="251"/>
      <c r="BV35" s="251"/>
      <c r="BW35" s="251"/>
      <c r="BX35" s="260"/>
      <c r="BY35" s="261">
        <f t="shared" ref="BY35:BY36" si="11">SUM(E35:BX35)</f>
        <v>0</v>
      </c>
      <c r="BZ35" s="597"/>
      <c r="CA35" s="222"/>
      <c r="CB35" s="248"/>
      <c r="CC35" s="597"/>
      <c r="CD35" s="222"/>
      <c r="CE35" s="222"/>
      <c r="CF35" s="222"/>
      <c r="CG35" s="222"/>
      <c r="CH35" s="222"/>
      <c r="CI35" s="222"/>
      <c r="CJ35" s="222"/>
      <c r="CK35" s="222"/>
      <c r="CL35" s="222"/>
      <c r="CM35" s="222"/>
      <c r="CN35" s="222"/>
      <c r="CO35" s="222"/>
      <c r="CP35" s="222"/>
      <c r="CQ35" s="222"/>
      <c r="CR35" s="222"/>
      <c r="CS35" s="222"/>
      <c r="CT35" s="222"/>
      <c r="CU35" s="222"/>
      <c r="CV35" s="222"/>
      <c r="CW35" s="222"/>
      <c r="CX35" s="222"/>
      <c r="CY35" s="222"/>
      <c r="CZ35" s="222"/>
      <c r="DA35" s="222"/>
      <c r="DB35" s="222"/>
      <c r="DC35" s="222"/>
      <c r="DD35" s="222"/>
      <c r="DE35" s="222"/>
      <c r="DF35" s="222"/>
      <c r="DG35" s="222"/>
      <c r="DH35" s="222"/>
      <c r="DI35" s="222"/>
      <c r="DJ35" s="222"/>
      <c r="DK35" s="222"/>
      <c r="DL35" s="222"/>
      <c r="DM35" s="222"/>
      <c r="DN35" s="222"/>
      <c r="DO35" s="222"/>
      <c r="DP35" s="222"/>
      <c r="DQ35" s="222"/>
      <c r="DR35" s="222"/>
      <c r="DS35" s="222"/>
      <c r="DT35" s="222"/>
      <c r="DU35" s="222"/>
      <c r="DV35" s="222"/>
      <c r="DW35" s="222"/>
      <c r="DX35" s="222"/>
      <c r="DY35" s="222"/>
      <c r="DZ35" s="222"/>
      <c r="EA35" s="222"/>
      <c r="EB35" s="222"/>
      <c r="EC35" s="222"/>
      <c r="ED35" s="222"/>
      <c r="EE35" s="222"/>
      <c r="EF35" s="222"/>
      <c r="EG35" s="222"/>
      <c r="EH35" s="222"/>
    </row>
    <row r="36" spans="1:138" ht="15.95" hidden="1" outlineLevel="1">
      <c r="A36" s="505"/>
      <c r="B36" s="600"/>
      <c r="C36" s="249" t="s">
        <v>241</v>
      </c>
      <c r="D36" s="254" t="s">
        <v>223</v>
      </c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66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  <c r="AV36" s="251"/>
      <c r="AW36" s="251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60"/>
      <c r="BY36" s="264">
        <f t="shared" si="11"/>
        <v>0</v>
      </c>
      <c r="BZ36" s="597"/>
      <c r="CA36" s="222"/>
      <c r="CB36" s="248"/>
      <c r="CC36" s="597"/>
      <c r="CD36" s="222"/>
      <c r="CE36" s="222"/>
      <c r="CF36" s="222"/>
      <c r="CG36" s="222"/>
      <c r="CH36" s="222"/>
      <c r="CI36" s="222"/>
      <c r="CJ36" s="222"/>
      <c r="CK36" s="222"/>
      <c r="CL36" s="222"/>
      <c r="CM36" s="222"/>
      <c r="CN36" s="222"/>
      <c r="CO36" s="222"/>
      <c r="CP36" s="222"/>
      <c r="CQ36" s="222"/>
      <c r="CR36" s="222"/>
      <c r="CS36" s="222"/>
      <c r="CT36" s="222"/>
      <c r="CU36" s="222"/>
      <c r="CV36" s="222"/>
      <c r="CW36" s="222"/>
      <c r="CX36" s="222"/>
      <c r="CY36" s="222"/>
      <c r="CZ36" s="222"/>
      <c r="DA36" s="222"/>
      <c r="DB36" s="222"/>
      <c r="DC36" s="222"/>
      <c r="DD36" s="222"/>
      <c r="DE36" s="222"/>
      <c r="DF36" s="222"/>
      <c r="DG36" s="222"/>
      <c r="DH36" s="222"/>
      <c r="DI36" s="222"/>
      <c r="DJ36" s="222"/>
      <c r="DK36" s="222"/>
      <c r="DL36" s="222"/>
      <c r="DM36" s="222"/>
      <c r="DN36" s="222"/>
      <c r="DO36" s="222"/>
      <c r="DP36" s="222"/>
      <c r="DQ36" s="222"/>
      <c r="DR36" s="222"/>
      <c r="DS36" s="222"/>
      <c r="DT36" s="222"/>
      <c r="DU36" s="222"/>
      <c r="DV36" s="222"/>
      <c r="DW36" s="222"/>
      <c r="DX36" s="222"/>
      <c r="DY36" s="222"/>
      <c r="DZ36" s="222"/>
      <c r="EA36" s="222"/>
      <c r="EB36" s="222"/>
      <c r="EC36" s="222"/>
      <c r="ED36" s="222"/>
      <c r="EE36" s="222"/>
      <c r="EF36" s="222"/>
      <c r="EG36" s="222"/>
      <c r="EH36" s="222"/>
    </row>
    <row r="37" spans="1:138" ht="15.95" collapsed="1">
      <c r="A37" s="505"/>
      <c r="B37" s="600"/>
      <c r="C37" s="244" t="s">
        <v>242</v>
      </c>
      <c r="D37" s="245"/>
      <c r="E37" s="246">
        <f t="shared" ref="E37:G37" si="12">SUM(E38:E48)</f>
        <v>0</v>
      </c>
      <c r="F37" s="246">
        <f t="shared" si="12"/>
        <v>0</v>
      </c>
      <c r="G37" s="246">
        <f t="shared" si="12"/>
        <v>0</v>
      </c>
      <c r="H37" s="246">
        <f t="shared" ref="H37:BM37" si="13">SUM(H38:H41,H42,H45,H46:H48)</f>
        <v>-113225.2</v>
      </c>
      <c r="I37" s="246">
        <f t="shared" si="13"/>
        <v>-414970</v>
      </c>
      <c r="J37" s="246">
        <f t="shared" si="13"/>
        <v>-1007845.81</v>
      </c>
      <c r="K37" s="246">
        <f t="shared" si="13"/>
        <v>-901583.60700000008</v>
      </c>
      <c r="L37" s="246">
        <f t="shared" si="13"/>
        <v>-332396.81</v>
      </c>
      <c r="M37" s="246">
        <f t="shared" si="13"/>
        <v>-666968.62</v>
      </c>
      <c r="N37" s="246">
        <f t="shared" si="13"/>
        <v>-25339</v>
      </c>
      <c r="O37" s="246">
        <f t="shared" si="13"/>
        <v>-744252.62</v>
      </c>
      <c r="P37" s="246">
        <f t="shared" si="13"/>
        <v>-417381.81</v>
      </c>
      <c r="Q37" s="246">
        <f t="shared" si="13"/>
        <v>-306298.36900000001</v>
      </c>
      <c r="R37" s="246">
        <f t="shared" si="13"/>
        <v>-427733.66000000003</v>
      </c>
      <c r="S37" s="246">
        <f t="shared" si="13"/>
        <v>-34227</v>
      </c>
      <c r="T37" s="246">
        <f t="shared" si="13"/>
        <v>-132833</v>
      </c>
      <c r="U37" s="246">
        <f t="shared" si="13"/>
        <v>-100712.54000000001</v>
      </c>
      <c r="V37" s="246">
        <f t="shared" si="13"/>
        <v>-1393880.925</v>
      </c>
      <c r="W37" s="246">
        <f t="shared" si="13"/>
        <v>-480974.81</v>
      </c>
      <c r="X37" s="246">
        <f t="shared" si="13"/>
        <v>-420913</v>
      </c>
      <c r="Y37" s="246">
        <f t="shared" si="13"/>
        <v>-420913</v>
      </c>
      <c r="Z37" s="246">
        <f t="shared" si="13"/>
        <v>-499200.9515999998</v>
      </c>
      <c r="AA37" s="246">
        <f t="shared" si="13"/>
        <v>-317147</v>
      </c>
      <c r="AB37" s="246">
        <f t="shared" si="13"/>
        <v>-252581.92499999999</v>
      </c>
      <c r="AC37" s="246">
        <f t="shared" si="13"/>
        <v>0</v>
      </c>
      <c r="AD37" s="246">
        <f t="shared" si="13"/>
        <v>0</v>
      </c>
      <c r="AE37" s="246">
        <f t="shared" si="13"/>
        <v>0</v>
      </c>
      <c r="AF37" s="246">
        <f t="shared" si="13"/>
        <v>0</v>
      </c>
      <c r="AG37" s="246">
        <f t="shared" si="13"/>
        <v>0</v>
      </c>
      <c r="AH37" s="246">
        <f t="shared" si="13"/>
        <v>0</v>
      </c>
      <c r="AI37" s="246">
        <f t="shared" si="13"/>
        <v>0</v>
      </c>
      <c r="AJ37" s="246">
        <f t="shared" si="13"/>
        <v>0</v>
      </c>
      <c r="AK37" s="246">
        <f t="shared" si="13"/>
        <v>0</v>
      </c>
      <c r="AL37" s="246">
        <f t="shared" si="13"/>
        <v>0</v>
      </c>
      <c r="AM37" s="246">
        <f t="shared" si="13"/>
        <v>0</v>
      </c>
      <c r="AN37" s="246">
        <f t="shared" si="13"/>
        <v>0</v>
      </c>
      <c r="AO37" s="246">
        <f t="shared" si="13"/>
        <v>0</v>
      </c>
      <c r="AP37" s="246">
        <f t="shared" si="13"/>
        <v>0</v>
      </c>
      <c r="AQ37" s="246">
        <f t="shared" si="13"/>
        <v>0</v>
      </c>
      <c r="AR37" s="246">
        <f t="shared" si="13"/>
        <v>0</v>
      </c>
      <c r="AS37" s="246">
        <f t="shared" si="13"/>
        <v>0</v>
      </c>
      <c r="AT37" s="246">
        <f t="shared" si="13"/>
        <v>0</v>
      </c>
      <c r="AU37" s="246">
        <f t="shared" si="13"/>
        <v>0</v>
      </c>
      <c r="AV37" s="246">
        <f t="shared" si="13"/>
        <v>0</v>
      </c>
      <c r="AW37" s="246">
        <f t="shared" si="13"/>
        <v>0</v>
      </c>
      <c r="AX37" s="246">
        <f t="shared" si="13"/>
        <v>0</v>
      </c>
      <c r="AY37" s="246">
        <f t="shared" si="13"/>
        <v>0</v>
      </c>
      <c r="AZ37" s="246">
        <f t="shared" si="13"/>
        <v>0</v>
      </c>
      <c r="BA37" s="246">
        <f t="shared" si="13"/>
        <v>0</v>
      </c>
      <c r="BB37" s="246">
        <f t="shared" si="13"/>
        <v>0</v>
      </c>
      <c r="BC37" s="246">
        <f t="shared" si="13"/>
        <v>0</v>
      </c>
      <c r="BD37" s="246">
        <f t="shared" si="13"/>
        <v>0</v>
      </c>
      <c r="BE37" s="246">
        <f t="shared" si="13"/>
        <v>0</v>
      </c>
      <c r="BF37" s="246">
        <f t="shared" si="13"/>
        <v>0</v>
      </c>
      <c r="BG37" s="246">
        <f t="shared" si="13"/>
        <v>0</v>
      </c>
      <c r="BH37" s="246">
        <f t="shared" si="13"/>
        <v>0</v>
      </c>
      <c r="BI37" s="246">
        <f t="shared" si="13"/>
        <v>0</v>
      </c>
      <c r="BJ37" s="246">
        <f t="shared" si="13"/>
        <v>0</v>
      </c>
      <c r="BK37" s="246">
        <f t="shared" si="13"/>
        <v>0</v>
      </c>
      <c r="BL37" s="246">
        <f t="shared" si="13"/>
        <v>0</v>
      </c>
      <c r="BM37" s="246">
        <f t="shared" si="13"/>
        <v>0</v>
      </c>
      <c r="BN37" s="246">
        <f t="shared" ref="BN37:BX37" si="14">SUM(BN38:BN48)</f>
        <v>0</v>
      </c>
      <c r="BO37" s="246">
        <f t="shared" si="14"/>
        <v>0</v>
      </c>
      <c r="BP37" s="246">
        <f t="shared" si="14"/>
        <v>0</v>
      </c>
      <c r="BQ37" s="246">
        <f t="shared" si="14"/>
        <v>0</v>
      </c>
      <c r="BR37" s="246">
        <f t="shared" si="14"/>
        <v>0</v>
      </c>
      <c r="BS37" s="246">
        <f t="shared" si="14"/>
        <v>0</v>
      </c>
      <c r="BT37" s="246">
        <f t="shared" si="14"/>
        <v>0</v>
      </c>
      <c r="BU37" s="246">
        <f t="shared" si="14"/>
        <v>0</v>
      </c>
      <c r="BV37" s="246">
        <f t="shared" si="14"/>
        <v>0</v>
      </c>
      <c r="BW37" s="246">
        <f t="shared" si="14"/>
        <v>0</v>
      </c>
      <c r="BX37" s="246">
        <f t="shared" si="14"/>
        <v>0</v>
      </c>
      <c r="BY37" s="248">
        <f>SUM(BY38:BY42,BY45:BY48)</f>
        <v>-9411379.6576000005</v>
      </c>
      <c r="BZ37" s="597"/>
      <c r="CA37" s="222"/>
      <c r="CB37" s="248"/>
      <c r="CC37" s="597"/>
      <c r="CD37" s="222"/>
      <c r="CE37" s="238"/>
      <c r="CF37" s="222"/>
      <c r="CG37" s="222"/>
      <c r="CH37" s="222"/>
      <c r="CI37" s="222"/>
      <c r="CJ37" s="222"/>
      <c r="CK37" s="222"/>
      <c r="CL37" s="222"/>
      <c r="CM37" s="222"/>
      <c r="CN37" s="222"/>
      <c r="CO37" s="222"/>
      <c r="CP37" s="222"/>
      <c r="CQ37" s="222"/>
      <c r="CR37" s="222"/>
      <c r="CS37" s="222"/>
      <c r="CT37" s="222"/>
      <c r="CU37" s="222"/>
      <c r="CV37" s="222"/>
      <c r="CW37" s="222"/>
      <c r="CX37" s="222"/>
      <c r="CY37" s="222"/>
      <c r="CZ37" s="222"/>
      <c r="DA37" s="222"/>
      <c r="DB37" s="222"/>
      <c r="DC37" s="222"/>
      <c r="DD37" s="222"/>
      <c r="DE37" s="222"/>
      <c r="DF37" s="222"/>
      <c r="DG37" s="222"/>
      <c r="DH37" s="222"/>
      <c r="DI37" s="222"/>
      <c r="DJ37" s="222"/>
      <c r="DK37" s="222"/>
      <c r="DL37" s="222"/>
      <c r="DM37" s="222"/>
      <c r="DN37" s="222"/>
      <c r="DO37" s="222"/>
      <c r="DP37" s="222"/>
      <c r="DQ37" s="222"/>
      <c r="DR37" s="222"/>
      <c r="DS37" s="222"/>
      <c r="DT37" s="222"/>
      <c r="DU37" s="222"/>
      <c r="DV37" s="222"/>
      <c r="DW37" s="222"/>
      <c r="DX37" s="222"/>
      <c r="DY37" s="222"/>
      <c r="DZ37" s="222"/>
      <c r="EA37" s="222"/>
      <c r="EB37" s="222"/>
      <c r="EC37" s="222"/>
      <c r="ED37" s="222"/>
      <c r="EE37" s="222"/>
      <c r="EF37" s="222"/>
      <c r="EG37" s="222"/>
      <c r="EH37" s="222"/>
    </row>
    <row r="38" spans="1:138" ht="15.95" hidden="1" outlineLevel="1">
      <c r="A38" s="505"/>
      <c r="B38" s="600"/>
      <c r="C38" s="263" t="s">
        <v>170</v>
      </c>
      <c r="D38" s="250" t="s">
        <v>223</v>
      </c>
      <c r="E38" s="255"/>
      <c r="F38" s="255"/>
      <c r="G38" s="255"/>
      <c r="H38" s="256"/>
      <c r="I38" s="256">
        <f>-400000</f>
        <v>-400000</v>
      </c>
      <c r="J38" s="256">
        <f>-661353-(23520+28160+192281+20000)*1.21</f>
        <v>-980745.81</v>
      </c>
      <c r="K38" s="256"/>
      <c r="L38" s="256">
        <f>-(23520+28160+192281+20000)*1.21</f>
        <v>-319392.81</v>
      </c>
      <c r="M38" s="256">
        <f>-(23520+28160+192281+20000)*1.21-(23520+28160+192281+20000)*1.21</f>
        <v>-638785.62</v>
      </c>
      <c r="N38" s="256"/>
      <c r="O38" s="256">
        <f>-(23520+28160+192281+20000)*1.21*2</f>
        <v>-638785.62</v>
      </c>
      <c r="P38" s="256">
        <f>-(23520+28160+192281+20000)*1.21</f>
        <v>-319392.81</v>
      </c>
      <c r="Q38" s="256"/>
      <c r="R38" s="256">
        <f>-(23520+28160+192281+20000)*1.21</f>
        <v>-319392.81</v>
      </c>
      <c r="S38" s="256"/>
      <c r="T38" s="256"/>
      <c r="U38" s="256"/>
      <c r="V38" s="256">
        <f>-487954</f>
        <v>-487954</v>
      </c>
      <c r="W38" s="256">
        <f>-387319</f>
        <v>-387319</v>
      </c>
      <c r="X38" s="256">
        <f t="shared" ref="X38:Z38" si="15">-387318</f>
        <v>-387318</v>
      </c>
      <c r="Y38" s="256">
        <f t="shared" si="15"/>
        <v>-387318</v>
      </c>
      <c r="Z38" s="256">
        <f t="shared" si="15"/>
        <v>-387318</v>
      </c>
      <c r="AA38" s="256">
        <f>-237572</f>
        <v>-237572</v>
      </c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67"/>
      <c r="BY38" s="261">
        <f t="shared" ref="BY38:BY48" si="16">SUM(E38:BX38)</f>
        <v>-5891294.4800000004</v>
      </c>
      <c r="BZ38" s="597"/>
      <c r="CA38" s="222"/>
      <c r="CB38" s="248"/>
      <c r="CC38" s="597"/>
      <c r="CD38" s="222"/>
      <c r="CE38" s="222"/>
      <c r="CF38" s="222"/>
      <c r="CG38" s="222"/>
      <c r="CH38" s="222"/>
      <c r="CI38" s="222"/>
      <c r="CJ38" s="222"/>
      <c r="CK38" s="222"/>
      <c r="CL38" s="222"/>
      <c r="CM38" s="222"/>
      <c r="CN38" s="222"/>
      <c r="CO38" s="222"/>
      <c r="CP38" s="222"/>
      <c r="CQ38" s="222"/>
      <c r="CR38" s="222"/>
      <c r="CS38" s="222"/>
      <c r="CT38" s="222"/>
      <c r="CU38" s="222"/>
      <c r="CV38" s="222"/>
      <c r="CW38" s="222"/>
      <c r="CX38" s="222"/>
      <c r="CY38" s="222"/>
      <c r="CZ38" s="222"/>
      <c r="DA38" s="222"/>
      <c r="DB38" s="222"/>
      <c r="DC38" s="222"/>
      <c r="DD38" s="222"/>
      <c r="DE38" s="222"/>
      <c r="DF38" s="222"/>
      <c r="DG38" s="222"/>
      <c r="DH38" s="222"/>
      <c r="DI38" s="222"/>
      <c r="DJ38" s="222"/>
      <c r="DK38" s="222"/>
      <c r="DL38" s="222"/>
      <c r="DM38" s="222"/>
      <c r="DN38" s="222"/>
      <c r="DO38" s="222"/>
      <c r="DP38" s="222"/>
      <c r="DQ38" s="222"/>
      <c r="DR38" s="222"/>
      <c r="DS38" s="222"/>
      <c r="DT38" s="222"/>
      <c r="DU38" s="222"/>
      <c r="DV38" s="222"/>
      <c r="DW38" s="222"/>
      <c r="DX38" s="222"/>
      <c r="DY38" s="222"/>
      <c r="DZ38" s="222"/>
      <c r="EA38" s="222"/>
      <c r="EB38" s="222"/>
      <c r="EC38" s="222"/>
      <c r="ED38" s="222"/>
      <c r="EE38" s="222"/>
      <c r="EF38" s="222"/>
      <c r="EG38" s="222"/>
      <c r="EH38" s="222"/>
    </row>
    <row r="39" spans="1:138" ht="15.95" hidden="1" outlineLevel="1">
      <c r="A39" s="505"/>
      <c r="B39" s="600"/>
      <c r="C39" s="263" t="s">
        <v>171</v>
      </c>
      <c r="D39" s="250" t="s">
        <v>223</v>
      </c>
      <c r="E39" s="255"/>
      <c r="F39" s="255"/>
      <c r="G39" s="255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67"/>
      <c r="BY39" s="262">
        <f t="shared" si="16"/>
        <v>0</v>
      </c>
      <c r="BZ39" s="597"/>
      <c r="CA39" s="222"/>
      <c r="CB39" s="248"/>
      <c r="CC39" s="597"/>
      <c r="CD39" s="222"/>
      <c r="CE39" s="222">
        <f>1880000</f>
        <v>1880000</v>
      </c>
      <c r="CF39" s="222"/>
      <c r="CG39" s="222"/>
      <c r="CH39" s="222"/>
      <c r="CI39" s="222"/>
      <c r="CJ39" s="222"/>
      <c r="CK39" s="222"/>
      <c r="CL39" s="222"/>
      <c r="CM39" s="222"/>
      <c r="CN39" s="222"/>
      <c r="CO39" s="222"/>
      <c r="CP39" s="222"/>
      <c r="CQ39" s="222"/>
      <c r="CR39" s="222"/>
      <c r="CS39" s="222"/>
      <c r="CT39" s="222"/>
      <c r="CU39" s="222"/>
      <c r="CV39" s="222"/>
      <c r="CW39" s="222"/>
      <c r="CX39" s="222"/>
      <c r="CY39" s="222"/>
      <c r="CZ39" s="222"/>
      <c r="DA39" s="222"/>
      <c r="DB39" s="222"/>
      <c r="DC39" s="222"/>
      <c r="DD39" s="222"/>
      <c r="DE39" s="222"/>
      <c r="DF39" s="222"/>
      <c r="DG39" s="222"/>
      <c r="DH39" s="222"/>
      <c r="DI39" s="222"/>
      <c r="DJ39" s="222"/>
      <c r="DK39" s="222"/>
      <c r="DL39" s="222"/>
      <c r="DM39" s="222"/>
      <c r="DN39" s="222"/>
      <c r="DO39" s="222"/>
      <c r="DP39" s="222"/>
      <c r="DQ39" s="222"/>
      <c r="DR39" s="222"/>
      <c r="DS39" s="222"/>
      <c r="DT39" s="222"/>
      <c r="DU39" s="222"/>
      <c r="DV39" s="222"/>
      <c r="DW39" s="222"/>
      <c r="DX39" s="222"/>
      <c r="DY39" s="222"/>
      <c r="DZ39" s="222"/>
      <c r="EA39" s="222"/>
      <c r="EB39" s="222"/>
      <c r="EC39" s="222"/>
      <c r="ED39" s="222"/>
      <c r="EE39" s="222"/>
      <c r="EF39" s="222"/>
      <c r="EG39" s="222"/>
      <c r="EH39" s="222"/>
    </row>
    <row r="40" spans="1:138" ht="15.95" hidden="1" outlineLevel="1">
      <c r="A40" s="505"/>
      <c r="B40" s="600"/>
      <c r="C40" s="263" t="s">
        <v>172</v>
      </c>
      <c r="D40" s="250" t="s">
        <v>223</v>
      </c>
      <c r="E40" s="255"/>
      <c r="F40" s="255"/>
      <c r="G40" s="255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68"/>
      <c r="T40" s="268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67"/>
      <c r="BY40" s="262">
        <f t="shared" si="16"/>
        <v>0</v>
      </c>
      <c r="BZ40" s="597"/>
      <c r="CA40" s="222"/>
      <c r="CB40" s="248"/>
      <c r="CC40" s="597"/>
      <c r="CD40" s="222"/>
      <c r="CE40" s="333">
        <f>CE39*1.21</f>
        <v>2274800</v>
      </c>
      <c r="CF40" s="222"/>
      <c r="CG40" s="222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</row>
    <row r="41" spans="1:138" ht="15.95" hidden="1" outlineLevel="1">
      <c r="A41" s="505"/>
      <c r="B41" s="600"/>
      <c r="C41" s="263" t="s">
        <v>176</v>
      </c>
      <c r="D41" s="250" t="s">
        <v>223</v>
      </c>
      <c r="E41" s="255"/>
      <c r="F41" s="255"/>
      <c r="G41" s="255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68"/>
      <c r="S41" s="268"/>
      <c r="T41" s="268"/>
      <c r="U41" s="268"/>
      <c r="V41" s="268"/>
      <c r="W41" s="268"/>
      <c r="X41" s="268"/>
      <c r="Y41" s="268"/>
      <c r="Z41" s="268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67"/>
      <c r="BY41" s="262">
        <f t="shared" si="16"/>
        <v>0</v>
      </c>
      <c r="BZ41" s="597"/>
      <c r="CA41" s="222"/>
      <c r="CB41" s="248"/>
      <c r="CC41" s="597"/>
      <c r="CD41" s="222"/>
      <c r="CE41" s="222"/>
      <c r="CF41" s="222"/>
      <c r="CG41" s="222"/>
      <c r="CH41" s="222"/>
      <c r="CI41" s="222"/>
      <c r="CJ41" s="222"/>
      <c r="CK41" s="222"/>
      <c r="CL41" s="222"/>
      <c r="CM41" s="222"/>
      <c r="CN41" s="222"/>
      <c r="CO41" s="222"/>
      <c r="CP41" s="222"/>
      <c r="CQ41" s="222"/>
      <c r="CR41" s="222"/>
      <c r="CS41" s="222"/>
      <c r="CT41" s="222"/>
      <c r="CU41" s="222"/>
      <c r="CV41" s="222"/>
      <c r="CW41" s="222"/>
      <c r="CX41" s="222"/>
      <c r="CY41" s="222"/>
      <c r="CZ41" s="222"/>
      <c r="DA41" s="222"/>
      <c r="DB41" s="222"/>
      <c r="DC41" s="222"/>
      <c r="DD41" s="222"/>
      <c r="DE41" s="222"/>
      <c r="DF41" s="222"/>
      <c r="DG41" s="222"/>
      <c r="DH41" s="222"/>
      <c r="DI41" s="222"/>
      <c r="DJ41" s="222"/>
      <c r="DK41" s="222"/>
      <c r="DL41" s="222"/>
      <c r="DM41" s="222"/>
      <c r="DN41" s="222"/>
      <c r="DO41" s="222"/>
      <c r="DP41" s="222"/>
      <c r="DQ41" s="222"/>
      <c r="DR41" s="222"/>
      <c r="DS41" s="222"/>
      <c r="DT41" s="222"/>
      <c r="DU41" s="222"/>
      <c r="DV41" s="222"/>
      <c r="DW41" s="222"/>
      <c r="DX41" s="222"/>
      <c r="DY41" s="222"/>
      <c r="DZ41" s="222"/>
      <c r="EA41" s="222"/>
      <c r="EB41" s="222"/>
      <c r="EC41" s="222"/>
      <c r="ED41" s="222"/>
      <c r="EE41" s="222"/>
      <c r="EF41" s="222"/>
      <c r="EG41" s="222"/>
      <c r="EH41" s="222"/>
    </row>
    <row r="42" spans="1:138" ht="15.95" hidden="1" outlineLevel="1">
      <c r="A42" s="505"/>
      <c r="B42" s="600"/>
      <c r="C42" s="249" t="s">
        <v>177</v>
      </c>
      <c r="D42" s="269" t="s">
        <v>223</v>
      </c>
      <c r="E42" s="270"/>
      <c r="F42" s="271"/>
      <c r="G42" s="271"/>
      <c r="H42" s="271">
        <f t="shared" ref="H42:AF42" si="17">SUM(H43:H44)</f>
        <v>-36364</v>
      </c>
      <c r="I42" s="271">
        <f t="shared" si="17"/>
        <v>-8194</v>
      </c>
      <c r="J42" s="271">
        <f t="shared" si="17"/>
        <v>-27000</v>
      </c>
      <c r="K42" s="271">
        <f t="shared" si="17"/>
        <v>-7113</v>
      </c>
      <c r="L42" s="271">
        <f t="shared" si="17"/>
        <v>-5262</v>
      </c>
      <c r="M42" s="271">
        <f t="shared" si="17"/>
        <v>-3613</v>
      </c>
      <c r="N42" s="271">
        <f t="shared" si="17"/>
        <v>-3999</v>
      </c>
      <c r="O42" s="271">
        <f t="shared" si="17"/>
        <v>-6441</v>
      </c>
      <c r="P42" s="271">
        <f t="shared" si="17"/>
        <v>-8402</v>
      </c>
      <c r="Q42" s="271">
        <f t="shared" si="17"/>
        <v>-8131</v>
      </c>
      <c r="R42" s="271">
        <f t="shared" si="17"/>
        <v>-101110.85</v>
      </c>
      <c r="S42" s="271">
        <f t="shared" si="17"/>
        <v>-22651</v>
      </c>
      <c r="T42" s="271">
        <f t="shared" si="17"/>
        <v>-18691</v>
      </c>
      <c r="U42" s="271">
        <f t="shared" si="17"/>
        <v>-10000</v>
      </c>
      <c r="V42" s="271">
        <f t="shared" si="17"/>
        <v>-10000</v>
      </c>
      <c r="W42" s="271">
        <f t="shared" si="17"/>
        <v>-5959</v>
      </c>
      <c r="X42" s="271">
        <f t="shared" si="17"/>
        <v>-10000</v>
      </c>
      <c r="Y42" s="271">
        <f t="shared" si="17"/>
        <v>-10000</v>
      </c>
      <c r="Z42" s="271">
        <f t="shared" si="17"/>
        <v>-10000</v>
      </c>
      <c r="AA42" s="271">
        <f t="shared" si="17"/>
        <v>-10000</v>
      </c>
      <c r="AB42" s="271">
        <f t="shared" si="17"/>
        <v>-110000</v>
      </c>
      <c r="AC42" s="271">
        <f t="shared" si="17"/>
        <v>0</v>
      </c>
      <c r="AD42" s="271">
        <f t="shared" si="17"/>
        <v>0</v>
      </c>
      <c r="AE42" s="271">
        <f t="shared" si="17"/>
        <v>0</v>
      </c>
      <c r="AF42" s="271">
        <f t="shared" si="17"/>
        <v>0</v>
      </c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2"/>
      <c r="BN42" s="251"/>
      <c r="BO42" s="251"/>
      <c r="BP42" s="251"/>
      <c r="BQ42" s="251"/>
      <c r="BR42" s="251"/>
      <c r="BS42" s="251"/>
      <c r="BT42" s="251"/>
      <c r="BU42" s="251"/>
      <c r="BV42" s="251"/>
      <c r="BW42" s="251"/>
      <c r="BX42" s="260"/>
      <c r="BY42" s="262">
        <f t="shared" si="16"/>
        <v>-432930.85</v>
      </c>
      <c r="BZ42" s="597"/>
      <c r="CA42" s="222"/>
      <c r="CB42" s="248"/>
      <c r="CC42" s="597"/>
      <c r="CD42" s="222"/>
      <c r="CE42" s="222"/>
      <c r="CF42" s="222"/>
      <c r="CG42" s="222"/>
      <c r="CH42" s="222"/>
      <c r="CI42" s="222"/>
      <c r="CJ42" s="222"/>
      <c r="CK42" s="222"/>
      <c r="CL42" s="222"/>
      <c r="CM42" s="222"/>
      <c r="CN42" s="222"/>
      <c r="CO42" s="222"/>
      <c r="CP42" s="222"/>
      <c r="CQ42" s="222"/>
      <c r="CR42" s="222"/>
      <c r="CS42" s="222"/>
      <c r="CT42" s="222"/>
      <c r="CU42" s="222"/>
      <c r="CV42" s="222"/>
      <c r="CW42" s="222"/>
      <c r="CX42" s="222"/>
      <c r="CY42" s="222"/>
      <c r="CZ42" s="222"/>
      <c r="DA42" s="222"/>
      <c r="DB42" s="222"/>
      <c r="DC42" s="222"/>
      <c r="DD42" s="222"/>
      <c r="DE42" s="222"/>
      <c r="DF42" s="222"/>
      <c r="DG42" s="222"/>
      <c r="DH42" s="222"/>
      <c r="DI42" s="222"/>
      <c r="DJ42" s="222"/>
      <c r="DK42" s="222"/>
      <c r="DL42" s="222"/>
      <c r="DM42" s="222"/>
      <c r="DN42" s="222"/>
      <c r="DO42" s="222"/>
      <c r="DP42" s="222"/>
      <c r="DQ42" s="222"/>
      <c r="DR42" s="222"/>
      <c r="DS42" s="222"/>
      <c r="DT42" s="222"/>
      <c r="DU42" s="222"/>
      <c r="DV42" s="222"/>
      <c r="DW42" s="222"/>
      <c r="DX42" s="222"/>
      <c r="DY42" s="222"/>
      <c r="DZ42" s="222"/>
      <c r="EA42" s="222"/>
      <c r="EB42" s="222"/>
      <c r="EC42" s="222"/>
      <c r="ED42" s="222"/>
      <c r="EE42" s="222"/>
      <c r="EF42" s="222"/>
      <c r="EG42" s="222"/>
      <c r="EH42" s="222"/>
    </row>
    <row r="43" spans="1:138" ht="15.95" hidden="1" outlineLevel="2">
      <c r="A43" s="505"/>
      <c r="B43" s="600"/>
      <c r="C43" s="273" t="s">
        <v>243</v>
      </c>
      <c r="D43" s="250" t="s">
        <v>223</v>
      </c>
      <c r="E43" s="251"/>
      <c r="F43" s="251"/>
      <c r="G43" s="251"/>
      <c r="H43" s="274">
        <f>-11364</f>
        <v>-11364</v>
      </c>
      <c r="I43" s="274">
        <f>-8194</f>
        <v>-8194</v>
      </c>
      <c r="J43" s="274"/>
      <c r="K43" s="274">
        <f>-3219-3894</f>
        <v>-7113</v>
      </c>
      <c r="L43" s="274">
        <f>-5262</f>
        <v>-5262</v>
      </c>
      <c r="M43" s="274">
        <f>-3613</f>
        <v>-3613</v>
      </c>
      <c r="N43" s="274">
        <f>-3999</f>
        <v>-3999</v>
      </c>
      <c r="O43" s="274">
        <f>-6441</f>
        <v>-6441</v>
      </c>
      <c r="P43" s="274">
        <f>-8402</f>
        <v>-8402</v>
      </c>
      <c r="Q43" s="274">
        <f>-8131</f>
        <v>-8131</v>
      </c>
      <c r="R43" s="274">
        <f>-4200-5816</f>
        <v>-10016</v>
      </c>
      <c r="S43" s="274">
        <f>-22651</f>
        <v>-22651</v>
      </c>
      <c r="T43" s="274">
        <f>-18691</f>
        <v>-18691</v>
      </c>
      <c r="U43" s="274">
        <f>-(Businessplan_prodej!$F$88-3000*25)/11</f>
        <v>-10000</v>
      </c>
      <c r="V43" s="274">
        <f>-(Businessplan_prodej!$F$88-3000*25)/11</f>
        <v>-10000</v>
      </c>
      <c r="W43" s="274">
        <f>-5959</f>
        <v>-5959</v>
      </c>
      <c r="X43" s="274">
        <f>-(Businessplan_prodej!$F$88-3000*25)/11</f>
        <v>-10000</v>
      </c>
      <c r="Y43" s="274">
        <f>-(Businessplan_prodej!$F$88-3000*25)/11</f>
        <v>-10000</v>
      </c>
      <c r="Z43" s="274">
        <f>-(Businessplan_prodej!$F$88-3000*25)/11</f>
        <v>-10000</v>
      </c>
      <c r="AA43" s="274">
        <f>-(Businessplan_prodej!$F$88-3000*25)/11</f>
        <v>-10000</v>
      </c>
      <c r="AB43" s="274">
        <f>-(Businessplan_prodej!$F$88-3000*25)/11</f>
        <v>-10000</v>
      </c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51"/>
      <c r="BO43" s="251"/>
      <c r="BP43" s="251"/>
      <c r="BQ43" s="251"/>
      <c r="BR43" s="251"/>
      <c r="BS43" s="251"/>
      <c r="BT43" s="251"/>
      <c r="BU43" s="251"/>
      <c r="BV43" s="251"/>
      <c r="BW43" s="251"/>
      <c r="BX43" s="260"/>
      <c r="BY43" s="262">
        <f t="shared" si="16"/>
        <v>-189836</v>
      </c>
      <c r="BZ43" s="597"/>
      <c r="CA43" s="222"/>
      <c r="CB43" s="248"/>
      <c r="CC43" s="597"/>
      <c r="CD43" s="222"/>
      <c r="CE43" s="222">
        <f>SUM(V39:Z39)/-1.21</f>
        <v>0</v>
      </c>
      <c r="CF43" s="222"/>
      <c r="CG43" s="222"/>
      <c r="CH43" s="222"/>
      <c r="CI43" s="222"/>
      <c r="CJ43" s="222"/>
      <c r="CK43" s="222"/>
      <c r="CL43" s="222"/>
      <c r="CM43" s="222"/>
      <c r="CN43" s="222"/>
      <c r="CO43" s="222"/>
      <c r="CP43" s="222"/>
      <c r="CQ43" s="222"/>
      <c r="CR43" s="222"/>
      <c r="CS43" s="222"/>
      <c r="CT43" s="222"/>
      <c r="CU43" s="222"/>
      <c r="CV43" s="222"/>
      <c r="CW43" s="222"/>
      <c r="CX43" s="222"/>
      <c r="CY43" s="222"/>
      <c r="CZ43" s="222"/>
      <c r="DA43" s="222"/>
      <c r="DB43" s="222"/>
      <c r="DC43" s="222"/>
      <c r="DD43" s="222"/>
      <c r="DE43" s="222"/>
      <c r="DF43" s="222"/>
      <c r="DG43" s="222"/>
      <c r="DH43" s="222"/>
      <c r="DI43" s="222"/>
      <c r="DJ43" s="222"/>
      <c r="DK43" s="222"/>
      <c r="DL43" s="222"/>
      <c r="DM43" s="222"/>
      <c r="DN43" s="222"/>
      <c r="DO43" s="222"/>
      <c r="DP43" s="222"/>
      <c r="DQ43" s="222"/>
      <c r="DR43" s="222"/>
      <c r="DS43" s="222"/>
      <c r="DT43" s="222"/>
      <c r="DU43" s="222"/>
      <c r="DV43" s="222"/>
      <c r="DW43" s="222"/>
      <c r="DX43" s="222"/>
      <c r="DY43" s="222"/>
      <c r="DZ43" s="222"/>
      <c r="EA43" s="222"/>
      <c r="EB43" s="222"/>
      <c r="EC43" s="222"/>
      <c r="ED43" s="222"/>
      <c r="EE43" s="222"/>
      <c r="EF43" s="222"/>
      <c r="EG43" s="222"/>
      <c r="EH43" s="222"/>
    </row>
    <row r="44" spans="1:138" ht="15.95" hidden="1" outlineLevel="2">
      <c r="A44" s="505"/>
      <c r="B44" s="600"/>
      <c r="C44" s="273" t="s">
        <v>244</v>
      </c>
      <c r="D44" s="250" t="s">
        <v>223</v>
      </c>
      <c r="E44" s="251"/>
      <c r="F44" s="251"/>
      <c r="G44" s="251"/>
      <c r="H44" s="274">
        <f>-25000</f>
        <v>-25000</v>
      </c>
      <c r="I44" s="274"/>
      <c r="J44" s="274">
        <f>-27000</f>
        <v>-27000</v>
      </c>
      <c r="K44" s="274"/>
      <c r="L44" s="274"/>
      <c r="M44" s="274"/>
      <c r="N44" s="274"/>
      <c r="O44" s="274"/>
      <c r="P44" s="274"/>
      <c r="Q44" s="274"/>
      <c r="R44" s="274">
        <f>-91094.85</f>
        <v>-91094.85</v>
      </c>
      <c r="S44" s="274"/>
      <c r="T44" s="274"/>
      <c r="U44" s="274"/>
      <c r="V44" s="274"/>
      <c r="W44" s="274"/>
      <c r="X44" s="274"/>
      <c r="Y44" s="274"/>
      <c r="Z44" s="274"/>
      <c r="AA44" s="274"/>
      <c r="AB44" s="274">
        <f>-50000*2</f>
        <v>-100000</v>
      </c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51"/>
      <c r="BO44" s="251"/>
      <c r="BP44" s="251"/>
      <c r="BQ44" s="251"/>
      <c r="BR44" s="251"/>
      <c r="BS44" s="251"/>
      <c r="BT44" s="251"/>
      <c r="BU44" s="251"/>
      <c r="BV44" s="251"/>
      <c r="BW44" s="251"/>
      <c r="BX44" s="260"/>
      <c r="BY44" s="262">
        <f t="shared" si="16"/>
        <v>-243094.85</v>
      </c>
      <c r="BZ44" s="597"/>
      <c r="CA44" s="222"/>
      <c r="CB44" s="248"/>
      <c r="CC44" s="597"/>
      <c r="CD44" s="222"/>
      <c r="CE44" s="222"/>
      <c r="CF44" s="222"/>
      <c r="CG44" s="222"/>
      <c r="CH44" s="222"/>
      <c r="CI44" s="222"/>
      <c r="CJ44" s="222"/>
      <c r="CK44" s="222"/>
      <c r="CL44" s="222"/>
      <c r="CM44" s="222"/>
      <c r="CN44" s="222"/>
      <c r="CO44" s="222"/>
      <c r="CP44" s="222"/>
      <c r="CQ44" s="222"/>
      <c r="CR44" s="222"/>
      <c r="CS44" s="222"/>
      <c r="CT44" s="222"/>
      <c r="CU44" s="222"/>
      <c r="CV44" s="222"/>
      <c r="CW44" s="222"/>
      <c r="CX44" s="222"/>
      <c r="CY44" s="222"/>
      <c r="CZ44" s="222"/>
      <c r="DA44" s="222"/>
      <c r="DB44" s="222"/>
      <c r="DC44" s="222"/>
      <c r="DD44" s="222"/>
      <c r="DE44" s="222"/>
      <c r="DF44" s="222"/>
      <c r="DG44" s="222"/>
      <c r="DH44" s="222"/>
      <c r="DI44" s="222"/>
      <c r="DJ44" s="222"/>
      <c r="DK44" s="222"/>
      <c r="DL44" s="222"/>
      <c r="DM44" s="222"/>
      <c r="DN44" s="222"/>
      <c r="DO44" s="222"/>
      <c r="DP44" s="222"/>
      <c r="DQ44" s="222"/>
      <c r="DR44" s="222"/>
      <c r="DS44" s="222"/>
      <c r="DT44" s="222"/>
      <c r="DU44" s="222"/>
      <c r="DV44" s="222"/>
      <c r="DW44" s="222"/>
      <c r="DX44" s="222"/>
      <c r="DY44" s="222"/>
      <c r="DZ44" s="222"/>
      <c r="EA44" s="222"/>
      <c r="EB44" s="222"/>
      <c r="EC44" s="222"/>
      <c r="ED44" s="222"/>
      <c r="EE44" s="222"/>
      <c r="EF44" s="222"/>
      <c r="EG44" s="222"/>
      <c r="EH44" s="222"/>
    </row>
    <row r="45" spans="1:138" ht="15.95" hidden="1" outlineLevel="1">
      <c r="A45" s="505"/>
      <c r="B45" s="600"/>
      <c r="C45" s="249" t="s">
        <v>178</v>
      </c>
      <c r="D45" s="250" t="s">
        <v>223</v>
      </c>
      <c r="E45" s="251"/>
      <c r="F45" s="251"/>
      <c r="G45" s="251"/>
      <c r="H45" s="252">
        <f>-1000</f>
        <v>-1000</v>
      </c>
      <c r="I45" s="252"/>
      <c r="J45" s="252">
        <f>-100</f>
        <v>-100</v>
      </c>
      <c r="K45" s="252">
        <f>-7230</f>
        <v>-7230</v>
      </c>
      <c r="L45" s="252">
        <f>-1000-6742</f>
        <v>-7742</v>
      </c>
      <c r="M45" s="252">
        <f>-2000-20570-2000</f>
        <v>-24570</v>
      </c>
      <c r="N45" s="252">
        <f>-19360-1980</f>
        <v>-21340</v>
      </c>
      <c r="O45" s="252">
        <f>-7865-7000-19360-21780-43021</f>
        <v>-99026</v>
      </c>
      <c r="P45" s="252">
        <f>-7230-33957-13068-5082</f>
        <v>-59337</v>
      </c>
      <c r="Q45" s="252">
        <f>-4054</f>
        <v>-4054</v>
      </c>
      <c r="R45" s="252">
        <f>-7230</f>
        <v>-7230</v>
      </c>
      <c r="S45" s="252">
        <f>-4800-6776</f>
        <v>-11576</v>
      </c>
      <c r="T45" s="252">
        <f>-53142-60500-500</f>
        <v>-114142</v>
      </c>
      <c r="U45" s="252">
        <f t="shared" ref="U45:V45" si="18">-3500*1.21-19360</f>
        <v>-23595</v>
      </c>
      <c r="V45" s="252">
        <f t="shared" si="18"/>
        <v>-23595</v>
      </c>
      <c r="W45" s="252">
        <f>-500-15000-20570-19360-968-500-363</f>
        <v>-57261</v>
      </c>
      <c r="X45" s="252">
        <f t="shared" ref="X45:Y45" si="19">-3500*1.21-19360</f>
        <v>-23595</v>
      </c>
      <c r="Y45" s="252">
        <f t="shared" si="19"/>
        <v>-23595</v>
      </c>
      <c r="Z45" s="252">
        <f t="shared" ref="Z45:AB45" si="20">-3500*1.21</f>
        <v>-4235</v>
      </c>
      <c r="AA45" s="252">
        <f t="shared" si="20"/>
        <v>-4235</v>
      </c>
      <c r="AB45" s="252">
        <f t="shared" si="20"/>
        <v>-4235</v>
      </c>
      <c r="AC45" s="252"/>
      <c r="AD45" s="252"/>
      <c r="AE45" s="252"/>
      <c r="AF45" s="252"/>
      <c r="AG45" s="251"/>
      <c r="AH45" s="251"/>
      <c r="AI45" s="251"/>
      <c r="AJ45" s="251"/>
      <c r="AK45" s="251"/>
      <c r="AL45" s="251"/>
      <c r="AM45" s="251"/>
      <c r="AN45" s="251"/>
      <c r="AO45" s="251"/>
      <c r="AP45" s="251"/>
      <c r="AQ45" s="251"/>
      <c r="AR45" s="251"/>
      <c r="AS45" s="251"/>
      <c r="AT45" s="251"/>
      <c r="AU45" s="251"/>
      <c r="AV45" s="251"/>
      <c r="AW45" s="251"/>
      <c r="AX45" s="251"/>
      <c r="AY45" s="251"/>
      <c r="AZ45" s="251"/>
      <c r="BA45" s="251"/>
      <c r="BB45" s="251"/>
      <c r="BC45" s="251"/>
      <c r="BD45" s="251"/>
      <c r="BE45" s="251"/>
      <c r="BF45" s="251"/>
      <c r="BG45" s="251"/>
      <c r="BH45" s="251"/>
      <c r="BI45" s="251"/>
      <c r="BJ45" s="251"/>
      <c r="BK45" s="251"/>
      <c r="BL45" s="251"/>
      <c r="BM45" s="251"/>
      <c r="BN45" s="251"/>
      <c r="BO45" s="251"/>
      <c r="BP45" s="251"/>
      <c r="BQ45" s="251"/>
      <c r="BR45" s="251"/>
      <c r="BS45" s="251"/>
      <c r="BT45" s="251"/>
      <c r="BU45" s="251"/>
      <c r="BV45" s="251"/>
      <c r="BW45" s="251"/>
      <c r="BX45" s="260"/>
      <c r="BY45" s="262">
        <f t="shared" si="16"/>
        <v>-521693</v>
      </c>
      <c r="BZ45" s="597"/>
      <c r="CA45" s="222"/>
      <c r="CB45" s="248"/>
      <c r="CC45" s="597"/>
      <c r="CD45" s="222"/>
      <c r="CE45" s="222"/>
      <c r="CF45" s="222"/>
      <c r="CG45" s="222"/>
      <c r="CH45" s="222"/>
      <c r="CI45" s="222"/>
      <c r="CJ45" s="222"/>
      <c r="CK45" s="222"/>
      <c r="CL45" s="222"/>
      <c r="CM45" s="222"/>
      <c r="CN45" s="222"/>
      <c r="CO45" s="222"/>
      <c r="CP45" s="222"/>
      <c r="CQ45" s="222"/>
      <c r="CR45" s="222"/>
      <c r="CS45" s="222"/>
      <c r="CT45" s="222"/>
      <c r="CU45" s="222"/>
      <c r="CV45" s="222"/>
      <c r="CW45" s="222"/>
      <c r="CX45" s="222"/>
      <c r="CY45" s="222"/>
      <c r="CZ45" s="222"/>
      <c r="DA45" s="222"/>
      <c r="DB45" s="222"/>
      <c r="DC45" s="222"/>
      <c r="DD45" s="222"/>
      <c r="DE45" s="222"/>
      <c r="DF45" s="222"/>
      <c r="DG45" s="222"/>
      <c r="DH45" s="222"/>
      <c r="DI45" s="222"/>
      <c r="DJ45" s="222"/>
      <c r="DK45" s="222"/>
      <c r="DL45" s="222"/>
      <c r="DM45" s="222"/>
      <c r="DN45" s="222"/>
      <c r="DO45" s="222"/>
      <c r="DP45" s="222"/>
      <c r="DQ45" s="222"/>
      <c r="DR45" s="222"/>
      <c r="DS45" s="222"/>
      <c r="DT45" s="222"/>
      <c r="DU45" s="222"/>
      <c r="DV45" s="222"/>
      <c r="DW45" s="222"/>
      <c r="DX45" s="222"/>
      <c r="DY45" s="222"/>
      <c r="DZ45" s="222"/>
      <c r="EA45" s="222"/>
      <c r="EB45" s="222"/>
      <c r="EC45" s="222"/>
      <c r="ED45" s="222"/>
      <c r="EE45" s="222"/>
      <c r="EF45" s="222"/>
      <c r="EG45" s="222"/>
      <c r="EH45" s="222"/>
    </row>
    <row r="46" spans="1:138" ht="14.25" hidden="1" customHeight="1" outlineLevel="1">
      <c r="A46" s="505"/>
      <c r="B46" s="600"/>
      <c r="C46" s="249" t="s">
        <v>179</v>
      </c>
      <c r="D46" s="250" t="s">
        <v>223</v>
      </c>
      <c r="E46" s="251"/>
      <c r="F46" s="251"/>
      <c r="G46" s="251"/>
      <c r="H46" s="252">
        <f>-10188.2-65673</f>
        <v>-75861.2</v>
      </c>
      <c r="I46" s="252">
        <f>-6776</f>
        <v>-6776</v>
      </c>
      <c r="J46" s="252"/>
      <c r="K46" s="252">
        <f>-4900.5</f>
        <v>-4900.5</v>
      </c>
      <c r="L46" s="252"/>
      <c r="M46" s="252"/>
      <c r="N46" s="252"/>
      <c r="O46" s="252"/>
      <c r="P46" s="252">
        <f>-30250</f>
        <v>-30250</v>
      </c>
      <c r="Q46" s="252"/>
      <c r="R46" s="252"/>
      <c r="S46" s="252"/>
      <c r="T46" s="252"/>
      <c r="U46" s="252">
        <f>-Businessplan_prodej!$F$69*0.2*1.21</f>
        <v>-23557.54</v>
      </c>
      <c r="V46" s="252">
        <f>-Businessplan_prodej!$F$69*0.25*1.21</f>
        <v>-29446.924999999999</v>
      </c>
      <c r="W46" s="252">
        <f>-Businessplan_prodej!$F$69*0.3*1.21-$K$46</f>
        <v>-30435.809999999998</v>
      </c>
      <c r="X46" s="251"/>
      <c r="Y46" s="251"/>
      <c r="Z46" s="252"/>
      <c r="AA46" s="251"/>
      <c r="AB46" s="252">
        <f>-Businessplan_prodej!$F$69*0.25*1.21</f>
        <v>-29446.924999999999</v>
      </c>
      <c r="AC46" s="251"/>
      <c r="AD46" s="251"/>
      <c r="AE46" s="251"/>
      <c r="AF46" s="251"/>
      <c r="AG46" s="251"/>
      <c r="AH46" s="251"/>
      <c r="AI46" s="251"/>
      <c r="AJ46" s="251"/>
      <c r="AK46" s="251"/>
      <c r="AL46" s="251"/>
      <c r="AM46" s="251"/>
      <c r="AN46" s="251"/>
      <c r="AO46" s="251"/>
      <c r="AP46" s="251"/>
      <c r="AQ46" s="251"/>
      <c r="AR46" s="251"/>
      <c r="AS46" s="251"/>
      <c r="AT46" s="251"/>
      <c r="AU46" s="251"/>
      <c r="AV46" s="251"/>
      <c r="AW46" s="251"/>
      <c r="AX46" s="251"/>
      <c r="AY46" s="251"/>
      <c r="AZ46" s="251"/>
      <c r="BA46" s="251"/>
      <c r="BB46" s="251"/>
      <c r="BC46" s="251"/>
      <c r="BD46" s="251"/>
      <c r="BE46" s="251"/>
      <c r="BF46" s="251"/>
      <c r="BG46" s="251"/>
      <c r="BH46" s="251"/>
      <c r="BI46" s="251"/>
      <c r="BJ46" s="251"/>
      <c r="BK46" s="251"/>
      <c r="BL46" s="251"/>
      <c r="BM46" s="251"/>
      <c r="BN46" s="251"/>
      <c r="BO46" s="251"/>
      <c r="BP46" s="251"/>
      <c r="BQ46" s="251"/>
      <c r="BR46" s="251"/>
      <c r="BS46" s="251"/>
      <c r="BT46" s="251"/>
      <c r="BU46" s="251"/>
      <c r="BV46" s="251"/>
      <c r="BW46" s="251"/>
      <c r="BX46" s="260"/>
      <c r="BY46" s="262">
        <f t="shared" si="16"/>
        <v>-230674.89999999997</v>
      </c>
      <c r="BZ46" s="597"/>
      <c r="CA46" s="222"/>
      <c r="CB46" s="248"/>
      <c r="CC46" s="597"/>
      <c r="CD46" s="222"/>
      <c r="CE46" s="222"/>
      <c r="CF46" s="222"/>
      <c r="CG46" s="222"/>
      <c r="CH46" s="222"/>
      <c r="CI46" s="222"/>
      <c r="CJ46" s="222"/>
      <c r="CK46" s="222"/>
      <c r="CL46" s="222"/>
      <c r="CM46" s="222"/>
      <c r="CN46" s="222"/>
      <c r="CO46" s="222"/>
      <c r="CP46" s="222"/>
      <c r="CQ46" s="222"/>
      <c r="CR46" s="222"/>
      <c r="CS46" s="222"/>
      <c r="CT46" s="222"/>
      <c r="CU46" s="222"/>
      <c r="CV46" s="222"/>
      <c r="CW46" s="222"/>
      <c r="CX46" s="222"/>
      <c r="CY46" s="222"/>
      <c r="CZ46" s="222"/>
      <c r="DA46" s="222"/>
      <c r="DB46" s="222"/>
      <c r="DC46" s="222"/>
      <c r="DD46" s="222"/>
      <c r="DE46" s="222"/>
      <c r="DF46" s="222"/>
      <c r="DG46" s="222"/>
      <c r="DH46" s="222"/>
      <c r="DI46" s="222"/>
      <c r="DJ46" s="222"/>
      <c r="DK46" s="222"/>
      <c r="DL46" s="222"/>
      <c r="DM46" s="222"/>
      <c r="DN46" s="222"/>
      <c r="DO46" s="222"/>
      <c r="DP46" s="222"/>
      <c r="DQ46" s="222"/>
      <c r="DR46" s="222"/>
      <c r="DS46" s="222"/>
      <c r="DT46" s="222"/>
      <c r="DU46" s="222"/>
      <c r="DV46" s="222"/>
      <c r="DW46" s="222"/>
      <c r="DX46" s="222"/>
      <c r="DY46" s="222"/>
      <c r="DZ46" s="222"/>
      <c r="EA46" s="222"/>
      <c r="EB46" s="222"/>
      <c r="EC46" s="222"/>
      <c r="ED46" s="222"/>
      <c r="EE46" s="222"/>
      <c r="EF46" s="222"/>
      <c r="EG46" s="222"/>
      <c r="EH46" s="222"/>
    </row>
    <row r="47" spans="1:138" ht="14.25" hidden="1" customHeight="1" outlineLevel="1">
      <c r="A47" s="505"/>
      <c r="B47" s="600"/>
      <c r="C47" s="249" t="s">
        <v>180</v>
      </c>
      <c r="D47" s="250" t="s">
        <v>223</v>
      </c>
      <c r="E47" s="251"/>
      <c r="F47" s="251"/>
      <c r="G47" s="251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>
        <f>-Businessplan_prodej!$F$91*0.2*1.21</f>
        <v>-43560</v>
      </c>
      <c r="V47" s="251"/>
      <c r="W47" s="252"/>
      <c r="X47" s="251"/>
      <c r="Y47" s="252"/>
      <c r="Z47" s="252"/>
      <c r="AA47" s="252">
        <f>-Businessplan_prodej!$F$91*0.3*1.21</f>
        <v>-65340</v>
      </c>
      <c r="AB47" s="252">
        <f>-Businessplan_prodej!$F$91*0.5*1.21</f>
        <v>-108900</v>
      </c>
      <c r="AC47" s="251"/>
      <c r="AD47" s="251"/>
      <c r="AE47" s="251"/>
      <c r="AF47" s="251"/>
      <c r="AG47" s="251"/>
      <c r="AH47" s="251"/>
      <c r="AI47" s="251"/>
      <c r="AJ47" s="251"/>
      <c r="AK47" s="251"/>
      <c r="AL47" s="251"/>
      <c r="AM47" s="251"/>
      <c r="AN47" s="251"/>
      <c r="AO47" s="251"/>
      <c r="AP47" s="251"/>
      <c r="AQ47" s="251"/>
      <c r="AR47" s="251"/>
      <c r="AS47" s="251"/>
      <c r="AT47" s="251"/>
      <c r="AU47" s="251"/>
      <c r="AV47" s="251"/>
      <c r="AW47" s="251"/>
      <c r="AX47" s="251"/>
      <c r="AY47" s="251"/>
      <c r="AZ47" s="251"/>
      <c r="BA47" s="251"/>
      <c r="BB47" s="251"/>
      <c r="BC47" s="251"/>
      <c r="BD47" s="251"/>
      <c r="BE47" s="251"/>
      <c r="BF47" s="251"/>
      <c r="BG47" s="251"/>
      <c r="BH47" s="251"/>
      <c r="BI47" s="251"/>
      <c r="BJ47" s="251"/>
      <c r="BK47" s="251"/>
      <c r="BL47" s="251"/>
      <c r="BM47" s="251"/>
      <c r="BN47" s="251"/>
      <c r="BO47" s="251"/>
      <c r="BP47" s="251"/>
      <c r="BQ47" s="251"/>
      <c r="BR47" s="251"/>
      <c r="BS47" s="251"/>
      <c r="BT47" s="251"/>
      <c r="BU47" s="251"/>
      <c r="BV47" s="251"/>
      <c r="BW47" s="251"/>
      <c r="BX47" s="260"/>
      <c r="BY47" s="262">
        <f t="shared" si="16"/>
        <v>-217800</v>
      </c>
      <c r="BZ47" s="597"/>
      <c r="CA47" s="222"/>
      <c r="CB47" s="248"/>
      <c r="CC47" s="597"/>
      <c r="CD47" s="222"/>
      <c r="CE47" s="222"/>
      <c r="CF47" s="222"/>
      <c r="CG47" s="222"/>
      <c r="CH47" s="222"/>
      <c r="CI47" s="222"/>
      <c r="CJ47" s="222"/>
      <c r="CK47" s="222"/>
      <c r="CL47" s="222"/>
      <c r="CM47" s="222"/>
      <c r="CN47" s="222"/>
      <c r="CO47" s="222"/>
      <c r="CP47" s="222"/>
      <c r="CQ47" s="222"/>
      <c r="CR47" s="222"/>
      <c r="CS47" s="222"/>
      <c r="CT47" s="222"/>
      <c r="CU47" s="222"/>
      <c r="CV47" s="222"/>
      <c r="CW47" s="222"/>
      <c r="CX47" s="222"/>
      <c r="CY47" s="222"/>
      <c r="CZ47" s="222"/>
      <c r="DA47" s="222"/>
      <c r="DB47" s="222"/>
      <c r="DC47" s="222"/>
      <c r="DD47" s="222"/>
      <c r="DE47" s="222"/>
      <c r="DF47" s="222"/>
      <c r="DG47" s="222"/>
      <c r="DH47" s="222"/>
      <c r="DI47" s="222"/>
      <c r="DJ47" s="222"/>
      <c r="DK47" s="222"/>
      <c r="DL47" s="222"/>
      <c r="DM47" s="222"/>
      <c r="DN47" s="222"/>
      <c r="DO47" s="222"/>
      <c r="DP47" s="222"/>
      <c r="DQ47" s="222"/>
      <c r="DR47" s="222"/>
      <c r="DS47" s="222"/>
      <c r="DT47" s="222"/>
      <c r="DU47" s="222"/>
      <c r="DV47" s="222"/>
      <c r="DW47" s="222"/>
      <c r="DX47" s="222"/>
      <c r="DY47" s="222"/>
      <c r="DZ47" s="222"/>
      <c r="EA47" s="222"/>
      <c r="EB47" s="222"/>
      <c r="EC47" s="222"/>
      <c r="ED47" s="222"/>
      <c r="EE47" s="222"/>
      <c r="EF47" s="222"/>
      <c r="EG47" s="222"/>
      <c r="EH47" s="222"/>
    </row>
    <row r="48" spans="1:138" ht="14.25" hidden="1" customHeight="1" outlineLevel="1">
      <c r="A48" s="505"/>
      <c r="B48" s="600"/>
      <c r="C48" s="249" t="s">
        <v>181</v>
      </c>
      <c r="D48" s="254" t="s">
        <v>223</v>
      </c>
      <c r="E48" s="251"/>
      <c r="F48" s="251"/>
      <c r="G48" s="251"/>
      <c r="H48" s="252"/>
      <c r="I48" s="252"/>
      <c r="J48" s="252"/>
      <c r="K48" s="252">
        <f>-((17529*2*25.2+44407*2)*1.21)*75%</f>
        <v>-882340.10700000008</v>
      </c>
      <c r="L48" s="252"/>
      <c r="M48" s="252"/>
      <c r="N48" s="252"/>
      <c r="O48" s="252"/>
      <c r="P48" s="252"/>
      <c r="Q48" s="252">
        <f>-((17529*2*25.2+44407*2)*1.21)*25%</f>
        <v>-294113.36900000001</v>
      </c>
      <c r="R48" s="252"/>
      <c r="S48" s="252"/>
      <c r="T48" s="252"/>
      <c r="U48" s="252"/>
      <c r="V48" s="334">
        <f>-842885</f>
        <v>-842885</v>
      </c>
      <c r="W48" s="251"/>
      <c r="X48" s="251"/>
      <c r="Y48" s="251"/>
      <c r="Z48" s="252">
        <f>-Businessplan_prodej!F92*1.21-V48</f>
        <v>-97647.951599999797</v>
      </c>
      <c r="AA48" s="251"/>
      <c r="AB48" s="251"/>
      <c r="AC48" s="251"/>
      <c r="AD48" s="251"/>
      <c r="AE48" s="251"/>
      <c r="AF48" s="251"/>
      <c r="AG48" s="25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251"/>
      <c r="BF48" s="251"/>
      <c r="BG48" s="251"/>
      <c r="BH48" s="251"/>
      <c r="BI48" s="251"/>
      <c r="BJ48" s="251"/>
      <c r="BK48" s="251"/>
      <c r="BL48" s="251"/>
      <c r="BM48" s="251"/>
      <c r="BN48" s="251"/>
      <c r="BO48" s="251"/>
      <c r="BP48" s="251"/>
      <c r="BQ48" s="251"/>
      <c r="BR48" s="251"/>
      <c r="BS48" s="251"/>
      <c r="BT48" s="251"/>
      <c r="BU48" s="251"/>
      <c r="BV48" s="251"/>
      <c r="BW48" s="251"/>
      <c r="BX48" s="260"/>
      <c r="BY48" s="262">
        <f t="shared" si="16"/>
        <v>-2116986.4276000001</v>
      </c>
      <c r="BZ48" s="597"/>
      <c r="CA48" s="222"/>
      <c r="CB48" s="248"/>
      <c r="CC48" s="597"/>
      <c r="CD48" s="222"/>
      <c r="CE48" s="222"/>
      <c r="CF48" s="222"/>
      <c r="CG48" s="222"/>
      <c r="CH48" s="222"/>
      <c r="CI48" s="222"/>
      <c r="CJ48" s="222"/>
      <c r="CK48" s="222"/>
      <c r="CL48" s="222"/>
      <c r="CM48" s="222"/>
      <c r="CN48" s="222"/>
      <c r="CO48" s="222"/>
      <c r="CP48" s="222"/>
      <c r="CQ48" s="222"/>
      <c r="CR48" s="222"/>
      <c r="CS48" s="222"/>
      <c r="CT48" s="222"/>
      <c r="CU48" s="222"/>
      <c r="CV48" s="222"/>
      <c r="CW48" s="222"/>
      <c r="CX48" s="222"/>
      <c r="CY48" s="222"/>
      <c r="CZ48" s="222"/>
      <c r="DA48" s="222"/>
      <c r="DB48" s="222"/>
      <c r="DC48" s="222"/>
      <c r="DD48" s="222"/>
      <c r="DE48" s="222"/>
      <c r="DF48" s="222"/>
      <c r="DG48" s="222"/>
      <c r="DH48" s="222"/>
      <c r="DI48" s="222"/>
      <c r="DJ48" s="222"/>
      <c r="DK48" s="222"/>
      <c r="DL48" s="222"/>
      <c r="DM48" s="222"/>
      <c r="DN48" s="222"/>
      <c r="DO48" s="222"/>
      <c r="DP48" s="222"/>
      <c r="DQ48" s="222"/>
      <c r="DR48" s="222"/>
      <c r="DS48" s="222"/>
      <c r="DT48" s="222"/>
      <c r="DU48" s="222"/>
      <c r="DV48" s="222"/>
      <c r="DW48" s="222"/>
      <c r="DX48" s="222"/>
      <c r="DY48" s="222"/>
      <c r="DZ48" s="222"/>
      <c r="EA48" s="222"/>
      <c r="EB48" s="222"/>
      <c r="EC48" s="222"/>
      <c r="ED48" s="222"/>
      <c r="EE48" s="222"/>
      <c r="EF48" s="222"/>
      <c r="EG48" s="222"/>
      <c r="EH48" s="222"/>
    </row>
    <row r="49" spans="1:138" ht="15.95" collapsed="1">
      <c r="A49" s="505"/>
      <c r="B49" s="600"/>
      <c r="C49" s="244" t="s">
        <v>245</v>
      </c>
      <c r="D49" s="245"/>
      <c r="E49" s="246">
        <f t="shared" ref="E49:BX49" si="21">SUM(E50:E54)</f>
        <v>0</v>
      </c>
      <c r="F49" s="246">
        <f t="shared" si="21"/>
        <v>0</v>
      </c>
      <c r="G49" s="246">
        <f t="shared" si="21"/>
        <v>0</v>
      </c>
      <c r="H49" s="246">
        <f t="shared" si="21"/>
        <v>-1442.155</v>
      </c>
      <c r="I49" s="246">
        <f t="shared" si="21"/>
        <v>-4792.1949999999997</v>
      </c>
      <c r="J49" s="246">
        <f t="shared" si="21"/>
        <v>-1444.855</v>
      </c>
      <c r="K49" s="246">
        <f t="shared" si="21"/>
        <v>-1290.27</v>
      </c>
      <c r="L49" s="246">
        <f t="shared" si="21"/>
        <v>-1842.35</v>
      </c>
      <c r="M49" s="246">
        <f t="shared" si="21"/>
        <v>-1088.2900000000002</v>
      </c>
      <c r="N49" s="246">
        <f t="shared" si="21"/>
        <v>-1844.5900000000001</v>
      </c>
      <c r="O49" s="246">
        <f t="shared" si="21"/>
        <v>-3360</v>
      </c>
      <c r="P49" s="246">
        <f t="shared" si="21"/>
        <v>-11871.31</v>
      </c>
      <c r="Q49" s="246">
        <f t="shared" si="21"/>
        <v>-1369.95</v>
      </c>
      <c r="R49" s="246">
        <f t="shared" si="21"/>
        <v>-1895.74</v>
      </c>
      <c r="S49" s="246">
        <f t="shared" si="21"/>
        <v>-2437.34</v>
      </c>
      <c r="T49" s="246">
        <f t="shared" si="21"/>
        <v>-25793.256000000001</v>
      </c>
      <c r="U49" s="246">
        <f t="shared" si="21"/>
        <v>-41290.269999999997</v>
      </c>
      <c r="V49" s="246">
        <f t="shared" si="21"/>
        <v>-31290.27</v>
      </c>
      <c r="W49" s="246">
        <f t="shared" si="21"/>
        <v>-456.10999999999996</v>
      </c>
      <c r="X49" s="246">
        <f t="shared" si="21"/>
        <v>-1290.27</v>
      </c>
      <c r="Y49" s="246">
        <f t="shared" si="21"/>
        <v>-1290.27</v>
      </c>
      <c r="Z49" s="246">
        <f t="shared" si="21"/>
        <v>-1290.27</v>
      </c>
      <c r="AA49" s="246">
        <f t="shared" si="21"/>
        <v>-41290.269999999997</v>
      </c>
      <c r="AB49" s="246">
        <f t="shared" si="21"/>
        <v>-1290.27</v>
      </c>
      <c r="AC49" s="246">
        <f t="shared" si="21"/>
        <v>0</v>
      </c>
      <c r="AD49" s="246">
        <f t="shared" si="21"/>
        <v>0</v>
      </c>
      <c r="AE49" s="246">
        <f t="shared" si="21"/>
        <v>0</v>
      </c>
      <c r="AF49" s="246">
        <f t="shared" si="21"/>
        <v>0</v>
      </c>
      <c r="AG49" s="246">
        <f t="shared" si="21"/>
        <v>0</v>
      </c>
      <c r="AH49" s="246">
        <f t="shared" si="21"/>
        <v>0</v>
      </c>
      <c r="AI49" s="246">
        <f t="shared" si="21"/>
        <v>0</v>
      </c>
      <c r="AJ49" s="246">
        <f t="shared" si="21"/>
        <v>0</v>
      </c>
      <c r="AK49" s="246">
        <f t="shared" si="21"/>
        <v>0</v>
      </c>
      <c r="AL49" s="246">
        <f t="shared" si="21"/>
        <v>0</v>
      </c>
      <c r="AM49" s="246">
        <f t="shared" si="21"/>
        <v>0</v>
      </c>
      <c r="AN49" s="246">
        <f t="shared" si="21"/>
        <v>0</v>
      </c>
      <c r="AO49" s="246">
        <f t="shared" si="21"/>
        <v>0</v>
      </c>
      <c r="AP49" s="246">
        <f t="shared" si="21"/>
        <v>0</v>
      </c>
      <c r="AQ49" s="246">
        <f t="shared" si="21"/>
        <v>0</v>
      </c>
      <c r="AR49" s="246">
        <f t="shared" si="21"/>
        <v>0</v>
      </c>
      <c r="AS49" s="246">
        <f t="shared" si="21"/>
        <v>0</v>
      </c>
      <c r="AT49" s="246">
        <f t="shared" si="21"/>
        <v>0</v>
      </c>
      <c r="AU49" s="246">
        <f t="shared" si="21"/>
        <v>0</v>
      </c>
      <c r="AV49" s="246">
        <f t="shared" si="21"/>
        <v>0</v>
      </c>
      <c r="AW49" s="246">
        <f t="shared" si="21"/>
        <v>0</v>
      </c>
      <c r="AX49" s="246">
        <f t="shared" si="21"/>
        <v>0</v>
      </c>
      <c r="AY49" s="246">
        <f t="shared" si="21"/>
        <v>0</v>
      </c>
      <c r="AZ49" s="246">
        <f t="shared" si="21"/>
        <v>0</v>
      </c>
      <c r="BA49" s="246">
        <f t="shared" si="21"/>
        <v>0</v>
      </c>
      <c r="BB49" s="246">
        <f t="shared" si="21"/>
        <v>0</v>
      </c>
      <c r="BC49" s="246">
        <f t="shared" si="21"/>
        <v>0</v>
      </c>
      <c r="BD49" s="246">
        <f t="shared" si="21"/>
        <v>0</v>
      </c>
      <c r="BE49" s="246">
        <f t="shared" si="21"/>
        <v>0</v>
      </c>
      <c r="BF49" s="246">
        <f t="shared" si="21"/>
        <v>0</v>
      </c>
      <c r="BG49" s="246">
        <f t="shared" si="21"/>
        <v>0</v>
      </c>
      <c r="BH49" s="246">
        <f t="shared" si="21"/>
        <v>0</v>
      </c>
      <c r="BI49" s="246">
        <f t="shared" si="21"/>
        <v>0</v>
      </c>
      <c r="BJ49" s="246">
        <f t="shared" si="21"/>
        <v>0</v>
      </c>
      <c r="BK49" s="246">
        <f t="shared" si="21"/>
        <v>0</v>
      </c>
      <c r="BL49" s="246">
        <f t="shared" si="21"/>
        <v>0</v>
      </c>
      <c r="BM49" s="246">
        <f t="shared" si="21"/>
        <v>0</v>
      </c>
      <c r="BN49" s="246">
        <f t="shared" si="21"/>
        <v>0</v>
      </c>
      <c r="BO49" s="246">
        <f t="shared" si="21"/>
        <v>0</v>
      </c>
      <c r="BP49" s="246">
        <f t="shared" si="21"/>
        <v>0</v>
      </c>
      <c r="BQ49" s="246">
        <f t="shared" si="21"/>
        <v>0</v>
      </c>
      <c r="BR49" s="246">
        <f t="shared" si="21"/>
        <v>0</v>
      </c>
      <c r="BS49" s="246">
        <f t="shared" si="21"/>
        <v>0</v>
      </c>
      <c r="BT49" s="246">
        <f t="shared" si="21"/>
        <v>0</v>
      </c>
      <c r="BU49" s="246">
        <f t="shared" si="21"/>
        <v>0</v>
      </c>
      <c r="BV49" s="246">
        <f t="shared" si="21"/>
        <v>0</v>
      </c>
      <c r="BW49" s="246">
        <f t="shared" si="21"/>
        <v>0</v>
      </c>
      <c r="BX49" s="246">
        <f t="shared" si="21"/>
        <v>0</v>
      </c>
      <c r="BY49" s="248">
        <f>SUM(BY50:BY54)</f>
        <v>-179960.30100000001</v>
      </c>
      <c r="BZ49" s="597"/>
      <c r="CA49" s="222"/>
      <c r="CB49" s="248"/>
      <c r="CC49" s="597"/>
      <c r="CD49" s="222"/>
      <c r="CE49" s="222"/>
      <c r="CF49" s="222"/>
      <c r="CG49" s="222"/>
      <c r="CH49" s="222"/>
      <c r="CI49" s="222"/>
      <c r="CJ49" s="222"/>
      <c r="CK49" s="222"/>
      <c r="CL49" s="222"/>
      <c r="CM49" s="222"/>
      <c r="CN49" s="222"/>
      <c r="CO49" s="222"/>
      <c r="CP49" s="222"/>
      <c r="CQ49" s="222"/>
      <c r="CR49" s="222"/>
      <c r="CS49" s="222"/>
      <c r="CT49" s="222"/>
      <c r="CU49" s="222"/>
      <c r="CV49" s="222"/>
      <c r="CW49" s="222"/>
      <c r="CX49" s="222"/>
      <c r="CY49" s="222"/>
      <c r="CZ49" s="222"/>
      <c r="DA49" s="222"/>
      <c r="DB49" s="222"/>
      <c r="DC49" s="222"/>
      <c r="DD49" s="222"/>
      <c r="DE49" s="222"/>
      <c r="DF49" s="222"/>
      <c r="DG49" s="222"/>
      <c r="DH49" s="222"/>
      <c r="DI49" s="222"/>
      <c r="DJ49" s="222"/>
      <c r="DK49" s="222"/>
      <c r="DL49" s="222"/>
      <c r="DM49" s="222"/>
      <c r="DN49" s="222"/>
      <c r="DO49" s="222"/>
      <c r="DP49" s="222"/>
      <c r="DQ49" s="222"/>
      <c r="DR49" s="222"/>
      <c r="DS49" s="222"/>
      <c r="DT49" s="222"/>
      <c r="DU49" s="222"/>
      <c r="DV49" s="222"/>
      <c r="DW49" s="222"/>
      <c r="DX49" s="222"/>
      <c r="DY49" s="222"/>
      <c r="DZ49" s="222"/>
      <c r="EA49" s="222"/>
      <c r="EB49" s="222"/>
      <c r="EC49" s="222"/>
      <c r="ED49" s="222"/>
      <c r="EE49" s="222"/>
      <c r="EF49" s="222"/>
      <c r="EG49" s="222"/>
      <c r="EH49" s="222"/>
    </row>
    <row r="50" spans="1:138" ht="15.95" hidden="1" outlineLevel="1">
      <c r="A50" s="505"/>
      <c r="B50" s="600"/>
      <c r="C50" s="249" t="s">
        <v>183</v>
      </c>
      <c r="D50" s="250" t="s">
        <v>223</v>
      </c>
      <c r="E50" s="251"/>
      <c r="F50" s="251"/>
      <c r="G50" s="251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60"/>
      <c r="BY50" s="261">
        <f t="shared" ref="BY50:BY54" si="22">SUM(E50:BX50)</f>
        <v>0</v>
      </c>
      <c r="BZ50" s="597"/>
      <c r="CA50" s="222"/>
      <c r="CB50" s="248"/>
      <c r="CC50" s="597"/>
      <c r="CD50" s="222"/>
      <c r="CE50" s="222"/>
      <c r="CF50" s="222"/>
      <c r="CG50" s="222"/>
      <c r="CH50" s="222"/>
      <c r="CI50" s="222"/>
      <c r="CJ50" s="222"/>
      <c r="CK50" s="222"/>
      <c r="CL50" s="222"/>
      <c r="CM50" s="222"/>
      <c r="CN50" s="222"/>
      <c r="CO50" s="222"/>
      <c r="CP50" s="222"/>
      <c r="CQ50" s="222"/>
      <c r="CR50" s="222"/>
      <c r="CS50" s="222"/>
      <c r="CT50" s="222"/>
      <c r="CU50" s="222"/>
      <c r="CV50" s="222"/>
      <c r="CW50" s="222"/>
      <c r="CX50" s="222"/>
      <c r="CY50" s="222"/>
      <c r="CZ50" s="222"/>
      <c r="DA50" s="222"/>
      <c r="DB50" s="222"/>
      <c r="DC50" s="222"/>
      <c r="DD50" s="222"/>
      <c r="DE50" s="222"/>
      <c r="DF50" s="222"/>
      <c r="DG50" s="222"/>
      <c r="DH50" s="222"/>
      <c r="DI50" s="222"/>
      <c r="DJ50" s="222"/>
      <c r="DK50" s="222"/>
      <c r="DL50" s="222"/>
      <c r="DM50" s="222"/>
      <c r="DN50" s="222"/>
      <c r="DO50" s="222"/>
      <c r="DP50" s="222"/>
      <c r="DQ50" s="222"/>
      <c r="DR50" s="222"/>
      <c r="DS50" s="222"/>
      <c r="DT50" s="222"/>
      <c r="DU50" s="222"/>
      <c r="DV50" s="222"/>
      <c r="DW50" s="222"/>
      <c r="DX50" s="222"/>
      <c r="DY50" s="222"/>
      <c r="DZ50" s="222"/>
      <c r="EA50" s="222"/>
      <c r="EB50" s="222"/>
      <c r="EC50" s="222"/>
      <c r="ED50" s="222"/>
      <c r="EE50" s="222"/>
      <c r="EF50" s="222"/>
      <c r="EG50" s="222"/>
      <c r="EH50" s="222"/>
    </row>
    <row r="51" spans="1:138" ht="15.95" hidden="1" outlineLevel="1">
      <c r="A51" s="505"/>
      <c r="B51" s="600"/>
      <c r="C51" s="249" t="s">
        <v>246</v>
      </c>
      <c r="D51" s="250" t="s">
        <v>223</v>
      </c>
      <c r="E51" s="251"/>
      <c r="F51" s="251"/>
      <c r="G51" s="251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1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60"/>
      <c r="BY51" s="261">
        <f t="shared" si="22"/>
        <v>0</v>
      </c>
      <c r="BZ51" s="597"/>
      <c r="CA51" s="222"/>
      <c r="CB51" s="248"/>
      <c r="CC51" s="597"/>
      <c r="CD51" s="222"/>
      <c r="CE51" s="222"/>
      <c r="CF51" s="222"/>
      <c r="CG51" s="222"/>
      <c r="CH51" s="222"/>
      <c r="CI51" s="222"/>
      <c r="CJ51" s="222"/>
      <c r="CK51" s="222"/>
      <c r="CL51" s="222"/>
      <c r="CM51" s="222"/>
      <c r="CN51" s="222"/>
      <c r="CO51" s="222"/>
      <c r="CP51" s="222"/>
      <c r="CQ51" s="222"/>
      <c r="CR51" s="222"/>
      <c r="CS51" s="222"/>
      <c r="CT51" s="222"/>
      <c r="CU51" s="222"/>
      <c r="CV51" s="222"/>
      <c r="CW51" s="222"/>
      <c r="CX51" s="222"/>
      <c r="CY51" s="222"/>
      <c r="CZ51" s="222"/>
      <c r="DA51" s="222"/>
      <c r="DB51" s="222"/>
      <c r="DC51" s="222"/>
      <c r="DD51" s="222"/>
      <c r="DE51" s="222"/>
      <c r="DF51" s="222"/>
      <c r="DG51" s="222"/>
      <c r="DH51" s="222"/>
      <c r="DI51" s="222"/>
      <c r="DJ51" s="222"/>
      <c r="DK51" s="222"/>
      <c r="DL51" s="222"/>
      <c r="DM51" s="222"/>
      <c r="DN51" s="222"/>
      <c r="DO51" s="222"/>
      <c r="DP51" s="222"/>
      <c r="DQ51" s="222"/>
      <c r="DR51" s="222"/>
      <c r="DS51" s="222"/>
      <c r="DT51" s="222"/>
      <c r="DU51" s="222"/>
      <c r="DV51" s="222"/>
      <c r="DW51" s="222"/>
      <c r="DX51" s="222"/>
      <c r="DY51" s="222"/>
      <c r="DZ51" s="222"/>
      <c r="EA51" s="222"/>
      <c r="EB51" s="222"/>
      <c r="EC51" s="222"/>
      <c r="ED51" s="222"/>
      <c r="EE51" s="222"/>
      <c r="EF51" s="222"/>
      <c r="EG51" s="222"/>
      <c r="EH51" s="222"/>
    </row>
    <row r="52" spans="1:138" ht="15.95" hidden="1" outlineLevel="1">
      <c r="A52" s="505"/>
      <c r="B52" s="600"/>
      <c r="C52" s="249" t="s">
        <v>247</v>
      </c>
      <c r="D52" s="250" t="s">
        <v>223</v>
      </c>
      <c r="E52" s="251"/>
      <c r="F52" s="251"/>
      <c r="G52" s="251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1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60"/>
      <c r="BY52" s="261">
        <f t="shared" si="22"/>
        <v>0</v>
      </c>
      <c r="BZ52" s="597"/>
      <c r="CA52" s="222"/>
      <c r="CB52" s="248"/>
      <c r="CC52" s="597"/>
      <c r="CD52" s="222"/>
      <c r="CE52" s="222"/>
      <c r="CF52" s="222"/>
      <c r="CG52" s="222"/>
      <c r="CH52" s="222"/>
      <c r="CI52" s="222"/>
      <c r="CJ52" s="222"/>
      <c r="CK52" s="222"/>
      <c r="CL52" s="222"/>
      <c r="CM52" s="222"/>
      <c r="CN52" s="222"/>
      <c r="CO52" s="222"/>
      <c r="CP52" s="222"/>
      <c r="CQ52" s="222"/>
      <c r="CR52" s="222"/>
      <c r="CS52" s="222"/>
      <c r="CT52" s="222"/>
      <c r="CU52" s="222"/>
      <c r="CV52" s="222"/>
      <c r="CW52" s="222"/>
      <c r="CX52" s="222"/>
      <c r="CY52" s="222"/>
      <c r="CZ52" s="222"/>
      <c r="DA52" s="222"/>
      <c r="DB52" s="222"/>
      <c r="DC52" s="222"/>
      <c r="DD52" s="222"/>
      <c r="DE52" s="222"/>
      <c r="DF52" s="222"/>
      <c r="DG52" s="222"/>
      <c r="DH52" s="222"/>
      <c r="DI52" s="222"/>
      <c r="DJ52" s="222"/>
      <c r="DK52" s="222"/>
      <c r="DL52" s="222"/>
      <c r="DM52" s="222"/>
      <c r="DN52" s="222"/>
      <c r="DO52" s="222"/>
      <c r="DP52" s="222"/>
      <c r="DQ52" s="222"/>
      <c r="DR52" s="222"/>
      <c r="DS52" s="222"/>
      <c r="DT52" s="222"/>
      <c r="DU52" s="222"/>
      <c r="DV52" s="222"/>
      <c r="DW52" s="222"/>
      <c r="DX52" s="222"/>
      <c r="DY52" s="222"/>
      <c r="DZ52" s="222"/>
      <c r="EA52" s="222"/>
      <c r="EB52" s="222"/>
      <c r="EC52" s="222"/>
      <c r="ED52" s="222"/>
      <c r="EE52" s="222"/>
      <c r="EF52" s="222"/>
      <c r="EG52" s="222"/>
      <c r="EH52" s="222"/>
    </row>
    <row r="53" spans="1:138" ht="15.95" hidden="1" outlineLevel="1">
      <c r="A53" s="505"/>
      <c r="B53" s="600"/>
      <c r="C53" s="249" t="s">
        <v>189</v>
      </c>
      <c r="D53" s="250" t="s">
        <v>223</v>
      </c>
      <c r="E53" s="251"/>
      <c r="F53" s="251"/>
      <c r="G53" s="251"/>
      <c r="H53" s="252">
        <f>-3-12-5-200-2-12-400-36-(0.02+0.09+0.21+17.06)*22-15.91*24.5</f>
        <v>-1442.155</v>
      </c>
      <c r="I53" s="252">
        <f>-6-5-200-12-400-24-2-16.19*24.5-17.57*22</f>
        <v>-1432.1949999999999</v>
      </c>
      <c r="J53" s="252">
        <f>-3-32-5-6-200-15-400-2-(0.01+0.08+15.98+0.2)*24.5-(0.02+0.09+0.21+17.1)*22</f>
        <v>-1444.855</v>
      </c>
      <c r="K53" s="252">
        <f>-20-12-3-200-2-400-10-2-10.9*24.5-17.01*22</f>
        <v>-1290.27</v>
      </c>
      <c r="L53" s="252">
        <f>-12-4-6-200-15-400-24-400-15.98*24.5-17.72*22</f>
        <v>-1842.35</v>
      </c>
      <c r="M53" s="252">
        <f>-40-200-15-2-12-400-10-2-400.11-(0.01+0.08+0.2+15.89)*25-(0.03-0.09-17.78-0.22)*22</f>
        <v>-1088.2900000000002</v>
      </c>
      <c r="N53" s="252">
        <f>-9-9-5-200-400-24-3-399.88-15.79*25-18.18*22</f>
        <v>-1844.5900000000001</v>
      </c>
      <c r="O53" s="252"/>
      <c r="P53" s="252">
        <f>-500-5656.91-300-6-25-4-18-44-200-15-400-399.94-500-972.22-2053.74-16.5*23-15.88*25</f>
        <v>-11871.31</v>
      </c>
      <c r="Q53" s="252">
        <f>-300-9-20-9-200-400-8-24-399.95</f>
        <v>-1369.95</v>
      </c>
      <c r="R53" s="252">
        <f>-4-40-20-200-15-4-12-400-399.9-(0.8+0.24+0.08+15.98)*25-(0.04+0.08+0.21+16.64)*22</f>
        <v>-1895.74</v>
      </c>
      <c r="S53" s="252">
        <f>-2.19-2-20-6-9-200-15-4-400-399.94-500-76.45-(0.12+0.4+0.16+0.16+16.02)*25-(17.33)*22</f>
        <v>-2437.34</v>
      </c>
      <c r="T53" s="252">
        <f>-2-12-9-28-200-15-400-2-399.88-2-500-(0.12+16.04+0.32+0.2+0.08+0.12)*25.2</f>
        <v>-1995.2560000000001</v>
      </c>
      <c r="U53" s="252">
        <f>-20-12-3-200-2-400-10-2-10.9*24.5-17.01*22</f>
        <v>-1290.27</v>
      </c>
      <c r="V53" s="252">
        <f>-20-12-3-200-2-400-10-2-10.9*24.5-17.01*22-30000</f>
        <v>-31290.27</v>
      </c>
      <c r="W53" s="252">
        <f>-34.86-(0.08+16.28+0.08+0.41)*25</f>
        <v>-456.10999999999996</v>
      </c>
      <c r="X53" s="252">
        <f t="shared" ref="X53:AB53" si="23">-20-12-3-200-2-400-10-2-10.9*24.5-17.01*22</f>
        <v>-1290.27</v>
      </c>
      <c r="Y53" s="252">
        <f t="shared" si="23"/>
        <v>-1290.27</v>
      </c>
      <c r="Z53" s="252">
        <f t="shared" si="23"/>
        <v>-1290.27</v>
      </c>
      <c r="AA53" s="252">
        <f t="shared" si="23"/>
        <v>-1290.27</v>
      </c>
      <c r="AB53" s="252">
        <f t="shared" si="23"/>
        <v>-1290.27</v>
      </c>
      <c r="AC53" s="252"/>
      <c r="AD53" s="252"/>
      <c r="AE53" s="252"/>
      <c r="AF53" s="252"/>
      <c r="AG53" s="251"/>
      <c r="AH53" s="251"/>
      <c r="AI53" s="251"/>
      <c r="AJ53" s="251"/>
      <c r="AK53" s="251"/>
      <c r="AL53" s="251"/>
      <c r="AM53" s="251"/>
      <c r="AN53" s="251"/>
      <c r="AO53" s="251"/>
      <c r="AP53" s="251"/>
      <c r="AQ53" s="251"/>
      <c r="AR53" s="251"/>
      <c r="AS53" s="251"/>
      <c r="AT53" s="251"/>
      <c r="AU53" s="251"/>
      <c r="AV53" s="251"/>
      <c r="AW53" s="251"/>
      <c r="AX53" s="251"/>
      <c r="AY53" s="251"/>
      <c r="AZ53" s="251"/>
      <c r="BA53" s="251"/>
      <c r="BB53" s="251"/>
      <c r="BC53" s="251"/>
      <c r="BD53" s="251"/>
      <c r="BE53" s="251"/>
      <c r="BF53" s="251"/>
      <c r="BG53" s="251"/>
      <c r="BH53" s="251"/>
      <c r="BI53" s="251"/>
      <c r="BJ53" s="251"/>
      <c r="BK53" s="251"/>
      <c r="BL53" s="251"/>
      <c r="BM53" s="251"/>
      <c r="BN53" s="251"/>
      <c r="BO53" s="251"/>
      <c r="BP53" s="251"/>
      <c r="BQ53" s="251"/>
      <c r="BR53" s="251"/>
      <c r="BS53" s="251"/>
      <c r="BT53" s="251"/>
      <c r="BU53" s="251"/>
      <c r="BV53" s="251"/>
      <c r="BW53" s="251"/>
      <c r="BX53" s="260"/>
      <c r="BY53" s="262">
        <f t="shared" si="22"/>
        <v>-69442.301000000007</v>
      </c>
      <c r="BZ53" s="597"/>
      <c r="CA53" s="222"/>
      <c r="CB53" s="248"/>
      <c r="CC53" s="597"/>
      <c r="CD53" s="222"/>
      <c r="CE53" s="222"/>
      <c r="CF53" s="222"/>
      <c r="CG53" s="222"/>
      <c r="CH53" s="222"/>
      <c r="CI53" s="222"/>
      <c r="CJ53" s="222"/>
      <c r="CK53" s="222"/>
      <c r="CL53" s="222"/>
      <c r="CM53" s="222"/>
      <c r="CN53" s="222"/>
      <c r="CO53" s="222"/>
      <c r="CP53" s="222"/>
      <c r="CQ53" s="222"/>
      <c r="CR53" s="222"/>
      <c r="CS53" s="222"/>
      <c r="CT53" s="222"/>
      <c r="CU53" s="222"/>
      <c r="CV53" s="222"/>
      <c r="CW53" s="222"/>
      <c r="CX53" s="222"/>
      <c r="CY53" s="222"/>
      <c r="CZ53" s="222"/>
      <c r="DA53" s="222"/>
      <c r="DB53" s="222"/>
      <c r="DC53" s="222"/>
      <c r="DD53" s="222"/>
      <c r="DE53" s="222"/>
      <c r="DF53" s="222"/>
      <c r="DG53" s="222"/>
      <c r="DH53" s="222"/>
      <c r="DI53" s="222"/>
      <c r="DJ53" s="222"/>
      <c r="DK53" s="222"/>
      <c r="DL53" s="222"/>
      <c r="DM53" s="222"/>
      <c r="DN53" s="222"/>
      <c r="DO53" s="222"/>
      <c r="DP53" s="222"/>
      <c r="DQ53" s="222"/>
      <c r="DR53" s="222"/>
      <c r="DS53" s="222"/>
      <c r="DT53" s="222"/>
      <c r="DU53" s="222"/>
      <c r="DV53" s="222"/>
      <c r="DW53" s="222"/>
      <c r="DX53" s="222"/>
      <c r="DY53" s="222"/>
      <c r="DZ53" s="222"/>
      <c r="EA53" s="222"/>
      <c r="EB53" s="222"/>
      <c r="EC53" s="222"/>
      <c r="ED53" s="222"/>
      <c r="EE53" s="222"/>
      <c r="EF53" s="222"/>
      <c r="EG53" s="222"/>
      <c r="EH53" s="222"/>
    </row>
    <row r="54" spans="1:138" ht="15.95" hidden="1" outlineLevel="1">
      <c r="A54" s="505"/>
      <c r="B54" s="600"/>
      <c r="C54" s="249" t="s">
        <v>190</v>
      </c>
      <c r="D54" s="254" t="s">
        <v>223</v>
      </c>
      <c r="E54" s="255"/>
      <c r="F54" s="255"/>
      <c r="G54" s="251"/>
      <c r="H54" s="252"/>
      <c r="I54" s="252">
        <f>-3360</f>
        <v>-3360</v>
      </c>
      <c r="J54" s="252"/>
      <c r="K54" s="252"/>
      <c r="L54" s="252"/>
      <c r="M54" s="252"/>
      <c r="N54" s="252"/>
      <c r="O54" s="252">
        <f>-3360</f>
        <v>-3360</v>
      </c>
      <c r="P54" s="252"/>
      <c r="Q54" s="252"/>
      <c r="R54" s="252"/>
      <c r="S54" s="252"/>
      <c r="T54" s="252">
        <f>-23798</f>
        <v>-23798</v>
      </c>
      <c r="U54" s="265">
        <f>-40000</f>
        <v>-40000</v>
      </c>
      <c r="V54" s="251"/>
      <c r="W54" s="251"/>
      <c r="X54" s="251"/>
      <c r="Y54" s="251"/>
      <c r="Z54" s="251"/>
      <c r="AA54" s="265">
        <f>-40000</f>
        <v>-40000</v>
      </c>
      <c r="AB54" s="251"/>
      <c r="AC54" s="251"/>
      <c r="AD54" s="251"/>
      <c r="AE54" s="251"/>
      <c r="AF54" s="251"/>
      <c r="AG54" s="251"/>
      <c r="AH54" s="251"/>
      <c r="AI54" s="251"/>
      <c r="AJ54" s="251"/>
      <c r="AK54" s="251"/>
      <c r="AL54" s="251"/>
      <c r="AM54" s="251"/>
      <c r="AN54" s="251"/>
      <c r="AO54" s="251"/>
      <c r="AP54" s="251"/>
      <c r="AQ54" s="251"/>
      <c r="AR54" s="251"/>
      <c r="AS54" s="251"/>
      <c r="AT54" s="251"/>
      <c r="AU54" s="251"/>
      <c r="AV54" s="251"/>
      <c r="AW54" s="251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60"/>
      <c r="BY54" s="264">
        <f t="shared" si="22"/>
        <v>-110518</v>
      </c>
      <c r="BZ54" s="597"/>
      <c r="CA54" s="222"/>
      <c r="CB54" s="248"/>
      <c r="CC54" s="597"/>
      <c r="CD54" s="222"/>
      <c r="CE54" s="222"/>
      <c r="CF54" s="222"/>
      <c r="CG54" s="222"/>
      <c r="CH54" s="222"/>
      <c r="CI54" s="222"/>
      <c r="CJ54" s="222"/>
      <c r="CK54" s="222"/>
      <c r="CL54" s="222"/>
      <c r="CM54" s="222"/>
      <c r="CN54" s="222"/>
      <c r="CO54" s="222"/>
      <c r="CP54" s="222"/>
      <c r="CQ54" s="222"/>
      <c r="CR54" s="222"/>
      <c r="CS54" s="222"/>
      <c r="CT54" s="222"/>
      <c r="CU54" s="222"/>
      <c r="CV54" s="222"/>
      <c r="CW54" s="222"/>
      <c r="CX54" s="222"/>
      <c r="CY54" s="222"/>
      <c r="CZ54" s="222"/>
      <c r="DA54" s="222"/>
      <c r="DB54" s="222"/>
      <c r="DC54" s="222"/>
      <c r="DD54" s="222"/>
      <c r="DE54" s="222"/>
      <c r="DF54" s="222"/>
      <c r="DG54" s="222"/>
      <c r="DH54" s="222"/>
      <c r="DI54" s="222"/>
      <c r="DJ54" s="222"/>
      <c r="DK54" s="222"/>
      <c r="DL54" s="222"/>
      <c r="DM54" s="222"/>
      <c r="DN54" s="222"/>
      <c r="DO54" s="222"/>
      <c r="DP54" s="222"/>
      <c r="DQ54" s="222"/>
      <c r="DR54" s="222"/>
      <c r="DS54" s="222"/>
      <c r="DT54" s="222"/>
      <c r="DU54" s="222"/>
      <c r="DV54" s="222"/>
      <c r="DW54" s="222"/>
      <c r="DX54" s="222"/>
      <c r="DY54" s="222"/>
      <c r="DZ54" s="222"/>
      <c r="EA54" s="222"/>
      <c r="EB54" s="222"/>
      <c r="EC54" s="222"/>
      <c r="ED54" s="222"/>
      <c r="EE54" s="222"/>
      <c r="EF54" s="222"/>
      <c r="EG54" s="222"/>
      <c r="EH54" s="222"/>
    </row>
    <row r="55" spans="1:138" ht="15.95">
      <c r="A55" s="505"/>
      <c r="B55" s="600"/>
      <c r="C55" s="244" t="s">
        <v>248</v>
      </c>
      <c r="D55" s="245"/>
      <c r="E55" s="246">
        <f t="shared" ref="E55:BX55" si="24">SUM(E56:E62)</f>
        <v>0</v>
      </c>
      <c r="F55" s="246">
        <f t="shared" si="24"/>
        <v>0</v>
      </c>
      <c r="G55" s="246">
        <f t="shared" si="24"/>
        <v>0</v>
      </c>
      <c r="H55" s="246">
        <f t="shared" si="24"/>
        <v>0</v>
      </c>
      <c r="I55" s="246">
        <f t="shared" si="24"/>
        <v>0</v>
      </c>
      <c r="J55" s="246">
        <f t="shared" si="24"/>
        <v>0</v>
      </c>
      <c r="K55" s="246">
        <f t="shared" si="24"/>
        <v>0</v>
      </c>
      <c r="L55" s="246">
        <f t="shared" si="24"/>
        <v>0</v>
      </c>
      <c r="M55" s="246">
        <f t="shared" si="24"/>
        <v>-48944.520000000004</v>
      </c>
      <c r="N55" s="246">
        <f t="shared" si="24"/>
        <v>-123582.04</v>
      </c>
      <c r="O55" s="246">
        <f t="shared" si="24"/>
        <v>-10395.44</v>
      </c>
      <c r="P55" s="246">
        <f t="shared" si="24"/>
        <v>-394726.13999999996</v>
      </c>
      <c r="Q55" s="246">
        <f t="shared" si="24"/>
        <v>-245545.71499999997</v>
      </c>
      <c r="R55" s="246">
        <f t="shared" si="24"/>
        <v>-41897.49</v>
      </c>
      <c r="S55" s="246">
        <f t="shared" si="24"/>
        <v>-391165.82999999996</v>
      </c>
      <c r="T55" s="246">
        <f t="shared" si="24"/>
        <v>-180942.52</v>
      </c>
      <c r="U55" s="246">
        <f t="shared" si="24"/>
        <v>-200000</v>
      </c>
      <c r="V55" s="246">
        <f t="shared" si="24"/>
        <v>-214609.4872</v>
      </c>
      <c r="W55" s="246">
        <f t="shared" si="24"/>
        <v>-343243.96</v>
      </c>
      <c r="X55" s="246">
        <f t="shared" si="24"/>
        <v>-281607.29989999998</v>
      </c>
      <c r="Y55" s="246">
        <f t="shared" si="24"/>
        <v>-303657.29989999998</v>
      </c>
      <c r="Z55" s="246">
        <f t="shared" si="24"/>
        <v>-320317.29989999998</v>
      </c>
      <c r="AA55" s="246">
        <f t="shared" si="24"/>
        <v>-332300</v>
      </c>
      <c r="AB55" s="246">
        <f t="shared" si="24"/>
        <v>-3901540.3246575342</v>
      </c>
      <c r="AC55" s="246">
        <f t="shared" si="24"/>
        <v>0</v>
      </c>
      <c r="AD55" s="246">
        <f t="shared" si="24"/>
        <v>0</v>
      </c>
      <c r="AE55" s="246">
        <f t="shared" si="24"/>
        <v>0</v>
      </c>
      <c r="AF55" s="246">
        <f t="shared" si="24"/>
        <v>0</v>
      </c>
      <c r="AG55" s="246">
        <f t="shared" si="24"/>
        <v>0</v>
      </c>
      <c r="AH55" s="246">
        <f t="shared" si="24"/>
        <v>0</v>
      </c>
      <c r="AI55" s="246">
        <f t="shared" si="24"/>
        <v>0</v>
      </c>
      <c r="AJ55" s="246">
        <f t="shared" si="24"/>
        <v>0</v>
      </c>
      <c r="AK55" s="246">
        <f t="shared" si="24"/>
        <v>0</v>
      </c>
      <c r="AL55" s="246">
        <f t="shared" si="24"/>
        <v>0</v>
      </c>
      <c r="AM55" s="246">
        <f t="shared" si="24"/>
        <v>0</v>
      </c>
      <c r="AN55" s="246">
        <f t="shared" si="24"/>
        <v>0</v>
      </c>
      <c r="AO55" s="246">
        <f t="shared" si="24"/>
        <v>0</v>
      </c>
      <c r="AP55" s="246">
        <f t="shared" si="24"/>
        <v>0</v>
      </c>
      <c r="AQ55" s="246">
        <f t="shared" si="24"/>
        <v>0</v>
      </c>
      <c r="AR55" s="246">
        <f t="shared" si="24"/>
        <v>0</v>
      </c>
      <c r="AS55" s="246">
        <f t="shared" si="24"/>
        <v>0</v>
      </c>
      <c r="AT55" s="246">
        <f t="shared" si="24"/>
        <v>0</v>
      </c>
      <c r="AU55" s="246">
        <f t="shared" si="24"/>
        <v>0</v>
      </c>
      <c r="AV55" s="246">
        <f t="shared" si="24"/>
        <v>0</v>
      </c>
      <c r="AW55" s="246">
        <f t="shared" si="24"/>
        <v>0</v>
      </c>
      <c r="AX55" s="246">
        <f t="shared" si="24"/>
        <v>0</v>
      </c>
      <c r="AY55" s="246">
        <f t="shared" si="24"/>
        <v>0</v>
      </c>
      <c r="AZ55" s="246">
        <f t="shared" si="24"/>
        <v>0</v>
      </c>
      <c r="BA55" s="246">
        <f t="shared" si="24"/>
        <v>0</v>
      </c>
      <c r="BB55" s="246">
        <f t="shared" si="24"/>
        <v>0</v>
      </c>
      <c r="BC55" s="246">
        <f t="shared" si="24"/>
        <v>0</v>
      </c>
      <c r="BD55" s="246">
        <f t="shared" si="24"/>
        <v>0</v>
      </c>
      <c r="BE55" s="246">
        <f t="shared" si="24"/>
        <v>0</v>
      </c>
      <c r="BF55" s="246">
        <f t="shared" si="24"/>
        <v>0</v>
      </c>
      <c r="BG55" s="246">
        <f t="shared" si="24"/>
        <v>0</v>
      </c>
      <c r="BH55" s="246">
        <f t="shared" si="24"/>
        <v>0</v>
      </c>
      <c r="BI55" s="246">
        <f t="shared" si="24"/>
        <v>0</v>
      </c>
      <c r="BJ55" s="246">
        <f t="shared" si="24"/>
        <v>0</v>
      </c>
      <c r="BK55" s="246">
        <f t="shared" si="24"/>
        <v>0</v>
      </c>
      <c r="BL55" s="246">
        <f t="shared" si="24"/>
        <v>0</v>
      </c>
      <c r="BM55" s="246">
        <f t="shared" si="24"/>
        <v>0</v>
      </c>
      <c r="BN55" s="246">
        <f t="shared" si="24"/>
        <v>0</v>
      </c>
      <c r="BO55" s="246">
        <f t="shared" si="24"/>
        <v>0</v>
      </c>
      <c r="BP55" s="246">
        <f t="shared" si="24"/>
        <v>0</v>
      </c>
      <c r="BQ55" s="246">
        <f t="shared" si="24"/>
        <v>0</v>
      </c>
      <c r="BR55" s="246">
        <f t="shared" si="24"/>
        <v>0</v>
      </c>
      <c r="BS55" s="246">
        <f t="shared" si="24"/>
        <v>0</v>
      </c>
      <c r="BT55" s="246">
        <f t="shared" si="24"/>
        <v>0</v>
      </c>
      <c r="BU55" s="246">
        <f t="shared" si="24"/>
        <v>0</v>
      </c>
      <c r="BV55" s="246">
        <f t="shared" si="24"/>
        <v>0</v>
      </c>
      <c r="BW55" s="246">
        <f t="shared" si="24"/>
        <v>0</v>
      </c>
      <c r="BX55" s="246">
        <f t="shared" si="24"/>
        <v>0</v>
      </c>
      <c r="BY55" s="248">
        <f>SUM(BY56:BY62)</f>
        <v>-7334475.3665575348</v>
      </c>
      <c r="BZ55" s="597"/>
      <c r="CA55" s="222"/>
      <c r="CB55" s="248"/>
      <c r="CC55" s="597"/>
      <c r="CD55" s="222"/>
      <c r="CE55" s="222"/>
      <c r="CF55" s="222"/>
      <c r="CG55" s="222"/>
      <c r="CH55" s="222"/>
      <c r="CI55" s="222"/>
      <c r="CJ55" s="222"/>
      <c r="CK55" s="222"/>
      <c r="CL55" s="222"/>
      <c r="CM55" s="222"/>
      <c r="CN55" s="222"/>
      <c r="CO55" s="222"/>
      <c r="CP55" s="222"/>
      <c r="CQ55" s="222"/>
      <c r="CR55" s="222"/>
      <c r="CS55" s="222"/>
      <c r="CT55" s="222"/>
      <c r="CU55" s="222"/>
      <c r="CV55" s="222"/>
      <c r="CW55" s="222"/>
      <c r="CX55" s="222"/>
      <c r="CY55" s="222"/>
      <c r="CZ55" s="222"/>
      <c r="DA55" s="222"/>
      <c r="DB55" s="222"/>
      <c r="DC55" s="222"/>
      <c r="DD55" s="222"/>
      <c r="DE55" s="222"/>
      <c r="DF55" s="222"/>
      <c r="DG55" s="222"/>
      <c r="DH55" s="222"/>
      <c r="DI55" s="222"/>
      <c r="DJ55" s="222"/>
      <c r="DK55" s="222"/>
      <c r="DL55" s="222"/>
      <c r="DM55" s="222"/>
      <c r="DN55" s="222"/>
      <c r="DO55" s="222"/>
      <c r="DP55" s="222"/>
      <c r="DQ55" s="222"/>
      <c r="DR55" s="222"/>
      <c r="DS55" s="222"/>
      <c r="DT55" s="222"/>
      <c r="DU55" s="222"/>
      <c r="DV55" s="222"/>
      <c r="DW55" s="222"/>
      <c r="DX55" s="222"/>
      <c r="DY55" s="222"/>
      <c r="DZ55" s="222"/>
      <c r="EA55" s="222"/>
      <c r="EB55" s="222"/>
      <c r="EC55" s="222"/>
      <c r="ED55" s="222"/>
      <c r="EE55" s="222"/>
      <c r="EF55" s="222"/>
      <c r="EG55" s="222"/>
      <c r="EH55" s="222"/>
    </row>
    <row r="56" spans="1:138" ht="15.95" outlineLevel="1">
      <c r="A56" s="505"/>
      <c r="B56" s="600"/>
      <c r="C56" s="249" t="s">
        <v>249</v>
      </c>
      <c r="D56" s="275">
        <v>0</v>
      </c>
      <c r="E56" s="251"/>
      <c r="F56" s="251"/>
      <c r="G56" s="251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1"/>
      <c r="V56" s="251"/>
      <c r="W56" s="251"/>
      <c r="X56" s="251"/>
      <c r="Y56" s="251"/>
      <c r="Z56" s="251"/>
      <c r="AA56" s="251"/>
      <c r="AB56" s="265">
        <f>-$BY$5*$D$57/365*$CG$27</f>
        <v>-2096065.3246575342</v>
      </c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60"/>
      <c r="BN56" s="260"/>
      <c r="BO56" s="260"/>
      <c r="BP56" s="260"/>
      <c r="BQ56" s="260"/>
      <c r="BR56" s="260"/>
      <c r="BS56" s="260"/>
      <c r="BT56" s="260"/>
      <c r="BU56" s="260"/>
      <c r="BV56" s="260"/>
      <c r="BW56" s="260"/>
      <c r="BX56" s="260"/>
      <c r="BY56" s="276">
        <f t="shared" ref="BY56:BY62" si="25">SUM(E56:BX56)</f>
        <v>-2096065.3246575342</v>
      </c>
      <c r="BZ56" s="597"/>
      <c r="CA56" s="222"/>
      <c r="CB56" s="248"/>
      <c r="CC56" s="597"/>
      <c r="CD56" s="222"/>
      <c r="CE56" s="222"/>
      <c r="CF56" s="222"/>
      <c r="CG56" s="222"/>
      <c r="CH56" s="222"/>
      <c r="CI56" s="222"/>
      <c r="CJ56" s="222"/>
      <c r="CK56" s="222"/>
      <c r="CL56" s="222"/>
      <c r="CM56" s="222"/>
      <c r="CN56" s="222"/>
      <c r="CO56" s="222"/>
      <c r="CP56" s="222"/>
      <c r="CQ56" s="222"/>
      <c r="CR56" s="222"/>
      <c r="CS56" s="222"/>
      <c r="CT56" s="222"/>
      <c r="CU56" s="222"/>
      <c r="CV56" s="222"/>
      <c r="CW56" s="222"/>
      <c r="CX56" s="222"/>
      <c r="CY56" s="222"/>
      <c r="CZ56" s="222"/>
      <c r="DA56" s="222"/>
      <c r="DB56" s="222"/>
      <c r="DC56" s="222"/>
      <c r="DD56" s="222"/>
      <c r="DE56" s="222"/>
      <c r="DF56" s="222"/>
      <c r="DG56" s="222"/>
      <c r="DH56" s="222"/>
      <c r="DI56" s="222"/>
      <c r="DJ56" s="222"/>
      <c r="DK56" s="222"/>
      <c r="DL56" s="222"/>
      <c r="DM56" s="222"/>
      <c r="DN56" s="222"/>
      <c r="DO56" s="222"/>
      <c r="DP56" s="222"/>
      <c r="DQ56" s="222"/>
      <c r="DR56" s="222"/>
      <c r="DS56" s="222"/>
      <c r="DT56" s="222"/>
      <c r="DU56" s="222"/>
      <c r="DV56" s="222"/>
      <c r="DW56" s="222"/>
      <c r="DX56" s="222"/>
      <c r="DY56" s="222"/>
      <c r="DZ56" s="222"/>
      <c r="EA56" s="222"/>
      <c r="EB56" s="222"/>
      <c r="EC56" s="222"/>
      <c r="ED56" s="222"/>
      <c r="EE56" s="222"/>
      <c r="EF56" s="222"/>
      <c r="EG56" s="222"/>
      <c r="EH56" s="222"/>
    </row>
    <row r="57" spans="1:138" ht="15.95" outlineLevel="1">
      <c r="A57" s="505"/>
      <c r="B57" s="600"/>
      <c r="C57" s="249" t="s">
        <v>250</v>
      </c>
      <c r="D57" s="275">
        <v>0.11</v>
      </c>
      <c r="E57" s="251"/>
      <c r="F57" s="251"/>
      <c r="G57" s="251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1"/>
      <c r="V57" s="251"/>
      <c r="W57" s="251"/>
      <c r="X57" s="251"/>
      <c r="Y57" s="251"/>
      <c r="Z57" s="251"/>
      <c r="AA57" s="251"/>
      <c r="AB57" s="265">
        <f>-SUM('Interest Calc'!J14:J30)-'Interest Calc'!J30</f>
        <v>-1473174.9999999998</v>
      </c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60"/>
      <c r="BN57" s="260"/>
      <c r="BO57" s="260"/>
      <c r="BP57" s="260"/>
      <c r="BQ57" s="260"/>
      <c r="BR57" s="260"/>
      <c r="BS57" s="260"/>
      <c r="BT57" s="260"/>
      <c r="BU57" s="260"/>
      <c r="BV57" s="260"/>
      <c r="BW57" s="260"/>
      <c r="BX57" s="260"/>
      <c r="BY57" s="276">
        <f t="shared" si="25"/>
        <v>-1473174.9999999998</v>
      </c>
      <c r="BZ57" s="597"/>
      <c r="CA57" s="222"/>
      <c r="CB57" s="248"/>
      <c r="CC57" s="597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  <c r="DD57" s="222"/>
      <c r="DE57" s="222"/>
      <c r="DF57" s="222"/>
      <c r="DG57" s="222"/>
      <c r="DH57" s="222"/>
      <c r="DI57" s="222"/>
      <c r="DJ57" s="222"/>
      <c r="DK57" s="222"/>
      <c r="DL57" s="222"/>
      <c r="DM57" s="222"/>
      <c r="DN57" s="222"/>
      <c r="DO57" s="222"/>
      <c r="DP57" s="222"/>
      <c r="DQ57" s="222"/>
      <c r="DR57" s="222"/>
      <c r="DS57" s="222"/>
      <c r="DT57" s="222"/>
      <c r="DU57" s="222"/>
      <c r="DV57" s="222"/>
      <c r="DW57" s="222"/>
      <c r="DX57" s="222"/>
      <c r="DY57" s="222"/>
      <c r="DZ57" s="222"/>
      <c r="EA57" s="222"/>
      <c r="EB57" s="222"/>
      <c r="EC57" s="222"/>
      <c r="ED57" s="222"/>
      <c r="EE57" s="222"/>
      <c r="EF57" s="222"/>
      <c r="EG57" s="222"/>
      <c r="EH57" s="222"/>
    </row>
    <row r="58" spans="1:138" ht="15.95" outlineLevel="1">
      <c r="A58" s="505"/>
      <c r="B58" s="600"/>
      <c r="C58" s="249" t="s">
        <v>251</v>
      </c>
      <c r="D58" s="275">
        <v>0.11</v>
      </c>
      <c r="E58" s="251"/>
      <c r="F58" s="251"/>
      <c r="G58" s="251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1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60"/>
      <c r="BN58" s="260"/>
      <c r="BO58" s="260"/>
      <c r="BP58" s="260"/>
      <c r="BQ58" s="260"/>
      <c r="BR58" s="260"/>
      <c r="BS58" s="260"/>
      <c r="BT58" s="260"/>
      <c r="BU58" s="260"/>
      <c r="BV58" s="260"/>
      <c r="BW58" s="260"/>
      <c r="BX58" s="260"/>
      <c r="BY58" s="276">
        <f t="shared" si="25"/>
        <v>0</v>
      </c>
      <c r="BZ58" s="597"/>
      <c r="CA58" s="222"/>
      <c r="CB58" s="248"/>
      <c r="CC58" s="597"/>
      <c r="CD58" s="222"/>
      <c r="CE58" s="222"/>
      <c r="CF58" s="222"/>
      <c r="CG58" s="222"/>
      <c r="CH58" s="222"/>
      <c r="CI58" s="222"/>
      <c r="CJ58" s="222"/>
      <c r="CK58" s="222"/>
      <c r="CL58" s="222"/>
      <c r="CM58" s="222"/>
      <c r="CN58" s="222"/>
      <c r="CO58" s="222"/>
      <c r="CP58" s="222"/>
      <c r="CQ58" s="222"/>
      <c r="CR58" s="222"/>
      <c r="CS58" s="222"/>
      <c r="CT58" s="222"/>
      <c r="CU58" s="222"/>
      <c r="CV58" s="222"/>
      <c r="CW58" s="222"/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2"/>
      <c r="DI58" s="222"/>
      <c r="DJ58" s="222"/>
      <c r="DK58" s="222"/>
      <c r="DL58" s="222"/>
      <c r="DM58" s="222"/>
      <c r="DN58" s="222"/>
      <c r="DO58" s="222"/>
      <c r="DP58" s="222"/>
      <c r="DQ58" s="222"/>
      <c r="DR58" s="222"/>
      <c r="DS58" s="222"/>
      <c r="DT58" s="222"/>
      <c r="DU58" s="222"/>
      <c r="DV58" s="222"/>
      <c r="DW58" s="222"/>
      <c r="DX58" s="222"/>
      <c r="DY58" s="222"/>
      <c r="DZ58" s="222"/>
      <c r="EA58" s="222"/>
      <c r="EB58" s="222"/>
      <c r="EC58" s="222"/>
      <c r="ED58" s="222"/>
      <c r="EE58" s="222"/>
      <c r="EF58" s="222"/>
      <c r="EG58" s="222"/>
      <c r="EH58" s="222"/>
    </row>
    <row r="59" spans="1:138" ht="15.95" outlineLevel="1">
      <c r="A59" s="505"/>
      <c r="B59" s="600"/>
      <c r="C59" s="249" t="s">
        <v>252</v>
      </c>
      <c r="D59" s="275">
        <v>0.105</v>
      </c>
      <c r="E59" s="251"/>
      <c r="F59" s="251"/>
      <c r="G59" s="251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1"/>
      <c r="V59" s="251"/>
      <c r="W59" s="251"/>
      <c r="X59" s="251"/>
      <c r="Y59" s="251"/>
      <c r="Z59" s="251"/>
      <c r="AA59" s="251"/>
      <c r="AB59" s="251"/>
      <c r="AC59" s="251"/>
      <c r="AD59" s="251"/>
      <c r="AE59" s="251"/>
      <c r="AF59" s="251"/>
      <c r="AG59" s="251"/>
      <c r="AH59" s="251"/>
      <c r="AI59" s="251"/>
      <c r="AJ59" s="251"/>
      <c r="AK59" s="251"/>
      <c r="AL59" s="251"/>
      <c r="AM59" s="251"/>
      <c r="AN59" s="251"/>
      <c r="AO59" s="251"/>
      <c r="AP59" s="251"/>
      <c r="AQ59" s="251"/>
      <c r="AR59" s="251"/>
      <c r="AS59" s="251"/>
      <c r="AT59" s="251"/>
      <c r="AU59" s="251"/>
      <c r="AV59" s="251"/>
      <c r="AW59" s="251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60"/>
      <c r="BN59" s="260"/>
      <c r="BO59" s="260"/>
      <c r="BP59" s="260"/>
      <c r="BQ59" s="260"/>
      <c r="BR59" s="260"/>
      <c r="BS59" s="260"/>
      <c r="BT59" s="260"/>
      <c r="BU59" s="260"/>
      <c r="BV59" s="260"/>
      <c r="BW59" s="260"/>
      <c r="BX59" s="260"/>
      <c r="BY59" s="277">
        <f t="shared" si="25"/>
        <v>0</v>
      </c>
      <c r="BZ59" s="597"/>
      <c r="CA59" s="222"/>
      <c r="CB59" s="248"/>
      <c r="CC59" s="597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  <c r="DD59" s="222"/>
      <c r="DE59" s="222"/>
      <c r="DF59" s="222"/>
      <c r="DG59" s="222"/>
      <c r="DH59" s="222"/>
      <c r="DI59" s="222"/>
      <c r="DJ59" s="222"/>
      <c r="DK59" s="222"/>
      <c r="DL59" s="222"/>
      <c r="DM59" s="222"/>
      <c r="DN59" s="222"/>
      <c r="DO59" s="222"/>
      <c r="DP59" s="222"/>
      <c r="DQ59" s="222"/>
      <c r="DR59" s="222"/>
      <c r="DS59" s="222"/>
      <c r="DT59" s="222"/>
      <c r="DU59" s="222"/>
      <c r="DV59" s="222"/>
      <c r="DW59" s="222"/>
      <c r="DX59" s="222"/>
      <c r="DY59" s="222"/>
      <c r="DZ59" s="222"/>
      <c r="EA59" s="222"/>
      <c r="EB59" s="222"/>
      <c r="EC59" s="222"/>
      <c r="ED59" s="222"/>
      <c r="EE59" s="222"/>
      <c r="EF59" s="222"/>
      <c r="EG59" s="222"/>
      <c r="EH59" s="222"/>
    </row>
    <row r="60" spans="1:138" ht="15.95" outlineLevel="1">
      <c r="A60" s="505"/>
      <c r="B60" s="600"/>
      <c r="C60" s="249" t="s">
        <v>253</v>
      </c>
      <c r="D60" s="275">
        <v>0.15</v>
      </c>
      <c r="E60" s="251"/>
      <c r="F60" s="251"/>
      <c r="G60" s="251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1"/>
      <c r="V60" s="251"/>
      <c r="W60" s="251"/>
      <c r="X60" s="251"/>
      <c r="Y60" s="251"/>
      <c r="Z60" s="251"/>
      <c r="AA60" s="251"/>
      <c r="AB60" s="251"/>
      <c r="AC60" s="251"/>
      <c r="AD60" s="251"/>
      <c r="AE60" s="251"/>
      <c r="AF60" s="251"/>
      <c r="AG60" s="251"/>
      <c r="AH60" s="251"/>
      <c r="AI60" s="251"/>
      <c r="AJ60" s="251"/>
      <c r="AK60" s="251"/>
      <c r="AL60" s="251"/>
      <c r="AM60" s="251"/>
      <c r="AN60" s="251"/>
      <c r="AO60" s="251"/>
      <c r="AP60" s="251"/>
      <c r="AQ60" s="251"/>
      <c r="AR60" s="251"/>
      <c r="AS60" s="251"/>
      <c r="AT60" s="251"/>
      <c r="AU60" s="251"/>
      <c r="AV60" s="251"/>
      <c r="AW60" s="251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78">
        <f t="shared" si="25"/>
        <v>0</v>
      </c>
      <c r="BZ60" s="597"/>
      <c r="CA60" s="222"/>
      <c r="CB60" s="248"/>
      <c r="CC60" s="597"/>
      <c r="CD60" s="222"/>
      <c r="CE60" s="222"/>
      <c r="CF60" s="222"/>
      <c r="CG60" s="222"/>
      <c r="CH60" s="222"/>
      <c r="CI60" s="222"/>
      <c r="CJ60" s="222"/>
      <c r="CK60" s="222"/>
      <c r="CL60" s="222"/>
      <c r="CM60" s="222"/>
      <c r="CN60" s="222"/>
      <c r="CO60" s="222"/>
      <c r="CP60" s="222"/>
      <c r="CQ60" s="222"/>
      <c r="CR60" s="222"/>
      <c r="CS60" s="222"/>
      <c r="CT60" s="222"/>
      <c r="CU60" s="222"/>
      <c r="CV60" s="222"/>
      <c r="CW60" s="222"/>
      <c r="CX60" s="222"/>
      <c r="CY60" s="222"/>
      <c r="CZ60" s="222"/>
      <c r="DA60" s="222"/>
      <c r="DB60" s="222"/>
      <c r="DC60" s="222"/>
      <c r="DD60" s="222"/>
      <c r="DE60" s="222"/>
      <c r="DF60" s="222"/>
      <c r="DG60" s="222"/>
      <c r="DH60" s="222"/>
      <c r="DI60" s="222"/>
      <c r="DJ60" s="222"/>
      <c r="DK60" s="222"/>
      <c r="DL60" s="222"/>
      <c r="DM60" s="222"/>
      <c r="DN60" s="222"/>
      <c r="DO60" s="222"/>
      <c r="DP60" s="222"/>
      <c r="DQ60" s="222"/>
      <c r="DR60" s="222"/>
      <c r="DS60" s="222"/>
      <c r="DT60" s="222"/>
      <c r="DU60" s="222"/>
      <c r="DV60" s="222"/>
      <c r="DW60" s="222"/>
      <c r="DX60" s="222"/>
      <c r="DY60" s="222"/>
      <c r="DZ60" s="222"/>
      <c r="EA60" s="222"/>
      <c r="EB60" s="222"/>
      <c r="EC60" s="222"/>
      <c r="ED60" s="222"/>
      <c r="EE60" s="222"/>
      <c r="EF60" s="222"/>
      <c r="EG60" s="222"/>
      <c r="EH60" s="222"/>
    </row>
    <row r="61" spans="1:138" ht="15.95" outlineLevel="1">
      <c r="A61" s="505"/>
      <c r="B61" s="600"/>
      <c r="C61" s="249" t="s">
        <v>254</v>
      </c>
      <c r="D61" s="279">
        <v>5.8799999999999998E-2</v>
      </c>
      <c r="E61" s="255"/>
      <c r="F61" s="255"/>
      <c r="G61" s="255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>
        <f>-SUM($U$10:V10)*$D$61/12</f>
        <v>-14609.487199999998</v>
      </c>
      <c r="W61" s="256">
        <f>-500-9850.71-500-14428-17709</f>
        <v>-42987.71</v>
      </c>
      <c r="X61" s="256">
        <f t="shared" ref="X61:AB61" si="26">-SUM($U$10:X10)*$D$61/12</f>
        <v>-81607.299899999998</v>
      </c>
      <c r="Y61" s="256">
        <f t="shared" si="26"/>
        <v>-103657.2999</v>
      </c>
      <c r="Z61" s="256">
        <f t="shared" si="26"/>
        <v>-120317.2999</v>
      </c>
      <c r="AA61" s="256">
        <f t="shared" si="26"/>
        <v>-132300</v>
      </c>
      <c r="AB61" s="256">
        <f t="shared" si="26"/>
        <v>-132300</v>
      </c>
      <c r="AC61" s="256"/>
      <c r="AD61" s="256"/>
      <c r="AE61" s="256"/>
      <c r="AF61" s="256"/>
      <c r="AG61" s="255"/>
      <c r="AH61" s="255"/>
      <c r="AI61" s="255"/>
      <c r="AJ61" s="255"/>
      <c r="AK61" s="255"/>
      <c r="AL61" s="255"/>
      <c r="AM61" s="255"/>
      <c r="AN61" s="255"/>
      <c r="AO61" s="255"/>
      <c r="AP61" s="255"/>
      <c r="AQ61" s="255"/>
      <c r="AR61" s="255"/>
      <c r="AS61" s="255"/>
      <c r="AT61" s="255"/>
      <c r="AU61" s="255"/>
      <c r="AV61" s="255"/>
      <c r="AW61" s="255"/>
      <c r="AX61" s="255"/>
      <c r="AY61" s="255"/>
      <c r="AZ61" s="255"/>
      <c r="BA61" s="255"/>
      <c r="BB61" s="255"/>
      <c r="BC61" s="255"/>
      <c r="BD61" s="255"/>
      <c r="BE61" s="255"/>
      <c r="BF61" s="255"/>
      <c r="BG61" s="255"/>
      <c r="BH61" s="255"/>
      <c r="BI61" s="255"/>
      <c r="BJ61" s="255"/>
      <c r="BK61" s="255"/>
      <c r="BL61" s="251"/>
      <c r="BM61" s="260"/>
      <c r="BN61" s="260"/>
      <c r="BO61" s="260"/>
      <c r="BP61" s="260"/>
      <c r="BQ61" s="260"/>
      <c r="BR61" s="260"/>
      <c r="BS61" s="260"/>
      <c r="BT61" s="260"/>
      <c r="BU61" s="260"/>
      <c r="BV61" s="260"/>
      <c r="BW61" s="260"/>
      <c r="BX61" s="260"/>
      <c r="BY61" s="278">
        <f t="shared" si="25"/>
        <v>-627779.0969</v>
      </c>
      <c r="BZ61" s="597"/>
      <c r="CA61" s="222"/>
      <c r="CB61" s="248"/>
      <c r="CC61" s="597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  <c r="DD61" s="222"/>
      <c r="DE61" s="222"/>
      <c r="DF61" s="222"/>
      <c r="DG61" s="222"/>
      <c r="DH61" s="222"/>
      <c r="DI61" s="222"/>
      <c r="DJ61" s="222"/>
      <c r="DK61" s="222"/>
      <c r="DL61" s="222"/>
      <c r="DM61" s="222"/>
      <c r="DN61" s="222"/>
      <c r="DO61" s="222"/>
      <c r="DP61" s="222"/>
      <c r="DQ61" s="222"/>
      <c r="DR61" s="222"/>
      <c r="DS61" s="222"/>
      <c r="DT61" s="222"/>
      <c r="DU61" s="222"/>
      <c r="DV61" s="222"/>
      <c r="DW61" s="222"/>
      <c r="DX61" s="222"/>
      <c r="DY61" s="222"/>
      <c r="DZ61" s="222"/>
      <c r="EA61" s="222"/>
      <c r="EB61" s="222"/>
      <c r="EC61" s="222"/>
      <c r="ED61" s="222"/>
      <c r="EE61" s="222"/>
      <c r="EF61" s="222"/>
      <c r="EG61" s="222"/>
      <c r="EH61" s="222"/>
    </row>
    <row r="62" spans="1:138" ht="15.95" outlineLevel="1">
      <c r="A62" s="505"/>
      <c r="B62" s="600"/>
      <c r="C62" s="280" t="s">
        <v>255</v>
      </c>
      <c r="D62" s="281">
        <v>7.0000000000000007E-2</v>
      </c>
      <c r="E62" s="282"/>
      <c r="F62" s="282"/>
      <c r="G62" s="282"/>
      <c r="H62" s="283"/>
      <c r="I62" s="283"/>
      <c r="J62" s="283"/>
      <c r="K62" s="283"/>
      <c r="L62" s="283"/>
      <c r="M62" s="283">
        <f>-500-3013.89-17009.89-28420.74</f>
        <v>-48944.520000000004</v>
      </c>
      <c r="N62" s="283">
        <f>-500-3013.89-9715.85-35542.84-269.74-74539.72</f>
        <v>-123582.04</v>
      </c>
      <c r="O62" s="283">
        <f>-10395.44</f>
        <v>-10395.44</v>
      </c>
      <c r="P62" s="283">
        <f>-36289.12-275.39-112183.53-655.08-28529.87-31795.97-241.3-98293.51-658.05-45740.57-920.44-22573.06-16570.25</f>
        <v>-394726.13999999996</v>
      </c>
      <c r="Q62" s="283">
        <f>-11880.56-500-4442.66-33933.26-257.52-104900.69-702.28-48815.2-982.31-27035.66-1156.555-10939.02</f>
        <v>-245545.71499999997</v>
      </c>
      <c r="R62" s="283">
        <f>500-69.05-30398.58-230.69-11699.17</f>
        <v>-41897.49</v>
      </c>
      <c r="S62" s="283">
        <f>-224419.27-1.26-87.46-1.76-48.44-2.07-27.62-82274.48-629.13-43730.34-879.98-24219.48-1036.08-13808.46</f>
        <v>-391165.82999999996</v>
      </c>
      <c r="T62" s="283">
        <f>-7227.02-(6948.62)*25</f>
        <v>-180942.52</v>
      </c>
      <c r="U62" s="283">
        <f t="shared" ref="U62:V62" si="27">-200000</f>
        <v>-200000</v>
      </c>
      <c r="V62" s="283">
        <f t="shared" si="27"/>
        <v>-200000</v>
      </c>
      <c r="W62" s="283">
        <f>-(5247.39+6762.86)*25</f>
        <v>-300256.25</v>
      </c>
      <c r="X62" s="283">
        <f t="shared" ref="X62:AB62" si="28">-200000</f>
        <v>-200000</v>
      </c>
      <c r="Y62" s="283">
        <f t="shared" si="28"/>
        <v>-200000</v>
      </c>
      <c r="Z62" s="283">
        <f t="shared" si="28"/>
        <v>-200000</v>
      </c>
      <c r="AA62" s="283">
        <f t="shared" si="28"/>
        <v>-200000</v>
      </c>
      <c r="AB62" s="283">
        <f t="shared" si="28"/>
        <v>-200000</v>
      </c>
      <c r="AC62" s="283"/>
      <c r="AD62" s="283"/>
      <c r="AE62" s="283"/>
      <c r="AF62" s="283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4"/>
      <c r="BN62" s="284"/>
      <c r="BO62" s="284"/>
      <c r="BP62" s="284"/>
      <c r="BQ62" s="284"/>
      <c r="BR62" s="284"/>
      <c r="BS62" s="284"/>
      <c r="BT62" s="284"/>
      <c r="BU62" s="284"/>
      <c r="BV62" s="284"/>
      <c r="BW62" s="284"/>
      <c r="BX62" s="284"/>
      <c r="BY62" s="285">
        <f t="shared" si="25"/>
        <v>-3137455.9449999998</v>
      </c>
      <c r="BZ62" s="597"/>
      <c r="CA62" s="222"/>
      <c r="CB62" s="248"/>
      <c r="CC62" s="597"/>
      <c r="CD62" s="222"/>
      <c r="CE62" s="222"/>
      <c r="CF62" s="222"/>
      <c r="CG62" s="222"/>
      <c r="CH62" s="222"/>
      <c r="CI62" s="222"/>
      <c r="CJ62" s="222"/>
      <c r="CK62" s="222"/>
      <c r="CL62" s="222"/>
      <c r="CM62" s="222"/>
      <c r="CN62" s="222"/>
      <c r="CO62" s="222"/>
      <c r="CP62" s="222"/>
      <c r="CQ62" s="222"/>
      <c r="CR62" s="222"/>
      <c r="CS62" s="222"/>
      <c r="CT62" s="222"/>
      <c r="CU62" s="222"/>
      <c r="CV62" s="222"/>
      <c r="CW62" s="222"/>
      <c r="CX62" s="222"/>
      <c r="CY62" s="222"/>
      <c r="CZ62" s="222"/>
      <c r="DA62" s="222"/>
      <c r="DB62" s="222"/>
      <c r="DC62" s="222"/>
      <c r="DD62" s="222"/>
      <c r="DE62" s="222"/>
      <c r="DF62" s="222"/>
      <c r="DG62" s="222"/>
      <c r="DH62" s="222"/>
      <c r="DI62" s="222"/>
      <c r="DJ62" s="222"/>
      <c r="DK62" s="222"/>
      <c r="DL62" s="222"/>
      <c r="DM62" s="222"/>
      <c r="DN62" s="222"/>
      <c r="DO62" s="222"/>
      <c r="DP62" s="222"/>
      <c r="DQ62" s="222"/>
      <c r="DR62" s="222"/>
      <c r="DS62" s="222"/>
      <c r="DT62" s="222"/>
      <c r="DU62" s="222"/>
      <c r="DV62" s="222"/>
      <c r="DW62" s="222"/>
      <c r="DX62" s="222"/>
      <c r="DY62" s="222"/>
      <c r="DZ62" s="222"/>
      <c r="EA62" s="222"/>
      <c r="EB62" s="222"/>
      <c r="EC62" s="222"/>
      <c r="ED62" s="222"/>
      <c r="EE62" s="222"/>
      <c r="EF62" s="222"/>
      <c r="EG62" s="222"/>
      <c r="EH62" s="222"/>
    </row>
    <row r="63" spans="1:138" ht="15.95" collapsed="1">
      <c r="A63" s="505"/>
      <c r="B63" s="600"/>
      <c r="C63" s="244" t="s">
        <v>256</v>
      </c>
      <c r="D63" s="245"/>
      <c r="E63" s="246">
        <f t="shared" ref="E63:BY63" si="29">SUM(E64:E86)</f>
        <v>0</v>
      </c>
      <c r="F63" s="246">
        <f t="shared" si="29"/>
        <v>0</v>
      </c>
      <c r="G63" s="246">
        <f t="shared" si="29"/>
        <v>0</v>
      </c>
      <c r="H63" s="246">
        <f t="shared" si="29"/>
        <v>0</v>
      </c>
      <c r="I63" s="246">
        <f t="shared" si="29"/>
        <v>0</v>
      </c>
      <c r="J63" s="246">
        <f t="shared" si="29"/>
        <v>0</v>
      </c>
      <c r="K63" s="246">
        <f t="shared" si="29"/>
        <v>0</v>
      </c>
      <c r="L63" s="246">
        <f t="shared" si="29"/>
        <v>0</v>
      </c>
      <c r="M63" s="246">
        <f t="shared" si="29"/>
        <v>0</v>
      </c>
      <c r="N63" s="246">
        <f t="shared" si="29"/>
        <v>0</v>
      </c>
      <c r="O63" s="246">
        <f t="shared" si="29"/>
        <v>0</v>
      </c>
      <c r="P63" s="246">
        <f t="shared" si="29"/>
        <v>0</v>
      </c>
      <c r="Q63" s="246">
        <f t="shared" si="29"/>
        <v>0</v>
      </c>
      <c r="R63" s="246">
        <f t="shared" si="29"/>
        <v>0</v>
      </c>
      <c r="S63" s="246">
        <f t="shared" si="29"/>
        <v>-57959</v>
      </c>
      <c r="T63" s="246">
        <f t="shared" si="29"/>
        <v>-81554</v>
      </c>
      <c r="U63" s="246">
        <f t="shared" si="29"/>
        <v>-105146.234</v>
      </c>
      <c r="V63" s="246">
        <f t="shared" si="29"/>
        <v>-55146.233999999989</v>
      </c>
      <c r="W63" s="246">
        <f t="shared" si="29"/>
        <v>0</v>
      </c>
      <c r="X63" s="246">
        <f t="shared" si="29"/>
        <v>-55146.233999999989</v>
      </c>
      <c r="Y63" s="246">
        <f t="shared" si="29"/>
        <v>-55146.233999999989</v>
      </c>
      <c r="Z63" s="246">
        <f t="shared" si="29"/>
        <v>-98230.703999999983</v>
      </c>
      <c r="AA63" s="246">
        <f t="shared" si="29"/>
        <v>-98230.703999999983</v>
      </c>
      <c r="AB63" s="246">
        <f t="shared" si="29"/>
        <v>-938470.42286799964</v>
      </c>
      <c r="AC63" s="246">
        <f t="shared" si="29"/>
        <v>0</v>
      </c>
      <c r="AD63" s="246">
        <f t="shared" si="29"/>
        <v>0</v>
      </c>
      <c r="AE63" s="246">
        <f t="shared" si="29"/>
        <v>0</v>
      </c>
      <c r="AF63" s="246">
        <f t="shared" si="29"/>
        <v>0</v>
      </c>
      <c r="AG63" s="246">
        <f t="shared" si="29"/>
        <v>0</v>
      </c>
      <c r="AH63" s="246">
        <f t="shared" si="29"/>
        <v>0</v>
      </c>
      <c r="AI63" s="246">
        <f t="shared" si="29"/>
        <v>0</v>
      </c>
      <c r="AJ63" s="246">
        <f t="shared" si="29"/>
        <v>0</v>
      </c>
      <c r="AK63" s="246">
        <f t="shared" si="29"/>
        <v>0</v>
      </c>
      <c r="AL63" s="246">
        <f t="shared" si="29"/>
        <v>0</v>
      </c>
      <c r="AM63" s="246">
        <f t="shared" si="29"/>
        <v>0</v>
      </c>
      <c r="AN63" s="246">
        <f t="shared" si="29"/>
        <v>0</v>
      </c>
      <c r="AO63" s="246">
        <f t="shared" si="29"/>
        <v>0</v>
      </c>
      <c r="AP63" s="246">
        <f t="shared" si="29"/>
        <v>0</v>
      </c>
      <c r="AQ63" s="246">
        <f t="shared" si="29"/>
        <v>0</v>
      </c>
      <c r="AR63" s="246">
        <f t="shared" si="29"/>
        <v>0</v>
      </c>
      <c r="AS63" s="246">
        <f t="shared" si="29"/>
        <v>0</v>
      </c>
      <c r="AT63" s="246">
        <f t="shared" si="29"/>
        <v>0</v>
      </c>
      <c r="AU63" s="246">
        <f t="shared" si="29"/>
        <v>0</v>
      </c>
      <c r="AV63" s="246">
        <f t="shared" si="29"/>
        <v>0</v>
      </c>
      <c r="AW63" s="246">
        <f t="shared" si="29"/>
        <v>0</v>
      </c>
      <c r="AX63" s="246">
        <f t="shared" si="29"/>
        <v>0</v>
      </c>
      <c r="AY63" s="246">
        <f t="shared" si="29"/>
        <v>0</v>
      </c>
      <c r="AZ63" s="246">
        <f t="shared" si="29"/>
        <v>0</v>
      </c>
      <c r="BA63" s="246">
        <f t="shared" si="29"/>
        <v>0</v>
      </c>
      <c r="BB63" s="246">
        <f t="shared" si="29"/>
        <v>0</v>
      </c>
      <c r="BC63" s="246">
        <f t="shared" si="29"/>
        <v>0</v>
      </c>
      <c r="BD63" s="246">
        <f t="shared" si="29"/>
        <v>0</v>
      </c>
      <c r="BE63" s="246">
        <f t="shared" si="29"/>
        <v>0</v>
      </c>
      <c r="BF63" s="246">
        <f t="shared" si="29"/>
        <v>0</v>
      </c>
      <c r="BG63" s="246">
        <f t="shared" si="29"/>
        <v>0</v>
      </c>
      <c r="BH63" s="246">
        <f t="shared" si="29"/>
        <v>0</v>
      </c>
      <c r="BI63" s="246">
        <f t="shared" si="29"/>
        <v>0</v>
      </c>
      <c r="BJ63" s="246">
        <f t="shared" si="29"/>
        <v>0</v>
      </c>
      <c r="BK63" s="246">
        <f t="shared" si="29"/>
        <v>0</v>
      </c>
      <c r="BL63" s="246">
        <f t="shared" si="29"/>
        <v>0</v>
      </c>
      <c r="BM63" s="246">
        <f t="shared" si="29"/>
        <v>0</v>
      </c>
      <c r="BN63" s="246">
        <f t="shared" si="29"/>
        <v>0</v>
      </c>
      <c r="BO63" s="246">
        <f t="shared" si="29"/>
        <v>0</v>
      </c>
      <c r="BP63" s="246">
        <f t="shared" si="29"/>
        <v>0</v>
      </c>
      <c r="BQ63" s="246">
        <f t="shared" si="29"/>
        <v>0</v>
      </c>
      <c r="BR63" s="246">
        <f t="shared" si="29"/>
        <v>0</v>
      </c>
      <c r="BS63" s="246">
        <f t="shared" si="29"/>
        <v>0</v>
      </c>
      <c r="BT63" s="246">
        <f t="shared" si="29"/>
        <v>0</v>
      </c>
      <c r="BU63" s="246">
        <f t="shared" si="29"/>
        <v>0</v>
      </c>
      <c r="BV63" s="246">
        <f t="shared" si="29"/>
        <v>0</v>
      </c>
      <c r="BW63" s="246">
        <f t="shared" si="29"/>
        <v>0</v>
      </c>
      <c r="BX63" s="246">
        <f t="shared" si="29"/>
        <v>0</v>
      </c>
      <c r="BY63" s="247">
        <f t="shared" si="29"/>
        <v>-1545029.7668679995</v>
      </c>
      <c r="BZ63" s="597"/>
      <c r="CA63" s="222"/>
      <c r="CB63" s="248"/>
      <c r="CC63" s="597"/>
      <c r="CD63" s="222"/>
      <c r="CE63" s="222"/>
      <c r="CF63" s="222"/>
      <c r="CG63" s="222"/>
      <c r="CH63" s="222"/>
      <c r="CI63" s="222"/>
      <c r="CJ63" s="222"/>
      <c r="CK63" s="222"/>
      <c r="CL63" s="222"/>
      <c r="CM63" s="222"/>
      <c r="CN63" s="222"/>
      <c r="CO63" s="222"/>
      <c r="CP63" s="222"/>
      <c r="CQ63" s="222"/>
      <c r="CR63" s="222"/>
      <c r="CS63" s="222"/>
      <c r="CT63" s="222"/>
      <c r="CU63" s="222"/>
      <c r="CV63" s="222"/>
      <c r="CW63" s="222"/>
      <c r="CX63" s="222"/>
      <c r="CY63" s="222"/>
      <c r="CZ63" s="222"/>
      <c r="DA63" s="222"/>
      <c r="DB63" s="222"/>
      <c r="DC63" s="222"/>
      <c r="DD63" s="222"/>
      <c r="DE63" s="222"/>
      <c r="DF63" s="222"/>
      <c r="DG63" s="222"/>
      <c r="DH63" s="222"/>
      <c r="DI63" s="222"/>
      <c r="DJ63" s="222"/>
      <c r="DK63" s="222"/>
      <c r="DL63" s="222"/>
      <c r="DM63" s="222"/>
      <c r="DN63" s="222"/>
      <c r="DO63" s="222"/>
      <c r="DP63" s="222"/>
      <c r="DQ63" s="222"/>
      <c r="DR63" s="222"/>
      <c r="DS63" s="222"/>
      <c r="DT63" s="222"/>
      <c r="DU63" s="222"/>
      <c r="DV63" s="222"/>
      <c r="DW63" s="222"/>
      <c r="DX63" s="222"/>
      <c r="DY63" s="222"/>
      <c r="DZ63" s="222"/>
      <c r="EA63" s="222"/>
      <c r="EB63" s="222"/>
      <c r="EC63" s="222"/>
      <c r="ED63" s="222"/>
      <c r="EE63" s="222"/>
      <c r="EF63" s="222"/>
      <c r="EG63" s="222"/>
      <c r="EH63" s="222"/>
    </row>
    <row r="64" spans="1:138" ht="15.95" hidden="1" outlineLevel="1">
      <c r="A64" s="505"/>
      <c r="B64" s="600"/>
      <c r="C64" s="286" t="s">
        <v>257</v>
      </c>
      <c r="D64" s="250" t="s">
        <v>223</v>
      </c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  <c r="AP64" s="252"/>
      <c r="AQ64" s="252"/>
      <c r="AR64" s="252"/>
      <c r="AS64" s="252"/>
      <c r="AT64" s="252"/>
      <c r="AU64" s="252"/>
      <c r="AV64" s="252"/>
      <c r="AW64" s="252"/>
      <c r="AX64" s="252"/>
      <c r="AY64" s="252"/>
      <c r="AZ64" s="252"/>
      <c r="BA64" s="252"/>
      <c r="BB64" s="252"/>
      <c r="BC64" s="252"/>
      <c r="BD64" s="252"/>
      <c r="BE64" s="252"/>
      <c r="BF64" s="252"/>
      <c r="BG64" s="252"/>
      <c r="BH64" s="252"/>
      <c r="BI64" s="252"/>
      <c r="BJ64" s="252"/>
      <c r="BK64" s="252"/>
      <c r="BL64" s="252"/>
      <c r="BM64" s="252"/>
      <c r="BN64" s="252"/>
      <c r="BO64" s="252"/>
      <c r="BP64" s="252"/>
      <c r="BQ64" s="252"/>
      <c r="BR64" s="252"/>
      <c r="BS64" s="252"/>
      <c r="BT64" s="252"/>
      <c r="BU64" s="252"/>
      <c r="BV64" s="252"/>
      <c r="BW64" s="252"/>
      <c r="BX64" s="252"/>
      <c r="BY64" s="287">
        <f t="shared" ref="BY64:BY86" si="30">SUM(E64:BX64)</f>
        <v>0</v>
      </c>
      <c r="BZ64" s="597"/>
      <c r="CA64" s="222"/>
      <c r="CB64" s="248"/>
      <c r="CC64" s="597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2"/>
      <c r="DC64" s="222"/>
      <c r="DD64" s="222"/>
      <c r="DE64" s="222"/>
      <c r="DF64" s="222"/>
      <c r="DG64" s="222"/>
      <c r="DH64" s="222"/>
      <c r="DI64" s="222"/>
      <c r="DJ64" s="222"/>
      <c r="DK64" s="222"/>
      <c r="DL64" s="222"/>
      <c r="DM64" s="222"/>
      <c r="DN64" s="222"/>
      <c r="DO64" s="222"/>
      <c r="DP64" s="222"/>
      <c r="DQ64" s="222"/>
      <c r="DR64" s="222"/>
      <c r="DS64" s="222"/>
      <c r="DT64" s="222"/>
      <c r="DU64" s="222"/>
      <c r="DV64" s="222"/>
      <c r="DW64" s="222"/>
      <c r="DX64" s="222"/>
      <c r="DY64" s="222"/>
      <c r="DZ64" s="222"/>
      <c r="EA64" s="222"/>
      <c r="EB64" s="222"/>
      <c r="EC64" s="222"/>
      <c r="ED64" s="222"/>
      <c r="EE64" s="222"/>
      <c r="EF64" s="222"/>
      <c r="EG64" s="222"/>
      <c r="EH64" s="222"/>
    </row>
    <row r="65" spans="1:138" ht="15.95" hidden="1" outlineLevel="1">
      <c r="A65" s="505"/>
      <c r="B65" s="600"/>
      <c r="C65" s="288" t="s">
        <v>258</v>
      </c>
      <c r="D65" s="250" t="s">
        <v>223</v>
      </c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  <c r="AP65" s="252"/>
      <c r="AQ65" s="252"/>
      <c r="AR65" s="252"/>
      <c r="AS65" s="252"/>
      <c r="AT65" s="252"/>
      <c r="AU65" s="252"/>
      <c r="AV65" s="252"/>
      <c r="AW65" s="252"/>
      <c r="AX65" s="252"/>
      <c r="AY65" s="252"/>
      <c r="AZ65" s="252"/>
      <c r="BA65" s="252"/>
      <c r="BB65" s="252"/>
      <c r="BC65" s="252"/>
      <c r="BD65" s="252"/>
      <c r="BE65" s="252"/>
      <c r="BF65" s="252"/>
      <c r="BG65" s="252"/>
      <c r="BH65" s="252"/>
      <c r="BI65" s="252"/>
      <c r="BJ65" s="252"/>
      <c r="BK65" s="252"/>
      <c r="BL65" s="252"/>
      <c r="BM65" s="252"/>
      <c r="BN65" s="252"/>
      <c r="BO65" s="252"/>
      <c r="BP65" s="252"/>
      <c r="BQ65" s="252"/>
      <c r="BR65" s="252"/>
      <c r="BS65" s="252"/>
      <c r="BT65" s="252"/>
      <c r="BU65" s="252"/>
      <c r="BV65" s="252"/>
      <c r="BW65" s="252"/>
      <c r="BX65" s="252"/>
      <c r="BY65" s="287">
        <f t="shared" si="30"/>
        <v>0</v>
      </c>
      <c r="BZ65" s="597"/>
      <c r="CA65" s="222"/>
      <c r="CB65" s="248"/>
      <c r="CC65" s="597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2"/>
      <c r="DC65" s="222"/>
      <c r="DD65" s="222"/>
      <c r="DE65" s="222"/>
      <c r="DF65" s="222"/>
      <c r="DG65" s="222"/>
      <c r="DH65" s="222"/>
      <c r="DI65" s="222"/>
      <c r="DJ65" s="222"/>
      <c r="DK65" s="222"/>
      <c r="DL65" s="222"/>
      <c r="DM65" s="222"/>
      <c r="DN65" s="222"/>
      <c r="DO65" s="222"/>
      <c r="DP65" s="222"/>
      <c r="DQ65" s="222"/>
      <c r="DR65" s="222"/>
      <c r="DS65" s="222"/>
      <c r="DT65" s="222"/>
      <c r="DU65" s="222"/>
      <c r="DV65" s="222"/>
      <c r="DW65" s="222"/>
      <c r="DX65" s="222"/>
      <c r="DY65" s="222"/>
      <c r="DZ65" s="222"/>
      <c r="EA65" s="222"/>
      <c r="EB65" s="222"/>
      <c r="EC65" s="222"/>
      <c r="ED65" s="222"/>
      <c r="EE65" s="222"/>
      <c r="EF65" s="222"/>
      <c r="EG65" s="222"/>
      <c r="EH65" s="222"/>
    </row>
    <row r="66" spans="1:138" ht="15.95" hidden="1" outlineLevel="1">
      <c r="A66" s="505"/>
      <c r="B66" s="600"/>
      <c r="C66" s="288" t="s">
        <v>259</v>
      </c>
      <c r="D66" s="250" t="s">
        <v>223</v>
      </c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  <c r="AP66" s="252"/>
      <c r="AQ66" s="252"/>
      <c r="AR66" s="252"/>
      <c r="AS66" s="252"/>
      <c r="AT66" s="252"/>
      <c r="AU66" s="252"/>
      <c r="AV66" s="252"/>
      <c r="AW66" s="252"/>
      <c r="AX66" s="252"/>
      <c r="AY66" s="252"/>
      <c r="AZ66" s="252"/>
      <c r="BA66" s="252"/>
      <c r="BB66" s="252"/>
      <c r="BC66" s="252"/>
      <c r="BD66" s="252"/>
      <c r="BE66" s="252"/>
      <c r="BF66" s="252"/>
      <c r="BG66" s="252"/>
      <c r="BH66" s="252"/>
      <c r="BI66" s="252"/>
      <c r="BJ66" s="252"/>
      <c r="BK66" s="252"/>
      <c r="BL66" s="252"/>
      <c r="BM66" s="252"/>
      <c r="BN66" s="252"/>
      <c r="BO66" s="252"/>
      <c r="BP66" s="252"/>
      <c r="BQ66" s="252"/>
      <c r="BR66" s="252"/>
      <c r="BS66" s="252"/>
      <c r="BT66" s="252"/>
      <c r="BU66" s="252"/>
      <c r="BV66" s="252"/>
      <c r="BW66" s="252"/>
      <c r="BX66" s="252"/>
      <c r="BY66" s="287">
        <f t="shared" si="30"/>
        <v>0</v>
      </c>
      <c r="BZ66" s="597"/>
      <c r="CA66" s="222"/>
      <c r="CB66" s="248"/>
      <c r="CC66" s="597"/>
      <c r="CD66" s="222"/>
      <c r="CE66" s="222"/>
      <c r="CF66" s="222"/>
      <c r="CG66" s="222"/>
      <c r="CH66" s="222"/>
      <c r="CI66" s="222"/>
      <c r="CJ66" s="222"/>
      <c r="CK66" s="222"/>
      <c r="CL66" s="222"/>
      <c r="CM66" s="222"/>
      <c r="CN66" s="222"/>
      <c r="CO66" s="222"/>
      <c r="CP66" s="222"/>
      <c r="CQ66" s="222"/>
      <c r="CR66" s="222"/>
      <c r="CS66" s="222"/>
      <c r="CT66" s="222"/>
      <c r="CU66" s="222"/>
      <c r="CV66" s="222"/>
      <c r="CW66" s="222"/>
      <c r="CX66" s="222"/>
      <c r="CY66" s="222"/>
      <c r="CZ66" s="222"/>
      <c r="DA66" s="222"/>
      <c r="DB66" s="222"/>
      <c r="DC66" s="222"/>
      <c r="DD66" s="222"/>
      <c r="DE66" s="222"/>
      <c r="DF66" s="222"/>
      <c r="DG66" s="222"/>
      <c r="DH66" s="222"/>
      <c r="DI66" s="222"/>
      <c r="DJ66" s="222"/>
      <c r="DK66" s="222"/>
      <c r="DL66" s="222"/>
      <c r="DM66" s="222"/>
      <c r="DN66" s="222"/>
      <c r="DO66" s="222"/>
      <c r="DP66" s="222"/>
      <c r="DQ66" s="222"/>
      <c r="DR66" s="222"/>
      <c r="DS66" s="222"/>
      <c r="DT66" s="222"/>
      <c r="DU66" s="222"/>
      <c r="DV66" s="222"/>
      <c r="DW66" s="222"/>
      <c r="DX66" s="222"/>
      <c r="DY66" s="222"/>
      <c r="DZ66" s="222"/>
      <c r="EA66" s="222"/>
      <c r="EB66" s="222"/>
      <c r="EC66" s="222"/>
      <c r="ED66" s="222"/>
      <c r="EE66" s="222"/>
      <c r="EF66" s="222"/>
      <c r="EG66" s="222"/>
      <c r="EH66" s="222"/>
    </row>
    <row r="67" spans="1:138" ht="15.95" hidden="1" outlineLevel="1">
      <c r="A67" s="505"/>
      <c r="B67" s="600"/>
      <c r="C67" s="288" t="s">
        <v>260</v>
      </c>
      <c r="D67" s="250" t="s">
        <v>223</v>
      </c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  <c r="AX67" s="252"/>
      <c r="AY67" s="252"/>
      <c r="AZ67" s="252"/>
      <c r="BA67" s="252"/>
      <c r="BB67" s="252"/>
      <c r="BC67" s="252"/>
      <c r="BD67" s="252"/>
      <c r="BE67" s="252"/>
      <c r="BF67" s="252"/>
      <c r="BG67" s="252"/>
      <c r="BH67" s="252"/>
      <c r="BI67" s="252"/>
      <c r="BJ67" s="252"/>
      <c r="BK67" s="252"/>
      <c r="BL67" s="252"/>
      <c r="BM67" s="252"/>
      <c r="BN67" s="252"/>
      <c r="BO67" s="252"/>
      <c r="BP67" s="252"/>
      <c r="BQ67" s="252"/>
      <c r="BR67" s="252"/>
      <c r="BS67" s="252"/>
      <c r="BT67" s="252"/>
      <c r="BU67" s="252"/>
      <c r="BV67" s="252"/>
      <c r="BW67" s="252"/>
      <c r="BX67" s="252"/>
      <c r="BY67" s="287">
        <f t="shared" si="30"/>
        <v>0</v>
      </c>
      <c r="BZ67" s="597"/>
      <c r="CA67" s="222"/>
      <c r="CB67" s="248"/>
      <c r="CC67" s="597"/>
      <c r="CD67" s="222"/>
      <c r="CE67" s="222"/>
      <c r="CF67" s="222"/>
      <c r="CG67" s="222"/>
      <c r="CH67" s="222"/>
      <c r="CI67" s="222"/>
      <c r="CJ67" s="222"/>
      <c r="CK67" s="222"/>
      <c r="CL67" s="222"/>
      <c r="CM67" s="222"/>
      <c r="CN67" s="222"/>
      <c r="CO67" s="222"/>
      <c r="CP67" s="222"/>
      <c r="CQ67" s="222"/>
      <c r="CR67" s="222"/>
      <c r="CS67" s="222"/>
      <c r="CT67" s="222"/>
      <c r="CU67" s="222"/>
      <c r="CV67" s="222"/>
      <c r="CW67" s="222"/>
      <c r="CX67" s="222"/>
      <c r="CY67" s="222"/>
      <c r="CZ67" s="222"/>
      <c r="DA67" s="222"/>
      <c r="DB67" s="222"/>
      <c r="DC67" s="222"/>
      <c r="DD67" s="222"/>
      <c r="DE67" s="222"/>
      <c r="DF67" s="222"/>
      <c r="DG67" s="222"/>
      <c r="DH67" s="222"/>
      <c r="DI67" s="222"/>
      <c r="DJ67" s="222"/>
      <c r="DK67" s="222"/>
      <c r="DL67" s="222"/>
      <c r="DM67" s="222"/>
      <c r="DN67" s="222"/>
      <c r="DO67" s="222"/>
      <c r="DP67" s="222"/>
      <c r="DQ67" s="222"/>
      <c r="DR67" s="222"/>
      <c r="DS67" s="222"/>
      <c r="DT67" s="222"/>
      <c r="DU67" s="222"/>
      <c r="DV67" s="222"/>
      <c r="DW67" s="222"/>
      <c r="DX67" s="222"/>
      <c r="DY67" s="222"/>
      <c r="DZ67" s="222"/>
      <c r="EA67" s="222"/>
      <c r="EB67" s="222"/>
      <c r="EC67" s="222"/>
      <c r="ED67" s="222"/>
      <c r="EE67" s="222"/>
      <c r="EF67" s="222"/>
      <c r="EG67" s="222"/>
      <c r="EH67" s="222"/>
    </row>
    <row r="68" spans="1:138" ht="15.95" hidden="1" outlineLevel="1">
      <c r="A68" s="505"/>
      <c r="B68" s="600"/>
      <c r="C68" s="288" t="s">
        <v>261</v>
      </c>
      <c r="D68" s="250" t="s">
        <v>223</v>
      </c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252"/>
      <c r="BG68" s="252"/>
      <c r="BH68" s="252"/>
      <c r="BI68" s="252"/>
      <c r="BJ68" s="252"/>
      <c r="BK68" s="252"/>
      <c r="BL68" s="252"/>
      <c r="BM68" s="252"/>
      <c r="BN68" s="252"/>
      <c r="BO68" s="252"/>
      <c r="BP68" s="252"/>
      <c r="BQ68" s="252"/>
      <c r="BR68" s="252"/>
      <c r="BS68" s="252"/>
      <c r="BT68" s="252"/>
      <c r="BU68" s="252"/>
      <c r="BV68" s="252"/>
      <c r="BW68" s="252"/>
      <c r="BX68" s="252"/>
      <c r="BY68" s="287">
        <f t="shared" si="30"/>
        <v>0</v>
      </c>
      <c r="BZ68" s="597"/>
      <c r="CA68" s="222"/>
      <c r="CB68" s="248"/>
      <c r="CC68" s="597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</row>
    <row r="69" spans="1:138" ht="15.95" hidden="1" outlineLevel="1">
      <c r="A69" s="505"/>
      <c r="B69" s="600"/>
      <c r="C69" s="288" t="s">
        <v>262</v>
      </c>
      <c r="D69" s="250" t="s">
        <v>223</v>
      </c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  <c r="AX69" s="252"/>
      <c r="AY69" s="252"/>
      <c r="AZ69" s="252"/>
      <c r="BA69" s="252"/>
      <c r="BB69" s="252"/>
      <c r="BC69" s="252"/>
      <c r="BD69" s="252"/>
      <c r="BE69" s="252"/>
      <c r="BF69" s="252"/>
      <c r="BG69" s="252"/>
      <c r="BH69" s="252"/>
      <c r="BI69" s="252"/>
      <c r="BJ69" s="252"/>
      <c r="BK69" s="252"/>
      <c r="BL69" s="252"/>
      <c r="BM69" s="252"/>
      <c r="BN69" s="252"/>
      <c r="BO69" s="252"/>
      <c r="BP69" s="252"/>
      <c r="BQ69" s="252"/>
      <c r="BR69" s="252"/>
      <c r="BS69" s="252"/>
      <c r="BT69" s="252"/>
      <c r="BU69" s="252"/>
      <c r="BV69" s="252"/>
      <c r="BW69" s="252"/>
      <c r="BX69" s="252"/>
      <c r="BY69" s="287">
        <f t="shared" si="30"/>
        <v>0</v>
      </c>
      <c r="BZ69" s="597"/>
      <c r="CA69" s="222"/>
      <c r="CB69" s="248"/>
      <c r="CC69" s="597"/>
      <c r="CD69" s="222"/>
      <c r="CE69" s="222"/>
      <c r="CF69" s="222"/>
      <c r="CG69" s="222"/>
      <c r="CH69" s="222"/>
      <c r="CI69" s="222"/>
      <c r="CJ69" s="222"/>
      <c r="CK69" s="222"/>
      <c r="CL69" s="222"/>
      <c r="CM69" s="222"/>
      <c r="CN69" s="222"/>
      <c r="CO69" s="222"/>
      <c r="CP69" s="222"/>
      <c r="CQ69" s="222"/>
      <c r="CR69" s="222"/>
      <c r="CS69" s="222"/>
      <c r="CT69" s="222"/>
      <c r="CU69" s="222"/>
      <c r="CV69" s="222"/>
      <c r="CW69" s="222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2"/>
      <c r="DI69" s="222"/>
      <c r="DJ69" s="222"/>
      <c r="DK69" s="222"/>
      <c r="DL69" s="222"/>
      <c r="DM69" s="222"/>
      <c r="DN69" s="222"/>
      <c r="DO69" s="222"/>
      <c r="DP69" s="222"/>
      <c r="DQ69" s="222"/>
      <c r="DR69" s="222"/>
      <c r="DS69" s="222"/>
      <c r="DT69" s="222"/>
      <c r="DU69" s="222"/>
      <c r="DV69" s="222"/>
      <c r="DW69" s="222"/>
      <c r="DX69" s="222"/>
      <c r="DY69" s="222"/>
      <c r="DZ69" s="222"/>
      <c r="EA69" s="222"/>
      <c r="EB69" s="222"/>
      <c r="EC69" s="222"/>
      <c r="ED69" s="222"/>
      <c r="EE69" s="222"/>
      <c r="EF69" s="222"/>
      <c r="EG69" s="222"/>
      <c r="EH69" s="222"/>
    </row>
    <row r="70" spans="1:138" ht="15.95" hidden="1" outlineLevel="1">
      <c r="A70" s="505"/>
      <c r="B70" s="600"/>
      <c r="C70" s="288" t="s">
        <v>263</v>
      </c>
      <c r="D70" s="250" t="s">
        <v>223</v>
      </c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  <c r="AX70" s="252"/>
      <c r="AY70" s="252"/>
      <c r="AZ70" s="252"/>
      <c r="BA70" s="252"/>
      <c r="BB70" s="252"/>
      <c r="BC70" s="252"/>
      <c r="BD70" s="252"/>
      <c r="BE70" s="252"/>
      <c r="BF70" s="252"/>
      <c r="BG70" s="252"/>
      <c r="BH70" s="252"/>
      <c r="BI70" s="252"/>
      <c r="BJ70" s="252"/>
      <c r="BK70" s="252"/>
      <c r="BL70" s="252"/>
      <c r="BM70" s="252"/>
      <c r="BN70" s="252"/>
      <c r="BO70" s="252"/>
      <c r="BP70" s="252"/>
      <c r="BQ70" s="252"/>
      <c r="BR70" s="252"/>
      <c r="BS70" s="252"/>
      <c r="BT70" s="252"/>
      <c r="BU70" s="252"/>
      <c r="BV70" s="252"/>
      <c r="BW70" s="252"/>
      <c r="BX70" s="252"/>
      <c r="BY70" s="287">
        <f t="shared" si="30"/>
        <v>0</v>
      </c>
      <c r="BZ70" s="597"/>
      <c r="CA70" s="222"/>
      <c r="CB70" s="248"/>
      <c r="CC70" s="597"/>
      <c r="CD70" s="222"/>
      <c r="CE70" s="222"/>
      <c r="CF70" s="222"/>
      <c r="CG70" s="222"/>
      <c r="CH70" s="222"/>
      <c r="CI70" s="222"/>
      <c r="CJ70" s="222"/>
      <c r="CK70" s="222"/>
      <c r="CL70" s="222"/>
      <c r="CM70" s="222"/>
      <c r="CN70" s="222"/>
      <c r="CO70" s="222"/>
      <c r="CP70" s="222"/>
      <c r="CQ70" s="222"/>
      <c r="CR70" s="222"/>
      <c r="CS70" s="222"/>
      <c r="CT70" s="222"/>
      <c r="CU70" s="222"/>
      <c r="CV70" s="222"/>
      <c r="CW70" s="222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2"/>
      <c r="DI70" s="222"/>
      <c r="DJ70" s="222"/>
      <c r="DK70" s="222"/>
      <c r="DL70" s="222"/>
      <c r="DM70" s="222"/>
      <c r="DN70" s="222"/>
      <c r="DO70" s="222"/>
      <c r="DP70" s="222"/>
      <c r="DQ70" s="222"/>
      <c r="DR70" s="222"/>
      <c r="DS70" s="222"/>
      <c r="DT70" s="222"/>
      <c r="DU70" s="222"/>
      <c r="DV70" s="222"/>
      <c r="DW70" s="222"/>
      <c r="DX70" s="222"/>
      <c r="DY70" s="222"/>
      <c r="DZ70" s="222"/>
      <c r="EA70" s="222"/>
      <c r="EB70" s="222"/>
      <c r="EC70" s="222"/>
      <c r="ED70" s="222"/>
      <c r="EE70" s="222"/>
      <c r="EF70" s="222"/>
      <c r="EG70" s="222"/>
      <c r="EH70" s="222"/>
    </row>
    <row r="71" spans="1:138" ht="15.95" hidden="1" outlineLevel="1">
      <c r="A71" s="505"/>
      <c r="B71" s="600"/>
      <c r="C71" s="288" t="s">
        <v>264</v>
      </c>
      <c r="D71" s="250" t="s">
        <v>223</v>
      </c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  <c r="AX71" s="252"/>
      <c r="AY71" s="252"/>
      <c r="AZ71" s="252"/>
      <c r="BA71" s="252"/>
      <c r="BB71" s="252"/>
      <c r="BC71" s="252"/>
      <c r="BD71" s="252"/>
      <c r="BE71" s="252"/>
      <c r="BF71" s="252"/>
      <c r="BG71" s="252"/>
      <c r="BH71" s="252"/>
      <c r="BI71" s="252"/>
      <c r="BJ71" s="252"/>
      <c r="BK71" s="252"/>
      <c r="BL71" s="252"/>
      <c r="BM71" s="252"/>
      <c r="BN71" s="252"/>
      <c r="BO71" s="252"/>
      <c r="BP71" s="252"/>
      <c r="BQ71" s="252"/>
      <c r="BR71" s="252"/>
      <c r="BS71" s="252"/>
      <c r="BT71" s="252"/>
      <c r="BU71" s="252"/>
      <c r="BV71" s="252"/>
      <c r="BW71" s="252"/>
      <c r="BX71" s="252"/>
      <c r="BY71" s="287">
        <f t="shared" si="30"/>
        <v>0</v>
      </c>
      <c r="BZ71" s="597"/>
      <c r="CA71" s="222"/>
      <c r="CB71" s="248"/>
      <c r="CC71" s="597"/>
      <c r="CD71" s="222"/>
      <c r="CE71" s="222"/>
      <c r="CF71" s="222"/>
      <c r="CG71" s="222"/>
      <c r="CH71" s="222"/>
      <c r="CI71" s="222"/>
      <c r="CJ71" s="222"/>
      <c r="CK71" s="222"/>
      <c r="CL71" s="222"/>
      <c r="CM71" s="222"/>
      <c r="CN71" s="222"/>
      <c r="CO71" s="222"/>
      <c r="CP71" s="222"/>
      <c r="CQ71" s="222"/>
      <c r="CR71" s="222"/>
      <c r="CS71" s="222"/>
      <c r="CT71" s="222"/>
      <c r="CU71" s="222"/>
      <c r="CV71" s="222"/>
      <c r="CW71" s="222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2"/>
      <c r="DI71" s="222"/>
      <c r="DJ71" s="222"/>
      <c r="DK71" s="222"/>
      <c r="DL71" s="222"/>
      <c r="DM71" s="222"/>
      <c r="DN71" s="222"/>
      <c r="DO71" s="222"/>
      <c r="DP71" s="222"/>
      <c r="DQ71" s="222"/>
      <c r="DR71" s="222"/>
      <c r="DS71" s="222"/>
      <c r="DT71" s="222"/>
      <c r="DU71" s="222"/>
      <c r="DV71" s="222"/>
      <c r="DW71" s="222"/>
      <c r="DX71" s="222"/>
      <c r="DY71" s="222"/>
      <c r="DZ71" s="222"/>
      <c r="EA71" s="222"/>
      <c r="EB71" s="222"/>
      <c r="EC71" s="222"/>
      <c r="ED71" s="222"/>
      <c r="EE71" s="222"/>
      <c r="EF71" s="222"/>
      <c r="EG71" s="222"/>
      <c r="EH71" s="222"/>
    </row>
    <row r="72" spans="1:138" ht="15.95" hidden="1" outlineLevel="1">
      <c r="A72" s="505"/>
      <c r="B72" s="600"/>
      <c r="C72" s="288" t="s">
        <v>265</v>
      </c>
      <c r="D72" s="250" t="s">
        <v>223</v>
      </c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9">
        <f>-50000</f>
        <v>-50000</v>
      </c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  <c r="AX72" s="252"/>
      <c r="AY72" s="252"/>
      <c r="AZ72" s="252"/>
      <c r="BA72" s="252"/>
      <c r="BB72" s="252"/>
      <c r="BC72" s="252"/>
      <c r="BD72" s="252"/>
      <c r="BE72" s="252"/>
      <c r="BF72" s="252"/>
      <c r="BG72" s="252"/>
      <c r="BH72" s="252"/>
      <c r="BI72" s="252"/>
      <c r="BJ72" s="252"/>
      <c r="BK72" s="252"/>
      <c r="BL72" s="252"/>
      <c r="BM72" s="252"/>
      <c r="BN72" s="252"/>
      <c r="BO72" s="252"/>
      <c r="BP72" s="252"/>
      <c r="BQ72" s="252"/>
      <c r="BR72" s="252"/>
      <c r="BS72" s="252"/>
      <c r="BT72" s="252"/>
      <c r="BU72" s="252"/>
      <c r="BV72" s="252"/>
      <c r="BW72" s="252"/>
      <c r="BX72" s="252"/>
      <c r="BY72" s="287">
        <f t="shared" si="30"/>
        <v>-50000</v>
      </c>
      <c r="BZ72" s="597"/>
      <c r="CA72" s="222"/>
      <c r="CB72" s="248"/>
      <c r="CC72" s="597"/>
      <c r="CD72" s="222"/>
      <c r="CE72" s="222"/>
      <c r="CF72" s="222"/>
      <c r="CG72" s="222"/>
      <c r="CH72" s="222"/>
      <c r="CI72" s="222"/>
      <c r="CJ72" s="222"/>
      <c r="CK72" s="222"/>
      <c r="CL72" s="222"/>
      <c r="CM72" s="222"/>
      <c r="CN72" s="222"/>
      <c r="CO72" s="222"/>
      <c r="CP72" s="222"/>
      <c r="CQ72" s="222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2"/>
      <c r="DI72" s="222"/>
      <c r="DJ72" s="222"/>
      <c r="DK72" s="222"/>
      <c r="DL72" s="222"/>
      <c r="DM72" s="222"/>
      <c r="DN72" s="222"/>
      <c r="DO72" s="222"/>
      <c r="DP72" s="222"/>
      <c r="DQ72" s="222"/>
      <c r="DR72" s="222"/>
      <c r="DS72" s="222"/>
      <c r="DT72" s="222"/>
      <c r="DU72" s="222"/>
      <c r="DV72" s="222"/>
      <c r="DW72" s="222"/>
      <c r="DX72" s="222"/>
      <c r="DY72" s="222"/>
      <c r="DZ72" s="222"/>
      <c r="EA72" s="222"/>
      <c r="EB72" s="222"/>
      <c r="EC72" s="222"/>
      <c r="ED72" s="222"/>
      <c r="EE72" s="222"/>
      <c r="EF72" s="222"/>
      <c r="EG72" s="222"/>
      <c r="EH72" s="222"/>
    </row>
    <row r="73" spans="1:138" ht="15.95" hidden="1" outlineLevel="1">
      <c r="A73" s="505"/>
      <c r="B73" s="600"/>
      <c r="C73" s="288" t="s">
        <v>266</v>
      </c>
      <c r="D73" s="250" t="s">
        <v>223</v>
      </c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  <c r="AX73" s="252"/>
      <c r="AY73" s="252"/>
      <c r="AZ73" s="252"/>
      <c r="BA73" s="252"/>
      <c r="BB73" s="252"/>
      <c r="BC73" s="252"/>
      <c r="BD73" s="252"/>
      <c r="BE73" s="252"/>
      <c r="BF73" s="252"/>
      <c r="BG73" s="252"/>
      <c r="BH73" s="252"/>
      <c r="BI73" s="252"/>
      <c r="BJ73" s="252"/>
      <c r="BK73" s="252"/>
      <c r="BL73" s="252"/>
      <c r="BM73" s="252"/>
      <c r="BN73" s="252"/>
      <c r="BO73" s="252"/>
      <c r="BP73" s="252"/>
      <c r="BQ73" s="252"/>
      <c r="BR73" s="252"/>
      <c r="BS73" s="252"/>
      <c r="BT73" s="252"/>
      <c r="BU73" s="252"/>
      <c r="BV73" s="252"/>
      <c r="BW73" s="252"/>
      <c r="BX73" s="252"/>
      <c r="BY73" s="287">
        <f t="shared" si="30"/>
        <v>0</v>
      </c>
      <c r="BZ73" s="597"/>
      <c r="CA73" s="222"/>
      <c r="CB73" s="248"/>
      <c r="CC73" s="597"/>
      <c r="CD73" s="222"/>
      <c r="CE73" s="222"/>
      <c r="CF73" s="222"/>
      <c r="CG73" s="222"/>
      <c r="CH73" s="222"/>
      <c r="CI73" s="222"/>
      <c r="CJ73" s="222"/>
      <c r="CK73" s="222"/>
      <c r="CL73" s="222"/>
      <c r="CM73" s="222"/>
      <c r="CN73" s="222"/>
      <c r="CO73" s="222"/>
      <c r="CP73" s="222"/>
      <c r="CQ73" s="222"/>
      <c r="CR73" s="222"/>
      <c r="CS73" s="222"/>
      <c r="CT73" s="222"/>
      <c r="CU73" s="222"/>
      <c r="CV73" s="222"/>
      <c r="CW73" s="222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2"/>
      <c r="DI73" s="222"/>
      <c r="DJ73" s="222"/>
      <c r="DK73" s="222"/>
      <c r="DL73" s="222"/>
      <c r="DM73" s="222"/>
      <c r="DN73" s="222"/>
      <c r="DO73" s="222"/>
      <c r="DP73" s="222"/>
      <c r="DQ73" s="222"/>
      <c r="DR73" s="222"/>
      <c r="DS73" s="222"/>
      <c r="DT73" s="222"/>
      <c r="DU73" s="222"/>
      <c r="DV73" s="222"/>
      <c r="DW73" s="222"/>
      <c r="DX73" s="222"/>
      <c r="DY73" s="222"/>
      <c r="DZ73" s="222"/>
      <c r="EA73" s="222"/>
      <c r="EB73" s="222"/>
      <c r="EC73" s="222"/>
      <c r="ED73" s="222"/>
      <c r="EE73" s="222"/>
      <c r="EF73" s="222"/>
      <c r="EG73" s="222"/>
      <c r="EH73" s="222"/>
    </row>
    <row r="74" spans="1:138" ht="15.95" hidden="1" outlineLevel="1">
      <c r="A74" s="505"/>
      <c r="B74" s="600"/>
      <c r="C74" s="288" t="s">
        <v>267</v>
      </c>
      <c r="D74" s="250" t="s">
        <v>223</v>
      </c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252"/>
      <c r="BG74" s="252"/>
      <c r="BH74" s="252"/>
      <c r="BI74" s="252"/>
      <c r="BJ74" s="252"/>
      <c r="BK74" s="252"/>
      <c r="BL74" s="252"/>
      <c r="BM74" s="252"/>
      <c r="BN74" s="252"/>
      <c r="BO74" s="252"/>
      <c r="BP74" s="252"/>
      <c r="BQ74" s="252"/>
      <c r="BR74" s="252"/>
      <c r="BS74" s="252"/>
      <c r="BT74" s="252"/>
      <c r="BU74" s="252"/>
      <c r="BV74" s="252"/>
      <c r="BW74" s="252"/>
      <c r="BX74" s="252"/>
      <c r="BY74" s="287">
        <f t="shared" si="30"/>
        <v>0</v>
      </c>
      <c r="BZ74" s="597"/>
      <c r="CA74" s="222"/>
      <c r="CB74" s="248"/>
      <c r="CC74" s="597"/>
      <c r="CD74" s="222"/>
      <c r="CE74" s="222"/>
      <c r="CF74" s="222"/>
      <c r="CG74" s="222"/>
      <c r="CH74" s="222"/>
      <c r="CI74" s="222"/>
      <c r="CJ74" s="222"/>
      <c r="CK74" s="222"/>
      <c r="CL74" s="222"/>
      <c r="CM74" s="222"/>
      <c r="CN74" s="222"/>
      <c r="CO74" s="222"/>
      <c r="CP74" s="222"/>
      <c r="CQ74" s="222"/>
      <c r="CR74" s="222"/>
      <c r="CS74" s="222"/>
      <c r="CT74" s="222"/>
      <c r="CU74" s="222"/>
      <c r="CV74" s="222"/>
      <c r="CW74" s="222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2"/>
      <c r="DI74" s="222"/>
      <c r="DJ74" s="222"/>
      <c r="DK74" s="222"/>
      <c r="DL74" s="222"/>
      <c r="DM74" s="222"/>
      <c r="DN74" s="222"/>
      <c r="DO74" s="222"/>
      <c r="DP74" s="222"/>
      <c r="DQ74" s="222"/>
      <c r="DR74" s="222"/>
      <c r="DS74" s="222"/>
      <c r="DT74" s="222"/>
      <c r="DU74" s="222"/>
      <c r="DV74" s="222"/>
      <c r="DW74" s="222"/>
      <c r="DX74" s="222"/>
      <c r="DY74" s="222"/>
      <c r="DZ74" s="222"/>
      <c r="EA74" s="222"/>
      <c r="EB74" s="222"/>
      <c r="EC74" s="222"/>
      <c r="ED74" s="222"/>
      <c r="EE74" s="222"/>
      <c r="EF74" s="222"/>
      <c r="EG74" s="222"/>
      <c r="EH74" s="222"/>
    </row>
    <row r="75" spans="1:138" ht="15.95" hidden="1" outlineLevel="1">
      <c r="A75" s="505"/>
      <c r="B75" s="600"/>
      <c r="C75" s="288" t="s">
        <v>268</v>
      </c>
      <c r="D75" s="250" t="s">
        <v>223</v>
      </c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  <c r="AX75" s="252"/>
      <c r="AY75" s="252"/>
      <c r="AZ75" s="252"/>
      <c r="BA75" s="252"/>
      <c r="BB75" s="252"/>
      <c r="BC75" s="252"/>
      <c r="BD75" s="252"/>
      <c r="BE75" s="252"/>
      <c r="BF75" s="252"/>
      <c r="BG75" s="252"/>
      <c r="BH75" s="252"/>
      <c r="BI75" s="252"/>
      <c r="BJ75" s="252"/>
      <c r="BK75" s="252"/>
      <c r="BL75" s="252"/>
      <c r="BM75" s="252"/>
      <c r="BN75" s="252"/>
      <c r="BO75" s="252"/>
      <c r="BP75" s="252"/>
      <c r="BQ75" s="252"/>
      <c r="BR75" s="252"/>
      <c r="BS75" s="252"/>
      <c r="BT75" s="252"/>
      <c r="BU75" s="252"/>
      <c r="BV75" s="252"/>
      <c r="BW75" s="252"/>
      <c r="BX75" s="252"/>
      <c r="BY75" s="287">
        <f t="shared" si="30"/>
        <v>0</v>
      </c>
      <c r="BZ75" s="597"/>
      <c r="CA75" s="222"/>
      <c r="CB75" s="248"/>
      <c r="CC75" s="597"/>
      <c r="CD75" s="222"/>
      <c r="CE75" s="222"/>
      <c r="CF75" s="222"/>
      <c r="CG75" s="222"/>
      <c r="CH75" s="222"/>
      <c r="CI75" s="222"/>
      <c r="CJ75" s="222"/>
      <c r="CK75" s="222"/>
      <c r="CL75" s="222"/>
      <c r="CM75" s="222"/>
      <c r="CN75" s="222"/>
      <c r="CO75" s="222"/>
      <c r="CP75" s="222"/>
      <c r="CQ75" s="222"/>
      <c r="CR75" s="222"/>
      <c r="CS75" s="222"/>
      <c r="CT75" s="222"/>
      <c r="CU75" s="222"/>
      <c r="CV75" s="222"/>
      <c r="CW75" s="222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2"/>
      <c r="DI75" s="222"/>
      <c r="DJ75" s="222"/>
      <c r="DK75" s="222"/>
      <c r="DL75" s="222"/>
      <c r="DM75" s="222"/>
      <c r="DN75" s="222"/>
      <c r="DO75" s="222"/>
      <c r="DP75" s="222"/>
      <c r="DQ75" s="222"/>
      <c r="DR75" s="222"/>
      <c r="DS75" s="222"/>
      <c r="DT75" s="222"/>
      <c r="DU75" s="222"/>
      <c r="DV75" s="222"/>
      <c r="DW75" s="222"/>
      <c r="DX75" s="222"/>
      <c r="DY75" s="222"/>
      <c r="DZ75" s="222"/>
      <c r="EA75" s="222"/>
      <c r="EB75" s="222"/>
      <c r="EC75" s="222"/>
      <c r="ED75" s="222"/>
      <c r="EE75" s="222"/>
      <c r="EF75" s="222"/>
      <c r="EG75" s="222"/>
      <c r="EH75" s="222"/>
    </row>
    <row r="76" spans="1:138" ht="15.95" hidden="1" outlineLevel="1">
      <c r="A76" s="505"/>
      <c r="B76" s="600"/>
      <c r="C76" s="288" t="s">
        <v>269</v>
      </c>
      <c r="D76" s="250" t="s">
        <v>223</v>
      </c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  <c r="AX76" s="252"/>
      <c r="AY76" s="252"/>
      <c r="AZ76" s="252"/>
      <c r="BA76" s="252"/>
      <c r="BB76" s="252"/>
      <c r="BC76" s="252"/>
      <c r="BD76" s="252"/>
      <c r="BE76" s="252"/>
      <c r="BF76" s="252"/>
      <c r="BG76" s="252"/>
      <c r="BH76" s="252"/>
      <c r="BI76" s="252"/>
      <c r="BJ76" s="252"/>
      <c r="BK76" s="252"/>
      <c r="BL76" s="252"/>
      <c r="BM76" s="252"/>
      <c r="BN76" s="252"/>
      <c r="BO76" s="252"/>
      <c r="BP76" s="252"/>
      <c r="BQ76" s="252"/>
      <c r="BR76" s="252"/>
      <c r="BS76" s="252"/>
      <c r="BT76" s="252"/>
      <c r="BU76" s="252"/>
      <c r="BV76" s="252"/>
      <c r="BW76" s="252"/>
      <c r="BX76" s="252"/>
      <c r="BY76" s="287">
        <f t="shared" si="30"/>
        <v>0</v>
      </c>
      <c r="BZ76" s="597"/>
      <c r="CA76" s="222"/>
      <c r="CB76" s="248"/>
      <c r="CC76" s="597"/>
      <c r="CD76" s="222"/>
      <c r="CE76" s="222"/>
      <c r="CF76" s="222"/>
      <c r="CG76" s="222"/>
      <c r="CH76" s="222"/>
      <c r="CI76" s="222"/>
      <c r="CJ76" s="222"/>
      <c r="CK76" s="222"/>
      <c r="CL76" s="222"/>
      <c r="CM76" s="222"/>
      <c r="CN76" s="222"/>
      <c r="CO76" s="222"/>
      <c r="CP76" s="222"/>
      <c r="CQ76" s="222"/>
      <c r="CR76" s="222"/>
      <c r="CS76" s="222"/>
      <c r="CT76" s="222"/>
      <c r="CU76" s="222"/>
      <c r="CV76" s="222"/>
      <c r="CW76" s="222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2"/>
      <c r="DI76" s="222"/>
      <c r="DJ76" s="222"/>
      <c r="DK76" s="222"/>
      <c r="DL76" s="222"/>
      <c r="DM76" s="222"/>
      <c r="DN76" s="222"/>
      <c r="DO76" s="222"/>
      <c r="DP76" s="222"/>
      <c r="DQ76" s="222"/>
      <c r="DR76" s="222"/>
      <c r="DS76" s="222"/>
      <c r="DT76" s="222"/>
      <c r="DU76" s="222"/>
      <c r="DV76" s="222"/>
      <c r="DW76" s="222"/>
      <c r="DX76" s="222"/>
      <c r="DY76" s="222"/>
      <c r="DZ76" s="222"/>
      <c r="EA76" s="222"/>
      <c r="EB76" s="222"/>
      <c r="EC76" s="222"/>
      <c r="ED76" s="222"/>
      <c r="EE76" s="222"/>
      <c r="EF76" s="222"/>
      <c r="EG76" s="222"/>
      <c r="EH76" s="222"/>
    </row>
    <row r="77" spans="1:138" ht="15.95" hidden="1" outlineLevel="1">
      <c r="A77" s="505"/>
      <c r="B77" s="600"/>
      <c r="C77" s="288" t="s">
        <v>270</v>
      </c>
      <c r="D77" s="250" t="s">
        <v>223</v>
      </c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2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  <c r="BR77" s="252"/>
      <c r="BS77" s="252"/>
      <c r="BT77" s="252"/>
      <c r="BU77" s="252"/>
      <c r="BV77" s="252"/>
      <c r="BW77" s="252"/>
      <c r="BX77" s="252"/>
      <c r="BY77" s="287">
        <f t="shared" si="30"/>
        <v>0</v>
      </c>
      <c r="BZ77" s="597"/>
      <c r="CA77" s="222"/>
      <c r="CB77" s="248"/>
      <c r="CC77" s="597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2"/>
      <c r="DI77" s="222"/>
      <c r="DJ77" s="222"/>
      <c r="DK77" s="222"/>
      <c r="DL77" s="222"/>
      <c r="DM77" s="222"/>
      <c r="DN77" s="222"/>
      <c r="DO77" s="222"/>
      <c r="DP77" s="222"/>
      <c r="DQ77" s="222"/>
      <c r="DR77" s="222"/>
      <c r="DS77" s="222"/>
      <c r="DT77" s="222"/>
      <c r="DU77" s="222"/>
      <c r="DV77" s="222"/>
      <c r="DW77" s="222"/>
      <c r="DX77" s="222"/>
      <c r="DY77" s="222"/>
      <c r="DZ77" s="222"/>
      <c r="EA77" s="222"/>
      <c r="EB77" s="222"/>
      <c r="EC77" s="222"/>
      <c r="ED77" s="222"/>
      <c r="EE77" s="222"/>
      <c r="EF77" s="222"/>
      <c r="EG77" s="222"/>
      <c r="EH77" s="222"/>
    </row>
    <row r="78" spans="1:138" ht="15.95" hidden="1" outlineLevel="1">
      <c r="A78" s="505"/>
      <c r="B78" s="600"/>
      <c r="C78" s="288" t="s">
        <v>271</v>
      </c>
      <c r="D78" s="250" t="s">
        <v>223</v>
      </c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2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  <c r="BR78" s="252"/>
      <c r="BS78" s="252"/>
      <c r="BT78" s="252"/>
      <c r="BU78" s="252"/>
      <c r="BV78" s="252"/>
      <c r="BW78" s="252"/>
      <c r="BX78" s="252"/>
      <c r="BY78" s="287">
        <f t="shared" si="30"/>
        <v>0</v>
      </c>
      <c r="BZ78" s="597"/>
      <c r="CA78" s="222"/>
      <c r="CB78" s="248"/>
      <c r="CC78" s="597"/>
      <c r="CD78" s="222"/>
      <c r="CE78" s="222"/>
      <c r="CF78" s="222"/>
      <c r="CG78" s="222"/>
      <c r="CH78" s="222"/>
      <c r="CI78" s="222"/>
      <c r="CJ78" s="222"/>
      <c r="CK78" s="222"/>
      <c r="CL78" s="222"/>
      <c r="CM78" s="222"/>
      <c r="CN78" s="222"/>
      <c r="CO78" s="222"/>
      <c r="CP78" s="222"/>
      <c r="CQ78" s="222"/>
      <c r="CR78" s="222"/>
      <c r="CS78" s="222"/>
      <c r="CT78" s="222"/>
      <c r="CU78" s="222"/>
      <c r="CV78" s="222"/>
      <c r="CW78" s="222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2"/>
      <c r="DI78" s="222"/>
      <c r="DJ78" s="222"/>
      <c r="DK78" s="222"/>
      <c r="DL78" s="222"/>
      <c r="DM78" s="222"/>
      <c r="DN78" s="222"/>
      <c r="DO78" s="222"/>
      <c r="DP78" s="222"/>
      <c r="DQ78" s="222"/>
      <c r="DR78" s="222"/>
      <c r="DS78" s="222"/>
      <c r="DT78" s="222"/>
      <c r="DU78" s="222"/>
      <c r="DV78" s="222"/>
      <c r="DW78" s="222"/>
      <c r="DX78" s="222"/>
      <c r="DY78" s="222"/>
      <c r="DZ78" s="222"/>
      <c r="EA78" s="222"/>
      <c r="EB78" s="222"/>
      <c r="EC78" s="222"/>
      <c r="ED78" s="222"/>
      <c r="EE78" s="222"/>
      <c r="EF78" s="222"/>
      <c r="EG78" s="222"/>
      <c r="EH78" s="222"/>
    </row>
    <row r="79" spans="1:138" ht="15.95" hidden="1" outlineLevel="1">
      <c r="A79" s="505"/>
      <c r="B79" s="600"/>
      <c r="C79" s="288" t="s">
        <v>272</v>
      </c>
      <c r="D79" s="250" t="s">
        <v>223</v>
      </c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87">
        <f t="shared" si="30"/>
        <v>0</v>
      </c>
      <c r="BZ79" s="597"/>
      <c r="CA79" s="222"/>
      <c r="CB79" s="248"/>
      <c r="CC79" s="597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2"/>
      <c r="DI79" s="222"/>
      <c r="DJ79" s="222"/>
      <c r="DK79" s="222"/>
      <c r="DL79" s="222"/>
      <c r="DM79" s="222"/>
      <c r="DN79" s="222"/>
      <c r="DO79" s="222"/>
      <c r="DP79" s="222"/>
      <c r="DQ79" s="222"/>
      <c r="DR79" s="222"/>
      <c r="DS79" s="222"/>
      <c r="DT79" s="222"/>
      <c r="DU79" s="222"/>
      <c r="DV79" s="222"/>
      <c r="DW79" s="222"/>
      <c r="DX79" s="222"/>
      <c r="DY79" s="222"/>
      <c r="DZ79" s="222"/>
      <c r="EA79" s="222"/>
      <c r="EB79" s="222"/>
      <c r="EC79" s="222"/>
      <c r="ED79" s="222"/>
      <c r="EE79" s="222"/>
      <c r="EF79" s="222"/>
      <c r="EG79" s="222"/>
      <c r="EH79" s="222"/>
    </row>
    <row r="80" spans="1:138" ht="15.95" hidden="1" outlineLevel="1">
      <c r="A80" s="505"/>
      <c r="B80" s="600"/>
      <c r="C80" s="288" t="s">
        <v>273</v>
      </c>
      <c r="D80" s="250" t="s">
        <v>223</v>
      </c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>
        <f>-57959</f>
        <v>-57959</v>
      </c>
      <c r="T80" s="252">
        <f>-81554</f>
        <v>-81554</v>
      </c>
      <c r="U80" s="252">
        <f>-39*Businessplan_prodej!$J$8*1.21</f>
        <v>-55146.233999999989</v>
      </c>
      <c r="V80" s="252">
        <f>-39*Businessplan_prodej!$J$8*1.21</f>
        <v>-55146.233999999989</v>
      </c>
      <c r="W80" s="252"/>
      <c r="X80" s="252">
        <f>-39*Businessplan_prodej!$J$8*1.21</f>
        <v>-55146.233999999989</v>
      </c>
      <c r="Y80" s="252">
        <f>-39*Businessplan_prodej!$J$8*1.21</f>
        <v>-55146.233999999989</v>
      </c>
      <c r="Z80" s="252">
        <f>-39*Businessplan_prodej!$J$17*1.21</f>
        <v>-98230.703999999983</v>
      </c>
      <c r="AA80" s="252">
        <f>-39*Businessplan_prodej!$J$17*1.21</f>
        <v>-98230.703999999983</v>
      </c>
      <c r="AB80" s="252">
        <f>-39*Businessplan_prodej!$J$17*1.21</f>
        <v>-98230.703999999983</v>
      </c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87">
        <f t="shared" si="30"/>
        <v>-654790.04799999995</v>
      </c>
      <c r="BZ80" s="597"/>
      <c r="CA80" s="222"/>
      <c r="CB80" s="248"/>
      <c r="CC80" s="597"/>
      <c r="CD80" s="222"/>
      <c r="CE80" s="222"/>
      <c r="CF80" s="222"/>
      <c r="CG80" s="222"/>
      <c r="CH80" s="222"/>
      <c r="CI80" s="222"/>
      <c r="CJ80" s="222"/>
      <c r="CK80" s="222"/>
      <c r="CL80" s="222"/>
      <c r="CM80" s="222"/>
      <c r="CN80" s="222"/>
      <c r="CO80" s="222"/>
      <c r="CP80" s="222"/>
      <c r="CQ80" s="222"/>
      <c r="CR80" s="222"/>
      <c r="CS80" s="222"/>
      <c r="CT80" s="222"/>
      <c r="CU80" s="222"/>
      <c r="CV80" s="222"/>
      <c r="CW80" s="222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2"/>
      <c r="DI80" s="222"/>
      <c r="DJ80" s="222"/>
      <c r="DK80" s="222"/>
      <c r="DL80" s="222"/>
      <c r="DM80" s="222"/>
      <c r="DN80" s="222"/>
      <c r="DO80" s="222"/>
      <c r="DP80" s="222"/>
      <c r="DQ80" s="222"/>
      <c r="DR80" s="222"/>
      <c r="DS80" s="222"/>
      <c r="DT80" s="222"/>
      <c r="DU80" s="222"/>
      <c r="DV80" s="222"/>
      <c r="DW80" s="222"/>
      <c r="DX80" s="222"/>
      <c r="DY80" s="222"/>
      <c r="DZ80" s="222"/>
      <c r="EA80" s="222"/>
      <c r="EB80" s="222"/>
      <c r="EC80" s="222"/>
      <c r="ED80" s="222"/>
      <c r="EE80" s="222"/>
      <c r="EF80" s="222"/>
      <c r="EG80" s="222"/>
      <c r="EH80" s="222"/>
    </row>
    <row r="81" spans="1:138" ht="15.95" hidden="1" outlineLevel="1">
      <c r="A81" s="505"/>
      <c r="B81" s="600"/>
      <c r="C81" s="288" t="s">
        <v>274</v>
      </c>
      <c r="D81" s="250" t="s">
        <v>223</v>
      </c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2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  <c r="BR81" s="252"/>
      <c r="BS81" s="252"/>
      <c r="BT81" s="252"/>
      <c r="BU81" s="252"/>
      <c r="BV81" s="252"/>
      <c r="BW81" s="252"/>
      <c r="BX81" s="252"/>
      <c r="BY81" s="287">
        <f t="shared" si="30"/>
        <v>0</v>
      </c>
      <c r="BZ81" s="597"/>
      <c r="CA81" s="222"/>
      <c r="CB81" s="248"/>
      <c r="CC81" s="597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</row>
    <row r="82" spans="1:138" ht="15.95" hidden="1" outlineLevel="1">
      <c r="A82" s="505"/>
      <c r="B82" s="600"/>
      <c r="C82" s="289" t="s">
        <v>178</v>
      </c>
      <c r="D82" s="250" t="s">
        <v>223</v>
      </c>
      <c r="E82" s="252"/>
      <c r="F82" s="251"/>
      <c r="G82" s="251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87">
        <f t="shared" si="30"/>
        <v>0</v>
      </c>
      <c r="BZ82" s="597"/>
      <c r="CA82" s="222"/>
      <c r="CB82" s="248"/>
      <c r="CC82" s="597"/>
      <c r="CD82" s="222"/>
      <c r="CE82" s="222"/>
      <c r="CF82" s="222"/>
      <c r="CG82" s="222"/>
      <c r="CH82" s="222"/>
      <c r="CI82" s="222"/>
      <c r="CJ82" s="222"/>
      <c r="CK82" s="222"/>
      <c r="CL82" s="222"/>
      <c r="CM82" s="222"/>
      <c r="CN82" s="222"/>
      <c r="CO82" s="222"/>
      <c r="CP82" s="222"/>
      <c r="CQ82" s="222"/>
      <c r="CR82" s="222"/>
      <c r="CS82" s="222"/>
      <c r="CT82" s="222"/>
      <c r="CU82" s="222"/>
      <c r="CV82" s="222"/>
      <c r="CW82" s="222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2"/>
      <c r="DI82" s="222"/>
      <c r="DJ82" s="222"/>
      <c r="DK82" s="222"/>
      <c r="DL82" s="222"/>
      <c r="DM82" s="222"/>
      <c r="DN82" s="222"/>
      <c r="DO82" s="222"/>
      <c r="DP82" s="222"/>
      <c r="DQ82" s="222"/>
      <c r="DR82" s="222"/>
      <c r="DS82" s="222"/>
      <c r="DT82" s="222"/>
      <c r="DU82" s="222"/>
      <c r="DV82" s="222"/>
      <c r="DW82" s="222"/>
      <c r="DX82" s="222"/>
      <c r="DY82" s="222"/>
      <c r="DZ82" s="222"/>
      <c r="EA82" s="222"/>
      <c r="EB82" s="222"/>
      <c r="EC82" s="222"/>
      <c r="ED82" s="222"/>
      <c r="EE82" s="222"/>
      <c r="EF82" s="222"/>
      <c r="EG82" s="222"/>
      <c r="EH82" s="222"/>
    </row>
    <row r="83" spans="1:138" ht="15.95" hidden="1" outlineLevel="1">
      <c r="A83" s="505"/>
      <c r="B83" s="600"/>
      <c r="C83" s="288" t="s">
        <v>179</v>
      </c>
      <c r="D83" s="250" t="s">
        <v>223</v>
      </c>
      <c r="E83" s="252"/>
      <c r="F83" s="251"/>
      <c r="G83" s="251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87">
        <f t="shared" si="30"/>
        <v>0</v>
      </c>
      <c r="BZ83" s="597"/>
      <c r="CA83" s="222"/>
      <c r="CB83" s="248"/>
      <c r="CC83" s="597"/>
      <c r="CD83" s="222"/>
      <c r="CE83" s="222"/>
      <c r="CF83" s="222"/>
      <c r="CG83" s="222"/>
      <c r="CH83" s="222"/>
      <c r="CI83" s="222"/>
      <c r="CJ83" s="222"/>
      <c r="CK83" s="222"/>
      <c r="CL83" s="222"/>
      <c r="CM83" s="222"/>
      <c r="CN83" s="222"/>
      <c r="CO83" s="222"/>
      <c r="CP83" s="222"/>
      <c r="CQ83" s="222"/>
      <c r="CR83" s="222"/>
      <c r="CS83" s="222"/>
      <c r="CT83" s="222"/>
      <c r="CU83" s="222"/>
      <c r="CV83" s="222"/>
      <c r="CW83" s="222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2"/>
      <c r="DI83" s="222"/>
      <c r="DJ83" s="222"/>
      <c r="DK83" s="222"/>
      <c r="DL83" s="222"/>
      <c r="DM83" s="222"/>
      <c r="DN83" s="222"/>
      <c r="DO83" s="222"/>
      <c r="DP83" s="222"/>
      <c r="DQ83" s="222"/>
      <c r="DR83" s="222"/>
      <c r="DS83" s="222"/>
      <c r="DT83" s="222"/>
      <c r="DU83" s="222"/>
      <c r="DV83" s="222"/>
      <c r="DW83" s="222"/>
      <c r="DX83" s="222"/>
      <c r="DY83" s="222"/>
      <c r="DZ83" s="222"/>
      <c r="EA83" s="222"/>
      <c r="EB83" s="222"/>
      <c r="EC83" s="222"/>
      <c r="ED83" s="222"/>
      <c r="EE83" s="222"/>
      <c r="EF83" s="222"/>
      <c r="EG83" s="222"/>
      <c r="EH83" s="222"/>
    </row>
    <row r="84" spans="1:138" ht="15.95" hidden="1" outlineLevel="1">
      <c r="A84" s="505"/>
      <c r="B84" s="600"/>
      <c r="C84" s="288" t="s">
        <v>189</v>
      </c>
      <c r="D84" s="250" t="s">
        <v>223</v>
      </c>
      <c r="E84" s="252"/>
      <c r="F84" s="251"/>
      <c r="G84" s="251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87">
        <f t="shared" si="30"/>
        <v>0</v>
      </c>
      <c r="BZ84" s="597"/>
      <c r="CA84" s="222"/>
      <c r="CB84" s="248"/>
      <c r="CC84" s="597"/>
      <c r="CD84" s="222"/>
      <c r="CE84" s="222"/>
      <c r="CF84" s="222"/>
      <c r="CG84" s="222"/>
      <c r="CH84" s="222"/>
      <c r="CI84" s="222"/>
      <c r="CJ84" s="222"/>
      <c r="CK84" s="222"/>
      <c r="CL84" s="222"/>
      <c r="CM84" s="222"/>
      <c r="CN84" s="222"/>
      <c r="CO84" s="222"/>
      <c r="CP84" s="222"/>
      <c r="CQ84" s="222"/>
      <c r="CR84" s="222"/>
      <c r="CS84" s="222"/>
      <c r="CT84" s="222"/>
      <c r="CU84" s="222"/>
      <c r="CV84" s="222"/>
      <c r="CW84" s="222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2"/>
      <c r="DI84" s="222"/>
      <c r="DJ84" s="222"/>
      <c r="DK84" s="222"/>
      <c r="DL84" s="222"/>
      <c r="DM84" s="222"/>
      <c r="DN84" s="222"/>
      <c r="DO84" s="222"/>
      <c r="DP84" s="222"/>
      <c r="DQ84" s="222"/>
      <c r="DR84" s="222"/>
      <c r="DS84" s="222"/>
      <c r="DT84" s="222"/>
      <c r="DU84" s="222"/>
      <c r="DV84" s="222"/>
      <c r="DW84" s="222"/>
      <c r="DX84" s="222"/>
      <c r="DY84" s="222"/>
      <c r="DZ84" s="222"/>
      <c r="EA84" s="222"/>
      <c r="EB84" s="222"/>
      <c r="EC84" s="222"/>
      <c r="ED84" s="222"/>
      <c r="EE84" s="222"/>
      <c r="EF84" s="222"/>
      <c r="EG84" s="222"/>
      <c r="EH84" s="222"/>
    </row>
    <row r="85" spans="1:138" ht="15.95" hidden="1" outlineLevel="1">
      <c r="A85" s="505"/>
      <c r="B85" s="600"/>
      <c r="C85" s="288" t="s">
        <v>190</v>
      </c>
      <c r="D85" s="250" t="s">
        <v>223</v>
      </c>
      <c r="E85" s="252"/>
      <c r="F85" s="251"/>
      <c r="G85" s="251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87">
        <f t="shared" si="30"/>
        <v>0</v>
      </c>
      <c r="BZ85" s="597"/>
      <c r="CA85" s="222"/>
      <c r="CB85" s="248"/>
      <c r="CC85" s="597"/>
      <c r="CD85" s="222"/>
      <c r="CE85" s="222"/>
      <c r="CF85" s="222"/>
      <c r="CG85" s="222"/>
      <c r="CH85" s="222"/>
      <c r="CI85" s="222"/>
      <c r="CJ85" s="222"/>
      <c r="CK85" s="222"/>
      <c r="CL85" s="222"/>
      <c r="CM85" s="222"/>
      <c r="CN85" s="222"/>
      <c r="CO85" s="222"/>
      <c r="CP85" s="222"/>
      <c r="CQ85" s="222"/>
      <c r="CR85" s="222"/>
      <c r="CS85" s="222"/>
      <c r="CT85" s="222"/>
      <c r="CU85" s="222"/>
      <c r="CV85" s="222"/>
      <c r="CW85" s="222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2"/>
      <c r="DI85" s="222"/>
      <c r="DJ85" s="222"/>
      <c r="DK85" s="222"/>
      <c r="DL85" s="222"/>
      <c r="DM85" s="222"/>
      <c r="DN85" s="222"/>
      <c r="DO85" s="222"/>
      <c r="DP85" s="222"/>
      <c r="DQ85" s="222"/>
      <c r="DR85" s="222"/>
      <c r="DS85" s="222"/>
      <c r="DT85" s="222"/>
      <c r="DU85" s="222"/>
      <c r="DV85" s="222"/>
      <c r="DW85" s="222"/>
      <c r="DX85" s="222"/>
      <c r="DY85" s="222"/>
      <c r="DZ85" s="222"/>
      <c r="EA85" s="222"/>
      <c r="EB85" s="222"/>
      <c r="EC85" s="222"/>
      <c r="ED85" s="222"/>
      <c r="EE85" s="222"/>
      <c r="EF85" s="222"/>
      <c r="EG85" s="222"/>
      <c r="EH85" s="222"/>
    </row>
    <row r="86" spans="1:138" ht="15.95" hidden="1" outlineLevel="1">
      <c r="A86" s="505"/>
      <c r="B86" s="600"/>
      <c r="C86" s="290" t="s">
        <v>275</v>
      </c>
      <c r="D86" s="254" t="s">
        <v>223</v>
      </c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>
        <f>Businessplan_prodej!$N$21*1.21</f>
        <v>-840239.71886799962</v>
      </c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87">
        <f t="shared" si="30"/>
        <v>-840239.71886799962</v>
      </c>
      <c r="BZ86" s="597"/>
      <c r="CA86" s="222"/>
      <c r="CB86" s="248"/>
      <c r="CC86" s="597"/>
      <c r="CD86" s="222"/>
      <c r="CE86" s="222"/>
      <c r="CF86" s="222"/>
      <c r="CG86" s="222"/>
      <c r="CH86" s="222"/>
      <c r="CI86" s="222"/>
      <c r="CJ86" s="222"/>
      <c r="CK86" s="222"/>
      <c r="CL86" s="222"/>
      <c r="CM86" s="222"/>
      <c r="CN86" s="222"/>
      <c r="CO86" s="222"/>
      <c r="CP86" s="222"/>
      <c r="CQ86" s="222"/>
      <c r="CR86" s="222"/>
      <c r="CS86" s="222"/>
      <c r="CT86" s="222"/>
      <c r="CU86" s="222"/>
      <c r="CV86" s="222"/>
      <c r="CW86" s="222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2"/>
      <c r="DI86" s="222"/>
      <c r="DJ86" s="222"/>
      <c r="DK86" s="222"/>
      <c r="DL86" s="222"/>
      <c r="DM86" s="222"/>
      <c r="DN86" s="222"/>
      <c r="DO86" s="222"/>
      <c r="DP86" s="222"/>
      <c r="DQ86" s="222"/>
      <c r="DR86" s="222"/>
      <c r="DS86" s="222"/>
      <c r="DT86" s="222"/>
      <c r="DU86" s="222"/>
      <c r="DV86" s="222"/>
      <c r="DW86" s="222"/>
      <c r="DX86" s="222"/>
      <c r="DY86" s="222"/>
      <c r="DZ86" s="222"/>
      <c r="EA86" s="222"/>
      <c r="EB86" s="222"/>
      <c r="EC86" s="222"/>
      <c r="ED86" s="222"/>
      <c r="EE86" s="222"/>
      <c r="EF86" s="222"/>
      <c r="EG86" s="222"/>
      <c r="EH86" s="222"/>
    </row>
    <row r="87" spans="1:138" ht="15.95" collapsed="1">
      <c r="A87" s="505"/>
      <c r="B87" s="600"/>
      <c r="C87" s="244" t="s">
        <v>276</v>
      </c>
      <c r="D87" s="245"/>
      <c r="E87" s="246">
        <f t="shared" ref="E87:BY87" si="31">SUM(E88:E89)</f>
        <v>0</v>
      </c>
      <c r="F87" s="246">
        <f t="shared" si="31"/>
        <v>0</v>
      </c>
      <c r="G87" s="246">
        <f t="shared" si="31"/>
        <v>0</v>
      </c>
      <c r="H87" s="246">
        <f t="shared" si="31"/>
        <v>0</v>
      </c>
      <c r="I87" s="246">
        <f t="shared" si="31"/>
        <v>0</v>
      </c>
      <c r="J87" s="246">
        <f t="shared" si="31"/>
        <v>0</v>
      </c>
      <c r="K87" s="246">
        <f t="shared" si="31"/>
        <v>0</v>
      </c>
      <c r="L87" s="246">
        <f t="shared" si="31"/>
        <v>0</v>
      </c>
      <c r="M87" s="246">
        <f t="shared" si="31"/>
        <v>0</v>
      </c>
      <c r="N87" s="246">
        <f t="shared" si="31"/>
        <v>0</v>
      </c>
      <c r="O87" s="246">
        <f t="shared" si="31"/>
        <v>0</v>
      </c>
      <c r="P87" s="246">
        <f t="shared" si="31"/>
        <v>0</v>
      </c>
      <c r="Q87" s="246">
        <f t="shared" si="31"/>
        <v>0</v>
      </c>
      <c r="R87" s="246">
        <f t="shared" si="31"/>
        <v>0</v>
      </c>
      <c r="S87" s="246">
        <f t="shared" si="31"/>
        <v>0</v>
      </c>
      <c r="T87" s="246">
        <f t="shared" si="31"/>
        <v>0</v>
      </c>
      <c r="U87" s="246">
        <f t="shared" si="31"/>
        <v>0</v>
      </c>
      <c r="V87" s="246">
        <f t="shared" si="31"/>
        <v>0</v>
      </c>
      <c r="W87" s="246">
        <f t="shared" si="31"/>
        <v>0</v>
      </c>
      <c r="X87" s="246">
        <f t="shared" si="31"/>
        <v>0</v>
      </c>
      <c r="Y87" s="246">
        <f t="shared" si="31"/>
        <v>0</v>
      </c>
      <c r="Z87" s="246">
        <f t="shared" si="31"/>
        <v>0</v>
      </c>
      <c r="AA87" s="246">
        <f t="shared" si="31"/>
        <v>0</v>
      </c>
      <c r="AB87" s="246">
        <f t="shared" si="31"/>
        <v>0</v>
      </c>
      <c r="AC87" s="246">
        <f t="shared" si="31"/>
        <v>0</v>
      </c>
      <c r="AD87" s="246">
        <f t="shared" si="31"/>
        <v>0</v>
      </c>
      <c r="AE87" s="246">
        <f t="shared" si="31"/>
        <v>0</v>
      </c>
      <c r="AF87" s="246">
        <f t="shared" si="31"/>
        <v>0</v>
      </c>
      <c r="AG87" s="246">
        <f t="shared" si="31"/>
        <v>0</v>
      </c>
      <c r="AH87" s="246">
        <f t="shared" si="31"/>
        <v>0</v>
      </c>
      <c r="AI87" s="246">
        <f t="shared" si="31"/>
        <v>0</v>
      </c>
      <c r="AJ87" s="246">
        <f t="shared" si="31"/>
        <v>0</v>
      </c>
      <c r="AK87" s="246">
        <f t="shared" si="31"/>
        <v>0</v>
      </c>
      <c r="AL87" s="246">
        <f t="shared" si="31"/>
        <v>0</v>
      </c>
      <c r="AM87" s="246">
        <f t="shared" si="31"/>
        <v>0</v>
      </c>
      <c r="AN87" s="246">
        <f t="shared" si="31"/>
        <v>0</v>
      </c>
      <c r="AO87" s="246">
        <f t="shared" si="31"/>
        <v>0</v>
      </c>
      <c r="AP87" s="246">
        <f t="shared" si="31"/>
        <v>0</v>
      </c>
      <c r="AQ87" s="246">
        <f t="shared" si="31"/>
        <v>0</v>
      </c>
      <c r="AR87" s="246">
        <f t="shared" si="31"/>
        <v>0</v>
      </c>
      <c r="AS87" s="246">
        <f t="shared" si="31"/>
        <v>0</v>
      </c>
      <c r="AT87" s="246">
        <f t="shared" si="31"/>
        <v>0</v>
      </c>
      <c r="AU87" s="246">
        <f t="shared" si="31"/>
        <v>0</v>
      </c>
      <c r="AV87" s="246">
        <f t="shared" si="31"/>
        <v>0</v>
      </c>
      <c r="AW87" s="246">
        <f t="shared" si="31"/>
        <v>0</v>
      </c>
      <c r="AX87" s="246">
        <f t="shared" si="31"/>
        <v>0</v>
      </c>
      <c r="AY87" s="246">
        <f t="shared" si="31"/>
        <v>0</v>
      </c>
      <c r="AZ87" s="246">
        <f t="shared" si="31"/>
        <v>0</v>
      </c>
      <c r="BA87" s="246">
        <f t="shared" si="31"/>
        <v>0</v>
      </c>
      <c r="BB87" s="246">
        <f t="shared" si="31"/>
        <v>0</v>
      </c>
      <c r="BC87" s="246">
        <f t="shared" si="31"/>
        <v>0</v>
      </c>
      <c r="BD87" s="246">
        <f t="shared" si="31"/>
        <v>0</v>
      </c>
      <c r="BE87" s="246">
        <f t="shared" si="31"/>
        <v>0</v>
      </c>
      <c r="BF87" s="246">
        <f t="shared" si="31"/>
        <v>0</v>
      </c>
      <c r="BG87" s="246">
        <f t="shared" si="31"/>
        <v>0</v>
      </c>
      <c r="BH87" s="246">
        <f t="shared" si="31"/>
        <v>0</v>
      </c>
      <c r="BI87" s="246">
        <f t="shared" si="31"/>
        <v>0</v>
      </c>
      <c r="BJ87" s="246">
        <f t="shared" si="31"/>
        <v>0</v>
      </c>
      <c r="BK87" s="246">
        <f t="shared" si="31"/>
        <v>0</v>
      </c>
      <c r="BL87" s="246">
        <f t="shared" si="31"/>
        <v>0</v>
      </c>
      <c r="BM87" s="246">
        <f t="shared" si="31"/>
        <v>0</v>
      </c>
      <c r="BN87" s="246">
        <f t="shared" si="31"/>
        <v>0</v>
      </c>
      <c r="BO87" s="246">
        <f t="shared" si="31"/>
        <v>0</v>
      </c>
      <c r="BP87" s="246">
        <f t="shared" si="31"/>
        <v>0</v>
      </c>
      <c r="BQ87" s="246">
        <f t="shared" si="31"/>
        <v>0</v>
      </c>
      <c r="BR87" s="246">
        <f t="shared" si="31"/>
        <v>0</v>
      </c>
      <c r="BS87" s="246">
        <f t="shared" si="31"/>
        <v>0</v>
      </c>
      <c r="BT87" s="246">
        <f t="shared" si="31"/>
        <v>0</v>
      </c>
      <c r="BU87" s="246">
        <f t="shared" si="31"/>
        <v>0</v>
      </c>
      <c r="BV87" s="246">
        <f t="shared" si="31"/>
        <v>0</v>
      </c>
      <c r="BW87" s="246">
        <f t="shared" si="31"/>
        <v>0</v>
      </c>
      <c r="BX87" s="246">
        <f t="shared" si="31"/>
        <v>0</v>
      </c>
      <c r="BY87" s="247">
        <f t="shared" si="31"/>
        <v>0</v>
      </c>
      <c r="BZ87" s="597"/>
      <c r="CA87" s="222"/>
      <c r="CB87" s="248"/>
      <c r="CC87" s="597"/>
      <c r="CD87" s="222"/>
      <c r="CE87" s="222"/>
      <c r="CF87" s="222"/>
      <c r="CG87" s="222"/>
      <c r="CH87" s="222"/>
      <c r="CI87" s="222"/>
      <c r="CJ87" s="222"/>
      <c r="CK87" s="222"/>
      <c r="CL87" s="222"/>
      <c r="CM87" s="222"/>
      <c r="CN87" s="222"/>
      <c r="CO87" s="222"/>
      <c r="CP87" s="222"/>
      <c r="CQ87" s="222"/>
      <c r="CR87" s="222"/>
      <c r="CS87" s="222"/>
      <c r="CT87" s="222"/>
      <c r="CU87" s="222"/>
      <c r="CV87" s="222"/>
      <c r="CW87" s="222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2"/>
      <c r="DI87" s="222"/>
      <c r="DJ87" s="222"/>
      <c r="DK87" s="222"/>
      <c r="DL87" s="222"/>
      <c r="DM87" s="222"/>
      <c r="DN87" s="222"/>
      <c r="DO87" s="222"/>
      <c r="DP87" s="222"/>
      <c r="DQ87" s="222"/>
      <c r="DR87" s="222"/>
      <c r="DS87" s="222"/>
      <c r="DT87" s="222"/>
      <c r="DU87" s="222"/>
      <c r="DV87" s="222"/>
      <c r="DW87" s="222"/>
      <c r="DX87" s="222"/>
      <c r="DY87" s="222"/>
      <c r="DZ87" s="222"/>
      <c r="EA87" s="222"/>
      <c r="EB87" s="222"/>
      <c r="EC87" s="222"/>
      <c r="ED87" s="222"/>
      <c r="EE87" s="222"/>
      <c r="EF87" s="222"/>
      <c r="EG87" s="222"/>
      <c r="EH87" s="222"/>
    </row>
    <row r="88" spans="1:138" ht="15.95" hidden="1" outlineLevel="1">
      <c r="A88" s="505"/>
      <c r="B88" s="600"/>
      <c r="C88" s="286" t="s">
        <v>277</v>
      </c>
      <c r="D88" s="250" t="s">
        <v>223</v>
      </c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256"/>
      <c r="AP88" s="256"/>
      <c r="AQ88" s="256"/>
      <c r="AR88" s="256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92">
        <f t="shared" ref="BY88:BY89" si="32">SUM(E88:BX88)</f>
        <v>0</v>
      </c>
      <c r="BZ88" s="597"/>
      <c r="CA88" s="222"/>
      <c r="CB88" s="248"/>
      <c r="CC88" s="597"/>
      <c r="CD88" s="222"/>
      <c r="CE88" s="222"/>
      <c r="CF88" s="222"/>
      <c r="CG88" s="222"/>
      <c r="CH88" s="222"/>
      <c r="CI88" s="222"/>
      <c r="CJ88" s="222"/>
      <c r="CK88" s="222"/>
      <c r="CL88" s="222"/>
      <c r="CM88" s="222"/>
      <c r="CN88" s="222"/>
      <c r="CO88" s="222"/>
      <c r="CP88" s="222"/>
      <c r="CQ88" s="222"/>
      <c r="CR88" s="222"/>
      <c r="CS88" s="222"/>
      <c r="CT88" s="222"/>
      <c r="CU88" s="222"/>
      <c r="CV88" s="222"/>
      <c r="CW88" s="222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2"/>
      <c r="DI88" s="222"/>
      <c r="DJ88" s="222"/>
      <c r="DK88" s="222"/>
      <c r="DL88" s="222"/>
      <c r="DM88" s="222"/>
      <c r="DN88" s="222"/>
      <c r="DO88" s="222"/>
      <c r="DP88" s="222"/>
      <c r="DQ88" s="222"/>
      <c r="DR88" s="222"/>
      <c r="DS88" s="222"/>
      <c r="DT88" s="222"/>
      <c r="DU88" s="222"/>
      <c r="DV88" s="222"/>
      <c r="DW88" s="222"/>
      <c r="DX88" s="222"/>
      <c r="DY88" s="222"/>
      <c r="DZ88" s="222"/>
      <c r="EA88" s="222"/>
      <c r="EB88" s="222"/>
      <c r="EC88" s="222"/>
      <c r="ED88" s="222"/>
      <c r="EE88" s="222"/>
      <c r="EF88" s="222"/>
      <c r="EG88" s="222"/>
      <c r="EH88" s="222"/>
    </row>
    <row r="89" spans="1:138" ht="15.95" hidden="1" outlineLevel="1">
      <c r="A89" s="505"/>
      <c r="B89" s="600"/>
      <c r="C89" s="290" t="s">
        <v>278</v>
      </c>
      <c r="D89" s="254" t="s">
        <v>223</v>
      </c>
      <c r="E89" s="283"/>
      <c r="F89" s="284"/>
      <c r="G89" s="284"/>
      <c r="H89" s="284"/>
      <c r="I89" s="284"/>
      <c r="J89" s="284"/>
      <c r="K89" s="284"/>
      <c r="L89" s="284"/>
      <c r="M89" s="284"/>
      <c r="N89" s="284"/>
      <c r="O89" s="284"/>
      <c r="P89" s="284"/>
      <c r="Q89" s="284"/>
      <c r="R89" s="284"/>
      <c r="S89" s="284"/>
      <c r="T89" s="284"/>
      <c r="U89" s="284"/>
      <c r="V89" s="284"/>
      <c r="W89" s="284"/>
      <c r="X89" s="284"/>
      <c r="Y89" s="284"/>
      <c r="Z89" s="284"/>
      <c r="AA89" s="284"/>
      <c r="AB89" s="284"/>
      <c r="AC89" s="284"/>
      <c r="AD89" s="284"/>
      <c r="AE89" s="284"/>
      <c r="AF89" s="284"/>
      <c r="AG89" s="284"/>
      <c r="AH89" s="284"/>
      <c r="AI89" s="284"/>
      <c r="AJ89" s="284"/>
      <c r="AK89" s="284"/>
      <c r="AL89" s="284"/>
      <c r="AM89" s="284"/>
      <c r="AN89" s="284"/>
      <c r="AO89" s="284"/>
      <c r="AP89" s="284"/>
      <c r="AQ89" s="284"/>
      <c r="AR89" s="284"/>
      <c r="AS89" s="284"/>
      <c r="AT89" s="284"/>
      <c r="AU89" s="284"/>
      <c r="AV89" s="284"/>
      <c r="AW89" s="284"/>
      <c r="AX89" s="284"/>
      <c r="AY89" s="284"/>
      <c r="AZ89" s="284"/>
      <c r="BA89" s="284"/>
      <c r="BB89" s="284"/>
      <c r="BC89" s="284"/>
      <c r="BD89" s="284"/>
      <c r="BE89" s="284"/>
      <c r="BF89" s="284"/>
      <c r="BG89" s="284"/>
      <c r="BH89" s="284"/>
      <c r="BI89" s="284"/>
      <c r="BJ89" s="284"/>
      <c r="BK89" s="284"/>
      <c r="BL89" s="284"/>
      <c r="BM89" s="284"/>
      <c r="BN89" s="284"/>
      <c r="BO89" s="284"/>
      <c r="BP89" s="284"/>
      <c r="BQ89" s="284"/>
      <c r="BR89" s="284"/>
      <c r="BS89" s="284"/>
      <c r="BT89" s="284"/>
      <c r="BU89" s="284"/>
      <c r="BV89" s="284"/>
      <c r="BW89" s="284"/>
      <c r="BX89" s="284"/>
      <c r="BY89" s="293">
        <f t="shared" si="32"/>
        <v>0</v>
      </c>
      <c r="BZ89" s="592"/>
      <c r="CA89" s="222"/>
      <c r="CB89" s="248"/>
      <c r="CC89" s="592"/>
      <c r="CD89" s="222"/>
      <c r="CE89" s="222"/>
      <c r="CF89" s="222"/>
      <c r="CG89" s="222"/>
      <c r="CH89" s="222"/>
      <c r="CI89" s="222"/>
      <c r="CJ89" s="222"/>
      <c r="CK89" s="222"/>
      <c r="CL89" s="222"/>
      <c r="CM89" s="222"/>
      <c r="CN89" s="222"/>
      <c r="CO89" s="222"/>
      <c r="CP89" s="222"/>
      <c r="CQ89" s="222"/>
      <c r="CR89" s="222"/>
      <c r="CS89" s="222"/>
      <c r="CT89" s="222"/>
      <c r="CU89" s="222"/>
      <c r="CV89" s="222"/>
      <c r="CW89" s="222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2"/>
      <c r="DI89" s="222"/>
      <c r="DJ89" s="222"/>
      <c r="DK89" s="222"/>
      <c r="DL89" s="222"/>
      <c r="DM89" s="222"/>
      <c r="DN89" s="222"/>
      <c r="DO89" s="222"/>
      <c r="DP89" s="222"/>
      <c r="DQ89" s="222"/>
      <c r="DR89" s="222"/>
      <c r="DS89" s="222"/>
      <c r="DT89" s="222"/>
      <c r="DU89" s="222"/>
      <c r="DV89" s="222"/>
      <c r="DW89" s="222"/>
      <c r="DX89" s="222"/>
      <c r="DY89" s="222"/>
      <c r="DZ89" s="222"/>
      <c r="EA89" s="222"/>
      <c r="EB89" s="222"/>
      <c r="EC89" s="222"/>
      <c r="ED89" s="222"/>
      <c r="EE89" s="222"/>
      <c r="EF89" s="222"/>
      <c r="EG89" s="222"/>
      <c r="EH89" s="222"/>
    </row>
    <row r="90" spans="1:138" collapsed="1">
      <c r="A90" s="505"/>
      <c r="B90" s="600"/>
      <c r="C90" s="244" t="s">
        <v>279</v>
      </c>
      <c r="D90" s="245"/>
      <c r="E90" s="246">
        <f t="shared" ref="E90:BX90" si="33">SUM(E91:E97)</f>
        <v>0</v>
      </c>
      <c r="F90" s="246">
        <f t="shared" si="33"/>
        <v>0</v>
      </c>
      <c r="G90" s="246">
        <f t="shared" si="33"/>
        <v>0</v>
      </c>
      <c r="H90" s="246">
        <f t="shared" si="33"/>
        <v>0</v>
      </c>
      <c r="I90" s="246">
        <f t="shared" si="33"/>
        <v>0</v>
      </c>
      <c r="J90" s="246">
        <f t="shared" si="33"/>
        <v>0</v>
      </c>
      <c r="K90" s="246">
        <f t="shared" si="33"/>
        <v>0</v>
      </c>
      <c r="L90" s="246">
        <f t="shared" si="33"/>
        <v>0</v>
      </c>
      <c r="M90" s="246">
        <f t="shared" si="33"/>
        <v>0</v>
      </c>
      <c r="N90" s="246">
        <f t="shared" si="33"/>
        <v>0</v>
      </c>
      <c r="O90" s="246">
        <f t="shared" si="33"/>
        <v>0</v>
      </c>
      <c r="P90" s="246">
        <f t="shared" si="33"/>
        <v>0</v>
      </c>
      <c r="Q90" s="246">
        <f t="shared" si="33"/>
        <v>-7000000</v>
      </c>
      <c r="R90" s="246">
        <f t="shared" si="33"/>
        <v>0</v>
      </c>
      <c r="S90" s="246">
        <f t="shared" si="33"/>
        <v>0</v>
      </c>
      <c r="T90" s="246">
        <f t="shared" si="33"/>
        <v>-63000</v>
      </c>
      <c r="U90" s="246">
        <f t="shared" si="33"/>
        <v>-65000</v>
      </c>
      <c r="V90" s="246">
        <f t="shared" si="33"/>
        <v>0</v>
      </c>
      <c r="W90" s="246">
        <f t="shared" si="33"/>
        <v>-130000</v>
      </c>
      <c r="X90" s="246">
        <f t="shared" si="33"/>
        <v>-65000</v>
      </c>
      <c r="Y90" s="246">
        <f t="shared" si="33"/>
        <v>-65000</v>
      </c>
      <c r="Z90" s="246">
        <f t="shared" si="33"/>
        <v>-116668.9258435084</v>
      </c>
      <c r="AA90" s="246">
        <f t="shared" si="33"/>
        <v>-104686.2257435084</v>
      </c>
      <c r="AB90" s="246">
        <f t="shared" si="33"/>
        <v>-101058058.56531298</v>
      </c>
      <c r="AC90" s="246">
        <f t="shared" si="33"/>
        <v>0</v>
      </c>
      <c r="AD90" s="246">
        <f t="shared" si="33"/>
        <v>0</v>
      </c>
      <c r="AE90" s="246">
        <f t="shared" si="33"/>
        <v>0</v>
      </c>
      <c r="AF90" s="246">
        <f t="shared" si="33"/>
        <v>0</v>
      </c>
      <c r="AG90" s="246">
        <f t="shared" si="33"/>
        <v>0</v>
      </c>
      <c r="AH90" s="246">
        <f t="shared" si="33"/>
        <v>0</v>
      </c>
      <c r="AI90" s="246">
        <f t="shared" si="33"/>
        <v>0</v>
      </c>
      <c r="AJ90" s="246">
        <f t="shared" si="33"/>
        <v>0</v>
      </c>
      <c r="AK90" s="246">
        <f t="shared" si="33"/>
        <v>0</v>
      </c>
      <c r="AL90" s="246">
        <f t="shared" si="33"/>
        <v>0</v>
      </c>
      <c r="AM90" s="246">
        <f t="shared" si="33"/>
        <v>0</v>
      </c>
      <c r="AN90" s="246">
        <f t="shared" si="33"/>
        <v>0</v>
      </c>
      <c r="AO90" s="246">
        <f t="shared" si="33"/>
        <v>0</v>
      </c>
      <c r="AP90" s="246">
        <f t="shared" si="33"/>
        <v>0</v>
      </c>
      <c r="AQ90" s="246">
        <f t="shared" si="33"/>
        <v>0</v>
      </c>
      <c r="AR90" s="246">
        <f t="shared" si="33"/>
        <v>0</v>
      </c>
      <c r="AS90" s="246">
        <f t="shared" si="33"/>
        <v>0</v>
      </c>
      <c r="AT90" s="246">
        <f t="shared" si="33"/>
        <v>0</v>
      </c>
      <c r="AU90" s="246">
        <f t="shared" si="33"/>
        <v>0</v>
      </c>
      <c r="AV90" s="246">
        <f t="shared" si="33"/>
        <v>0</v>
      </c>
      <c r="AW90" s="246">
        <f t="shared" si="33"/>
        <v>0</v>
      </c>
      <c r="AX90" s="246">
        <f t="shared" si="33"/>
        <v>0</v>
      </c>
      <c r="AY90" s="246">
        <f t="shared" si="33"/>
        <v>0</v>
      </c>
      <c r="AZ90" s="246">
        <f t="shared" si="33"/>
        <v>0</v>
      </c>
      <c r="BA90" s="246">
        <f t="shared" si="33"/>
        <v>0</v>
      </c>
      <c r="BB90" s="246">
        <f t="shared" si="33"/>
        <v>0</v>
      </c>
      <c r="BC90" s="246">
        <f t="shared" si="33"/>
        <v>0</v>
      </c>
      <c r="BD90" s="246">
        <f t="shared" si="33"/>
        <v>0</v>
      </c>
      <c r="BE90" s="246">
        <f t="shared" si="33"/>
        <v>0</v>
      </c>
      <c r="BF90" s="246">
        <f t="shared" si="33"/>
        <v>0</v>
      </c>
      <c r="BG90" s="246">
        <f t="shared" si="33"/>
        <v>0</v>
      </c>
      <c r="BH90" s="246">
        <f t="shared" si="33"/>
        <v>0</v>
      </c>
      <c r="BI90" s="246">
        <f t="shared" si="33"/>
        <v>0</v>
      </c>
      <c r="BJ90" s="246">
        <f t="shared" si="33"/>
        <v>0</v>
      </c>
      <c r="BK90" s="246">
        <f t="shared" si="33"/>
        <v>0</v>
      </c>
      <c r="BL90" s="246">
        <f t="shared" si="33"/>
        <v>0</v>
      </c>
      <c r="BM90" s="246">
        <f t="shared" si="33"/>
        <v>0</v>
      </c>
      <c r="BN90" s="246">
        <f t="shared" si="33"/>
        <v>0</v>
      </c>
      <c r="BO90" s="246">
        <f t="shared" si="33"/>
        <v>0</v>
      </c>
      <c r="BP90" s="246">
        <f t="shared" si="33"/>
        <v>0</v>
      </c>
      <c r="BQ90" s="246">
        <f t="shared" si="33"/>
        <v>0</v>
      </c>
      <c r="BR90" s="246">
        <f t="shared" si="33"/>
        <v>0</v>
      </c>
      <c r="BS90" s="246">
        <f t="shared" si="33"/>
        <v>0</v>
      </c>
      <c r="BT90" s="246">
        <f t="shared" si="33"/>
        <v>0</v>
      </c>
      <c r="BU90" s="246">
        <f t="shared" si="33"/>
        <v>0</v>
      </c>
      <c r="BV90" s="246">
        <f t="shared" si="33"/>
        <v>0</v>
      </c>
      <c r="BW90" s="246">
        <f t="shared" si="33"/>
        <v>0</v>
      </c>
      <c r="BX90" s="246">
        <f t="shared" si="33"/>
        <v>0</v>
      </c>
      <c r="BY90" s="564">
        <f>BZ17</f>
        <v>-123130792.61202553</v>
      </c>
      <c r="BZ90" s="599"/>
      <c r="CA90" s="222"/>
      <c r="CB90" s="222"/>
      <c r="CC90" s="222"/>
      <c r="CD90" s="222"/>
      <c r="CE90" s="222"/>
      <c r="CF90" s="222"/>
      <c r="CG90" s="222"/>
      <c r="CH90" s="222"/>
      <c r="CI90" s="222"/>
      <c r="CJ90" s="222"/>
      <c r="CK90" s="222"/>
      <c r="CL90" s="222"/>
      <c r="CM90" s="222"/>
      <c r="CN90" s="222"/>
      <c r="CO90" s="222"/>
      <c r="CP90" s="222"/>
      <c r="CQ90" s="222"/>
      <c r="CR90" s="222"/>
      <c r="CS90" s="222"/>
      <c r="CT90" s="222"/>
      <c r="CU90" s="222"/>
      <c r="CV90" s="222"/>
      <c r="CW90" s="222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2"/>
      <c r="DI90" s="222"/>
      <c r="DJ90" s="222"/>
      <c r="DK90" s="222"/>
      <c r="DL90" s="222"/>
      <c r="DM90" s="222"/>
      <c r="DN90" s="222"/>
      <c r="DO90" s="222"/>
      <c r="DP90" s="222"/>
      <c r="DQ90" s="222"/>
      <c r="DR90" s="222"/>
      <c r="DS90" s="222"/>
      <c r="DT90" s="222"/>
      <c r="DU90" s="222"/>
      <c r="DV90" s="222"/>
      <c r="DW90" s="222"/>
      <c r="DX90" s="222"/>
      <c r="DY90" s="222"/>
      <c r="DZ90" s="222"/>
      <c r="EA90" s="222"/>
      <c r="EB90" s="222"/>
      <c r="EC90" s="222"/>
      <c r="ED90" s="222"/>
      <c r="EE90" s="222"/>
      <c r="EF90" s="222"/>
      <c r="EG90" s="222"/>
      <c r="EH90" s="222"/>
    </row>
    <row r="91" spans="1:138" hidden="1" outlineLevel="1">
      <c r="A91" s="505"/>
      <c r="B91" s="600"/>
      <c r="C91" s="249" t="s">
        <v>280</v>
      </c>
      <c r="D91" s="250" t="s">
        <v>223</v>
      </c>
      <c r="E91" s="251"/>
      <c r="F91" s="251"/>
      <c r="G91" s="251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1"/>
      <c r="V91" s="251"/>
      <c r="W91" s="251"/>
      <c r="X91" s="251"/>
      <c r="Y91" s="251"/>
      <c r="Z91" s="251"/>
      <c r="AA91" s="252"/>
      <c r="AB91" s="252">
        <f>-$BY$5-SUM($L$91:AA91)</f>
        <v>-16365002</v>
      </c>
      <c r="AC91" s="251"/>
      <c r="AD91" s="251"/>
      <c r="AE91" s="251"/>
      <c r="AF91" s="252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2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60"/>
      <c r="BY91" s="292">
        <f t="shared" ref="BY91:BY97" si="34">SUM(E91:BX91)</f>
        <v>-16365002</v>
      </c>
      <c r="BZ91" s="562">
        <f>SUM(BY91:BY97)</f>
        <v>-108667413.71690001</v>
      </c>
      <c r="CA91" s="222"/>
      <c r="CB91" s="222"/>
      <c r="CC91" s="222"/>
      <c r="CD91" s="222"/>
      <c r="CE91" s="222"/>
      <c r="CF91" s="222"/>
      <c r="CG91" s="222"/>
      <c r="CH91" s="222"/>
      <c r="CI91" s="222"/>
      <c r="CJ91" s="222"/>
      <c r="CK91" s="222"/>
      <c r="CL91" s="222"/>
      <c r="CM91" s="222"/>
      <c r="CN91" s="222"/>
      <c r="CO91" s="222"/>
      <c r="CP91" s="222"/>
      <c r="CQ91" s="222"/>
      <c r="CR91" s="222"/>
      <c r="CS91" s="222"/>
      <c r="CT91" s="222"/>
      <c r="CU91" s="222"/>
      <c r="CV91" s="222"/>
      <c r="CW91" s="222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2"/>
      <c r="DI91" s="222"/>
      <c r="DJ91" s="222"/>
      <c r="DK91" s="222"/>
      <c r="DL91" s="222"/>
      <c r="DM91" s="222"/>
      <c r="DN91" s="222"/>
      <c r="DO91" s="222"/>
      <c r="DP91" s="222"/>
      <c r="DQ91" s="222"/>
      <c r="DR91" s="222"/>
      <c r="DS91" s="222"/>
      <c r="DT91" s="222"/>
      <c r="DU91" s="222"/>
      <c r="DV91" s="222"/>
      <c r="DW91" s="222"/>
      <c r="DX91" s="222"/>
      <c r="DY91" s="222"/>
      <c r="DZ91" s="222"/>
      <c r="EA91" s="222"/>
      <c r="EB91" s="222"/>
      <c r="EC91" s="222"/>
      <c r="ED91" s="222"/>
      <c r="EE91" s="222"/>
      <c r="EF91" s="222"/>
      <c r="EG91" s="222"/>
      <c r="EH91" s="222"/>
    </row>
    <row r="92" spans="1:138" hidden="1" outlineLevel="1">
      <c r="A92" s="249" t="s">
        <v>281</v>
      </c>
      <c r="B92" s="600"/>
      <c r="C92" s="249" t="s">
        <v>282</v>
      </c>
      <c r="D92" s="250" t="s">
        <v>223</v>
      </c>
      <c r="E92" s="251"/>
      <c r="F92" s="251"/>
      <c r="G92" s="251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1"/>
      <c r="V92" s="251"/>
      <c r="W92" s="251"/>
      <c r="X92" s="251"/>
      <c r="Y92" s="251"/>
      <c r="Z92" s="251"/>
      <c r="AA92" s="252"/>
      <c r="AB92" s="252">
        <f>-$BY$6-SUM($E$92:AA92)</f>
        <v>-13485000</v>
      </c>
      <c r="AC92" s="251"/>
      <c r="AD92" s="251"/>
      <c r="AE92" s="251"/>
      <c r="AF92" s="252"/>
      <c r="AG92" s="251"/>
      <c r="AH92" s="251"/>
      <c r="AI92" s="251"/>
      <c r="AJ92" s="251"/>
      <c r="AK92" s="251"/>
      <c r="AL92" s="251"/>
      <c r="AM92" s="251"/>
      <c r="AN92" s="251"/>
      <c r="AO92" s="251"/>
      <c r="AP92" s="251"/>
      <c r="AQ92" s="251"/>
      <c r="AR92" s="251"/>
      <c r="AS92" s="251"/>
      <c r="AT92" s="251"/>
      <c r="AU92" s="251"/>
      <c r="AV92" s="251"/>
      <c r="AW92" s="251"/>
      <c r="AX92" s="251"/>
      <c r="AY92" s="251"/>
      <c r="AZ92" s="251"/>
      <c r="BA92" s="251"/>
      <c r="BB92" s="251"/>
      <c r="BC92" s="251"/>
      <c r="BD92" s="251"/>
      <c r="BE92" s="251"/>
      <c r="BF92" s="251"/>
      <c r="BG92" s="251"/>
      <c r="BH92" s="251"/>
      <c r="BI92" s="251"/>
      <c r="BJ92" s="251"/>
      <c r="BK92" s="251"/>
      <c r="BL92" s="251"/>
      <c r="BM92" s="251"/>
      <c r="BN92" s="251"/>
      <c r="BO92" s="251"/>
      <c r="BP92" s="251"/>
      <c r="BQ92" s="251"/>
      <c r="BR92" s="251"/>
      <c r="BS92" s="251"/>
      <c r="BT92" s="251"/>
      <c r="BU92" s="251"/>
      <c r="BV92" s="251"/>
      <c r="BW92" s="251"/>
      <c r="BX92" s="260"/>
      <c r="BY92" s="287">
        <f t="shared" si="34"/>
        <v>-13485000</v>
      </c>
      <c r="BZ92" s="597"/>
      <c r="CA92" s="222"/>
      <c r="CB92" s="222"/>
      <c r="CC92" s="222"/>
      <c r="CD92" s="222"/>
      <c r="CE92" s="222"/>
      <c r="CF92" s="222"/>
      <c r="CG92" s="222"/>
      <c r="CH92" s="222"/>
      <c r="CI92" s="222"/>
      <c r="CJ92" s="222"/>
      <c r="CK92" s="222"/>
      <c r="CL92" s="222"/>
      <c r="CM92" s="222"/>
      <c r="CN92" s="222"/>
      <c r="CO92" s="222"/>
      <c r="CP92" s="222"/>
      <c r="CQ92" s="222"/>
      <c r="CR92" s="222"/>
      <c r="CS92" s="222"/>
      <c r="CT92" s="222"/>
      <c r="CU92" s="222"/>
      <c r="CV92" s="222"/>
      <c r="CW92" s="222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2"/>
      <c r="DI92" s="222"/>
      <c r="DJ92" s="222"/>
      <c r="DK92" s="222"/>
      <c r="DL92" s="222"/>
      <c r="DM92" s="222"/>
      <c r="DN92" s="222"/>
      <c r="DO92" s="222"/>
      <c r="DP92" s="222"/>
      <c r="DQ92" s="222"/>
      <c r="DR92" s="222"/>
      <c r="DS92" s="222"/>
      <c r="DT92" s="222"/>
      <c r="DU92" s="222"/>
      <c r="DV92" s="222"/>
      <c r="DW92" s="222"/>
      <c r="DX92" s="222"/>
      <c r="DY92" s="222"/>
      <c r="DZ92" s="222"/>
      <c r="EA92" s="222"/>
      <c r="EB92" s="222"/>
      <c r="EC92" s="222"/>
      <c r="ED92" s="222"/>
      <c r="EE92" s="222"/>
      <c r="EF92" s="222"/>
      <c r="EG92" s="222"/>
      <c r="EH92" s="222"/>
    </row>
    <row r="93" spans="1:138" hidden="1" outlineLevel="1">
      <c r="A93" s="249" t="s">
        <v>283</v>
      </c>
      <c r="B93" s="600"/>
      <c r="C93" s="289" t="s">
        <v>281</v>
      </c>
      <c r="D93" s="250" t="s">
        <v>223</v>
      </c>
      <c r="E93" s="251"/>
      <c r="F93" s="251"/>
      <c r="G93" s="251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1"/>
      <c r="V93" s="251"/>
      <c r="W93" s="251"/>
      <c r="X93" s="251"/>
      <c r="Y93" s="251"/>
      <c r="Z93" s="251"/>
      <c r="AA93" s="252"/>
      <c r="AB93" s="251"/>
      <c r="AC93" s="251"/>
      <c r="AD93" s="251"/>
      <c r="AE93" s="251"/>
      <c r="AF93" s="251"/>
      <c r="AG93" s="251"/>
      <c r="AH93" s="251"/>
      <c r="AI93" s="251"/>
      <c r="AJ93" s="251"/>
      <c r="AK93" s="251"/>
      <c r="AL93" s="251"/>
      <c r="AM93" s="251"/>
      <c r="AN93" s="251"/>
      <c r="AO93" s="251"/>
      <c r="AP93" s="251"/>
      <c r="AQ93" s="251"/>
      <c r="AR93" s="251"/>
      <c r="AS93" s="251"/>
      <c r="AT93" s="251"/>
      <c r="AU93" s="251"/>
      <c r="AV93" s="251"/>
      <c r="AW93" s="251"/>
      <c r="AX93" s="251"/>
      <c r="AY93" s="251"/>
      <c r="AZ93" s="251"/>
      <c r="BA93" s="251"/>
      <c r="BB93" s="251"/>
      <c r="BC93" s="251"/>
      <c r="BD93" s="251"/>
      <c r="BE93" s="251"/>
      <c r="BF93" s="251"/>
      <c r="BG93" s="251"/>
      <c r="BH93" s="251"/>
      <c r="BI93" s="251"/>
      <c r="BJ93" s="251"/>
      <c r="BK93" s="251"/>
      <c r="BL93" s="251"/>
      <c r="BM93" s="251"/>
      <c r="BN93" s="251"/>
      <c r="BO93" s="251"/>
      <c r="BP93" s="251"/>
      <c r="BQ93" s="251"/>
      <c r="BR93" s="251"/>
      <c r="BS93" s="251"/>
      <c r="BT93" s="251"/>
      <c r="BU93" s="251"/>
      <c r="BV93" s="251"/>
      <c r="BW93" s="251"/>
      <c r="BX93" s="260"/>
      <c r="BY93" s="287">
        <f t="shared" si="34"/>
        <v>0</v>
      </c>
      <c r="BZ93" s="597"/>
      <c r="CA93" s="222"/>
      <c r="CB93" s="222"/>
      <c r="CC93" s="222"/>
      <c r="CD93" s="222"/>
      <c r="CE93" s="222"/>
      <c r="CF93" s="222"/>
      <c r="CG93" s="222"/>
      <c r="CH93" s="222"/>
      <c r="CI93" s="222"/>
      <c r="CJ93" s="222"/>
      <c r="CK93" s="222"/>
      <c r="CL93" s="222"/>
      <c r="CM93" s="222"/>
      <c r="CN93" s="222"/>
      <c r="CO93" s="222"/>
      <c r="CP93" s="222"/>
      <c r="CQ93" s="222"/>
      <c r="CR93" s="222"/>
      <c r="CS93" s="222"/>
      <c r="CT93" s="222"/>
      <c r="CU93" s="222"/>
      <c r="CV93" s="222"/>
      <c r="CW93" s="222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2"/>
      <c r="DI93" s="222"/>
      <c r="DJ93" s="222"/>
      <c r="DK93" s="222"/>
      <c r="DL93" s="222"/>
      <c r="DM93" s="222"/>
      <c r="DN93" s="222"/>
      <c r="DO93" s="222"/>
      <c r="DP93" s="222"/>
      <c r="DQ93" s="222"/>
      <c r="DR93" s="222"/>
      <c r="DS93" s="222"/>
      <c r="DT93" s="222"/>
      <c r="DU93" s="222"/>
      <c r="DV93" s="222"/>
      <c r="DW93" s="222"/>
      <c r="DX93" s="222"/>
      <c r="DY93" s="222"/>
      <c r="DZ93" s="222"/>
      <c r="EA93" s="222"/>
      <c r="EB93" s="222"/>
      <c r="EC93" s="222"/>
      <c r="ED93" s="222"/>
      <c r="EE93" s="222"/>
      <c r="EF93" s="222"/>
      <c r="EG93" s="222"/>
      <c r="EH93" s="222"/>
    </row>
    <row r="94" spans="1:138" hidden="1" outlineLevel="1">
      <c r="A94" s="505"/>
      <c r="B94" s="600"/>
      <c r="C94" s="288" t="s">
        <v>283</v>
      </c>
      <c r="D94" s="250" t="s">
        <v>223</v>
      </c>
      <c r="E94" s="251"/>
      <c r="F94" s="251"/>
      <c r="G94" s="251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  <c r="AF94" s="251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1"/>
      <c r="AS94" s="251"/>
      <c r="AT94" s="251"/>
      <c r="AU94" s="251"/>
      <c r="AV94" s="251"/>
      <c r="AW94" s="251"/>
      <c r="AX94" s="251"/>
      <c r="AY94" s="251"/>
      <c r="AZ94" s="251"/>
      <c r="BA94" s="251"/>
      <c r="BB94" s="251"/>
      <c r="BC94" s="251"/>
      <c r="BD94" s="251"/>
      <c r="BE94" s="251"/>
      <c r="BF94" s="251"/>
      <c r="BG94" s="251"/>
      <c r="BH94" s="251"/>
      <c r="BI94" s="251"/>
      <c r="BJ94" s="251"/>
      <c r="BK94" s="251"/>
      <c r="BL94" s="251"/>
      <c r="BM94" s="251"/>
      <c r="BN94" s="251"/>
      <c r="BO94" s="251"/>
      <c r="BP94" s="251"/>
      <c r="BQ94" s="251"/>
      <c r="BR94" s="251"/>
      <c r="BS94" s="251"/>
      <c r="BT94" s="251"/>
      <c r="BU94" s="251"/>
      <c r="BV94" s="251"/>
      <c r="BW94" s="251"/>
      <c r="BX94" s="260"/>
      <c r="BY94" s="287">
        <f t="shared" si="34"/>
        <v>0</v>
      </c>
      <c r="BZ94" s="597"/>
      <c r="CA94" s="222"/>
      <c r="CB94" s="222"/>
      <c r="CC94" s="222"/>
      <c r="CD94" s="222"/>
      <c r="CE94" s="222"/>
      <c r="CF94" s="222"/>
      <c r="CG94" s="222"/>
      <c r="CH94" s="222"/>
      <c r="CI94" s="222"/>
      <c r="CJ94" s="222"/>
      <c r="CK94" s="222"/>
      <c r="CL94" s="222"/>
      <c r="CM94" s="222"/>
      <c r="CN94" s="222"/>
      <c r="CO94" s="222"/>
      <c r="CP94" s="222"/>
      <c r="CQ94" s="222"/>
      <c r="CR94" s="222"/>
      <c r="CS94" s="222"/>
      <c r="CT94" s="222"/>
      <c r="CU94" s="222"/>
      <c r="CV94" s="222"/>
      <c r="CW94" s="222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2"/>
      <c r="DI94" s="222"/>
      <c r="DJ94" s="222"/>
      <c r="DK94" s="222"/>
      <c r="DL94" s="222"/>
      <c r="DM94" s="222"/>
      <c r="DN94" s="222"/>
      <c r="DO94" s="222"/>
      <c r="DP94" s="222"/>
      <c r="DQ94" s="222"/>
      <c r="DR94" s="222"/>
      <c r="DS94" s="222"/>
      <c r="DT94" s="222"/>
      <c r="DU94" s="222"/>
      <c r="DV94" s="222"/>
      <c r="DW94" s="222"/>
      <c r="DX94" s="222"/>
      <c r="DY94" s="222"/>
      <c r="DZ94" s="222"/>
      <c r="EA94" s="222"/>
      <c r="EB94" s="222"/>
      <c r="EC94" s="222"/>
      <c r="ED94" s="222"/>
      <c r="EE94" s="222"/>
      <c r="EF94" s="222"/>
      <c r="EG94" s="222"/>
      <c r="EH94" s="222"/>
    </row>
    <row r="95" spans="1:138" hidden="1" outlineLevel="1">
      <c r="A95" s="505"/>
      <c r="B95" s="600"/>
      <c r="C95" s="249" t="s">
        <v>284</v>
      </c>
      <c r="D95" s="250" t="s">
        <v>223</v>
      </c>
      <c r="E95" s="251"/>
      <c r="F95" s="251"/>
      <c r="G95" s="251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2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60"/>
      <c r="BY95" s="287">
        <f t="shared" si="34"/>
        <v>0</v>
      </c>
      <c r="BZ95" s="597"/>
      <c r="CA95" s="222"/>
      <c r="CB95" s="222"/>
      <c r="CC95" s="222"/>
      <c r="CD95" s="222"/>
      <c r="CE95" s="222"/>
      <c r="CF95" s="222"/>
      <c r="CG95" s="222"/>
      <c r="CH95" s="222"/>
      <c r="CI95" s="222"/>
      <c r="CJ95" s="222"/>
      <c r="CK95" s="222"/>
      <c r="CL95" s="222"/>
      <c r="CM95" s="222"/>
      <c r="CN95" s="222"/>
      <c r="CO95" s="222"/>
      <c r="CP95" s="222"/>
      <c r="CQ95" s="222"/>
      <c r="CR95" s="222"/>
      <c r="CS95" s="222"/>
      <c r="CT95" s="222"/>
      <c r="CU95" s="222"/>
      <c r="CV95" s="222"/>
      <c r="CW95" s="222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2"/>
      <c r="DI95" s="222"/>
      <c r="DJ95" s="222"/>
      <c r="DK95" s="222"/>
      <c r="DL95" s="222"/>
      <c r="DM95" s="222"/>
      <c r="DN95" s="222"/>
      <c r="DO95" s="222"/>
      <c r="DP95" s="222"/>
      <c r="DQ95" s="222"/>
      <c r="DR95" s="222"/>
      <c r="DS95" s="222"/>
      <c r="DT95" s="222"/>
      <c r="DU95" s="222"/>
      <c r="DV95" s="222"/>
      <c r="DW95" s="222"/>
      <c r="DX95" s="222"/>
      <c r="DY95" s="222"/>
      <c r="DZ95" s="222"/>
      <c r="EA95" s="222"/>
      <c r="EB95" s="222"/>
      <c r="EC95" s="222"/>
      <c r="ED95" s="222"/>
      <c r="EE95" s="222"/>
      <c r="EF95" s="222"/>
      <c r="EG95" s="222"/>
      <c r="EH95" s="222"/>
    </row>
    <row r="96" spans="1:138" hidden="1" outlineLevel="1">
      <c r="A96" s="505"/>
      <c r="B96" s="600"/>
      <c r="C96" s="249" t="s">
        <v>285</v>
      </c>
      <c r="D96" s="250" t="s">
        <v>223</v>
      </c>
      <c r="E96" s="251"/>
      <c r="F96" s="251"/>
      <c r="G96" s="251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1"/>
      <c r="V96" s="251"/>
      <c r="W96" s="251"/>
      <c r="X96" s="251"/>
      <c r="Y96" s="251"/>
      <c r="Z96" s="251">
        <f t="shared" ref="Z96:AA96" si="35">(PMT($D$61/12,25*12,$BY10)-Z61)</f>
        <v>-51668.925843508405</v>
      </c>
      <c r="AA96" s="251">
        <f t="shared" si="35"/>
        <v>-39686.225743508403</v>
      </c>
      <c r="AB96" s="251">
        <f>-$BY$10-$BY$9-SUM($E$96:AA96)</f>
        <v>-27403625.235312983</v>
      </c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2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60"/>
      <c r="BY96" s="294">
        <f t="shared" si="34"/>
        <v>-27494980.3869</v>
      </c>
      <c r="BZ96" s="597"/>
      <c r="CA96" s="222"/>
      <c r="CB96" s="222"/>
      <c r="CC96" s="222"/>
      <c r="CD96" s="222"/>
      <c r="CE96" s="222"/>
      <c r="CF96" s="222"/>
      <c r="CG96" s="222"/>
      <c r="CH96" s="222"/>
      <c r="CI96" s="222"/>
      <c r="CJ96" s="222"/>
      <c r="CK96" s="222"/>
      <c r="CL96" s="222"/>
      <c r="CM96" s="222"/>
      <c r="CN96" s="222"/>
      <c r="CO96" s="222"/>
      <c r="CP96" s="222"/>
      <c r="CQ96" s="222"/>
      <c r="CR96" s="222"/>
      <c r="CS96" s="222"/>
      <c r="CT96" s="222"/>
      <c r="CU96" s="222"/>
      <c r="CV96" s="222"/>
      <c r="CW96" s="222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2"/>
      <c r="DI96" s="222"/>
      <c r="DJ96" s="222"/>
      <c r="DK96" s="222"/>
      <c r="DL96" s="222"/>
      <c r="DM96" s="222"/>
      <c r="DN96" s="222"/>
      <c r="DO96" s="222"/>
      <c r="DP96" s="222"/>
      <c r="DQ96" s="222"/>
      <c r="DR96" s="222"/>
      <c r="DS96" s="222"/>
      <c r="DT96" s="222"/>
      <c r="DU96" s="222"/>
      <c r="DV96" s="222"/>
      <c r="DW96" s="222"/>
      <c r="DX96" s="222"/>
      <c r="DY96" s="222"/>
      <c r="DZ96" s="222"/>
      <c r="EA96" s="222"/>
      <c r="EB96" s="222"/>
      <c r="EC96" s="222"/>
      <c r="ED96" s="222"/>
      <c r="EE96" s="222"/>
      <c r="EF96" s="222"/>
      <c r="EG96" s="222"/>
      <c r="EH96" s="222"/>
    </row>
    <row r="97" spans="1:138" hidden="1" outlineLevel="1">
      <c r="A97" s="505"/>
      <c r="B97" s="601"/>
      <c r="C97" s="280" t="s">
        <v>286</v>
      </c>
      <c r="D97" s="295" t="s">
        <v>223</v>
      </c>
      <c r="E97" s="282"/>
      <c r="F97" s="282"/>
      <c r="G97" s="282"/>
      <c r="H97" s="283"/>
      <c r="I97" s="283"/>
      <c r="J97" s="283"/>
      <c r="K97" s="283"/>
      <c r="L97" s="283"/>
      <c r="M97" s="283"/>
      <c r="N97" s="283"/>
      <c r="O97" s="283"/>
      <c r="P97" s="283"/>
      <c r="Q97" s="283">
        <f>-7000000</f>
        <v>-7000000</v>
      </c>
      <c r="R97" s="283"/>
      <c r="S97" s="283"/>
      <c r="T97" s="283">
        <f>-2500*25.2</f>
        <v>-63000</v>
      </c>
      <c r="U97" s="283">
        <f>-2500*26</f>
        <v>-65000</v>
      </c>
      <c r="V97" s="283"/>
      <c r="W97" s="283">
        <f>-2500*2*26</f>
        <v>-130000</v>
      </c>
      <c r="X97" s="283">
        <f t="shared" ref="X97:AA97" si="36">-2500*26</f>
        <v>-65000</v>
      </c>
      <c r="Y97" s="283">
        <f t="shared" si="36"/>
        <v>-65000</v>
      </c>
      <c r="Z97" s="283">
        <f t="shared" si="36"/>
        <v>-65000</v>
      </c>
      <c r="AA97" s="283">
        <f t="shared" si="36"/>
        <v>-65000</v>
      </c>
      <c r="AB97" s="283">
        <f>-$BY$11-SUM($P$97:AA97)</f>
        <v>-43804431.330000006</v>
      </c>
      <c r="AC97" s="283"/>
      <c r="AD97" s="283"/>
      <c r="AE97" s="283"/>
      <c r="AF97" s="283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  <c r="BW97" s="282"/>
      <c r="BX97" s="284"/>
      <c r="BY97" s="264">
        <f t="shared" si="34"/>
        <v>-51322431.330000006</v>
      </c>
      <c r="BZ97" s="602"/>
      <c r="CA97" s="222"/>
      <c r="CB97" s="222"/>
      <c r="CC97" s="222"/>
      <c r="CD97" s="222"/>
      <c r="CE97" s="222"/>
      <c r="CF97" s="222"/>
      <c r="CG97" s="222"/>
      <c r="CH97" s="222"/>
      <c r="CI97" s="222"/>
      <c r="CJ97" s="222"/>
      <c r="CK97" s="222"/>
      <c r="CL97" s="222"/>
      <c r="CM97" s="222"/>
      <c r="CN97" s="222"/>
      <c r="CO97" s="222"/>
      <c r="CP97" s="222"/>
      <c r="CQ97" s="222"/>
      <c r="CR97" s="222"/>
      <c r="CS97" s="222"/>
      <c r="CT97" s="222"/>
      <c r="CU97" s="222"/>
      <c r="CV97" s="222"/>
      <c r="CW97" s="222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2"/>
      <c r="DI97" s="222"/>
      <c r="DJ97" s="222"/>
      <c r="DK97" s="222"/>
      <c r="DL97" s="222"/>
      <c r="DM97" s="222"/>
      <c r="DN97" s="222"/>
      <c r="DO97" s="222"/>
      <c r="DP97" s="222"/>
      <c r="DQ97" s="222"/>
      <c r="DR97" s="222"/>
      <c r="DS97" s="222"/>
      <c r="DT97" s="222"/>
      <c r="DU97" s="222"/>
      <c r="DV97" s="222"/>
      <c r="DW97" s="222"/>
      <c r="DX97" s="222"/>
      <c r="DY97" s="222"/>
      <c r="DZ97" s="222"/>
      <c r="EA97" s="222"/>
      <c r="EB97" s="222"/>
      <c r="EC97" s="222"/>
      <c r="ED97" s="222"/>
      <c r="EE97" s="222"/>
      <c r="EF97" s="222"/>
      <c r="EG97" s="222"/>
      <c r="EH97" s="222"/>
    </row>
    <row r="98" spans="1:138" ht="15.95">
      <c r="A98" s="505"/>
      <c r="B98" s="571" t="s">
        <v>287</v>
      </c>
      <c r="C98" s="592"/>
      <c r="D98" s="296" t="s">
        <v>223</v>
      </c>
      <c r="E98" s="297">
        <f t="shared" ref="E98:BX98" si="37">(E17+E23+E26+E34+E37+E49+E55+E63+E87+E90)</f>
        <v>0</v>
      </c>
      <c r="F98" s="297">
        <f t="shared" si="37"/>
        <v>0</v>
      </c>
      <c r="G98" s="297">
        <f t="shared" si="37"/>
        <v>0</v>
      </c>
      <c r="H98" s="297">
        <f t="shared" si="37"/>
        <v>-10737799.354999999</v>
      </c>
      <c r="I98" s="297">
        <f t="shared" si="37"/>
        <v>-1867696.1950000001</v>
      </c>
      <c r="J98" s="297">
        <f t="shared" si="37"/>
        <v>-1817623.665</v>
      </c>
      <c r="K98" s="297">
        <f t="shared" si="37"/>
        <v>-902873.87700000009</v>
      </c>
      <c r="L98" s="297">
        <f t="shared" si="37"/>
        <v>-5038194.0799999991</v>
      </c>
      <c r="M98" s="297">
        <f t="shared" si="37"/>
        <v>-10761502.959999999</v>
      </c>
      <c r="N98" s="297">
        <f t="shared" si="37"/>
        <v>-20069846.199999999</v>
      </c>
      <c r="O98" s="297">
        <f t="shared" si="37"/>
        <v>-9758870.4799999986</v>
      </c>
      <c r="P98" s="297">
        <f t="shared" si="37"/>
        <v>-12889323.373000002</v>
      </c>
      <c r="Q98" s="297">
        <f t="shared" si="37"/>
        <v>-10518924.400999999</v>
      </c>
      <c r="R98" s="297">
        <f t="shared" si="37"/>
        <v>-2286096.8900000006</v>
      </c>
      <c r="S98" s="297">
        <f t="shared" si="37"/>
        <v>-485789.16999999993</v>
      </c>
      <c r="T98" s="297">
        <f t="shared" si="37"/>
        <v>-484122.77599999995</v>
      </c>
      <c r="U98" s="297">
        <f t="shared" si="37"/>
        <v>-984049.04399999999</v>
      </c>
      <c r="V98" s="297">
        <f t="shared" si="37"/>
        <v>-7994926.9161999999</v>
      </c>
      <c r="W98" s="297">
        <f t="shared" si="37"/>
        <v>-7280674.8799999999</v>
      </c>
      <c r="X98" s="297">
        <f t="shared" si="37"/>
        <v>-7845356.8038999997</v>
      </c>
      <c r="Y98" s="297">
        <f t="shared" si="37"/>
        <v>-5430431.4038999993</v>
      </c>
      <c r="Z98" s="297">
        <f t="shared" si="37"/>
        <v>-4177108.1513435082</v>
      </c>
      <c r="AA98" s="297">
        <f t="shared" si="37"/>
        <v>-4315054.1997435084</v>
      </c>
      <c r="AB98" s="297">
        <f t="shared" si="37"/>
        <v>-106151941.50783852</v>
      </c>
      <c r="AC98" s="297">
        <f t="shared" si="37"/>
        <v>0</v>
      </c>
      <c r="AD98" s="297">
        <f t="shared" si="37"/>
        <v>0</v>
      </c>
      <c r="AE98" s="297">
        <f t="shared" si="37"/>
        <v>0</v>
      </c>
      <c r="AF98" s="297">
        <f t="shared" si="37"/>
        <v>0</v>
      </c>
      <c r="AG98" s="297">
        <f t="shared" si="37"/>
        <v>0</v>
      </c>
      <c r="AH98" s="297">
        <f t="shared" si="37"/>
        <v>0</v>
      </c>
      <c r="AI98" s="297">
        <f t="shared" si="37"/>
        <v>0</v>
      </c>
      <c r="AJ98" s="297">
        <f t="shared" si="37"/>
        <v>0</v>
      </c>
      <c r="AK98" s="297">
        <f t="shared" si="37"/>
        <v>0</v>
      </c>
      <c r="AL98" s="297">
        <f t="shared" si="37"/>
        <v>0</v>
      </c>
      <c r="AM98" s="297">
        <f t="shared" si="37"/>
        <v>0</v>
      </c>
      <c r="AN98" s="297">
        <f t="shared" si="37"/>
        <v>0</v>
      </c>
      <c r="AO98" s="297">
        <f t="shared" si="37"/>
        <v>0</v>
      </c>
      <c r="AP98" s="297">
        <f t="shared" si="37"/>
        <v>0</v>
      </c>
      <c r="AQ98" s="297">
        <f t="shared" si="37"/>
        <v>0</v>
      </c>
      <c r="AR98" s="297">
        <f t="shared" si="37"/>
        <v>0</v>
      </c>
      <c r="AS98" s="297">
        <f t="shared" si="37"/>
        <v>0</v>
      </c>
      <c r="AT98" s="297">
        <f t="shared" si="37"/>
        <v>0</v>
      </c>
      <c r="AU98" s="297">
        <f t="shared" si="37"/>
        <v>0</v>
      </c>
      <c r="AV98" s="297">
        <f t="shared" si="37"/>
        <v>0</v>
      </c>
      <c r="AW98" s="297">
        <f t="shared" si="37"/>
        <v>0</v>
      </c>
      <c r="AX98" s="297">
        <f t="shared" si="37"/>
        <v>0</v>
      </c>
      <c r="AY98" s="297">
        <f t="shared" si="37"/>
        <v>0</v>
      </c>
      <c r="AZ98" s="297">
        <f t="shared" si="37"/>
        <v>0</v>
      </c>
      <c r="BA98" s="297">
        <f t="shared" si="37"/>
        <v>0</v>
      </c>
      <c r="BB98" s="297">
        <f t="shared" si="37"/>
        <v>0</v>
      </c>
      <c r="BC98" s="297">
        <f t="shared" si="37"/>
        <v>0</v>
      </c>
      <c r="BD98" s="297">
        <f t="shared" si="37"/>
        <v>0</v>
      </c>
      <c r="BE98" s="297">
        <f t="shared" si="37"/>
        <v>0</v>
      </c>
      <c r="BF98" s="297">
        <f t="shared" si="37"/>
        <v>0</v>
      </c>
      <c r="BG98" s="297">
        <f t="shared" si="37"/>
        <v>0</v>
      </c>
      <c r="BH98" s="297">
        <f t="shared" si="37"/>
        <v>0</v>
      </c>
      <c r="BI98" s="297">
        <f t="shared" si="37"/>
        <v>0</v>
      </c>
      <c r="BJ98" s="297">
        <f t="shared" si="37"/>
        <v>0</v>
      </c>
      <c r="BK98" s="297">
        <f t="shared" si="37"/>
        <v>0</v>
      </c>
      <c r="BL98" s="297">
        <f t="shared" si="37"/>
        <v>0</v>
      </c>
      <c r="BM98" s="297">
        <f t="shared" si="37"/>
        <v>0</v>
      </c>
      <c r="BN98" s="297">
        <f t="shared" si="37"/>
        <v>0</v>
      </c>
      <c r="BO98" s="297">
        <f t="shared" si="37"/>
        <v>0</v>
      </c>
      <c r="BP98" s="297">
        <f t="shared" si="37"/>
        <v>0</v>
      </c>
      <c r="BQ98" s="297">
        <f t="shared" si="37"/>
        <v>0</v>
      </c>
      <c r="BR98" s="297">
        <f t="shared" si="37"/>
        <v>0</v>
      </c>
      <c r="BS98" s="297">
        <f t="shared" si="37"/>
        <v>0</v>
      </c>
      <c r="BT98" s="297">
        <f t="shared" si="37"/>
        <v>0</v>
      </c>
      <c r="BU98" s="297">
        <f t="shared" si="37"/>
        <v>0</v>
      </c>
      <c r="BV98" s="297">
        <f t="shared" si="37"/>
        <v>0</v>
      </c>
      <c r="BW98" s="297">
        <f t="shared" si="37"/>
        <v>0</v>
      </c>
      <c r="BX98" s="297">
        <f t="shared" si="37"/>
        <v>0</v>
      </c>
      <c r="BY98" s="565">
        <f>BZ91</f>
        <v>-108667413.71690001</v>
      </c>
      <c r="BZ98" s="601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2"/>
      <c r="DI98" s="222"/>
      <c r="DJ98" s="222"/>
      <c r="DK98" s="222"/>
      <c r="DL98" s="222"/>
      <c r="DM98" s="222"/>
      <c r="DN98" s="222"/>
      <c r="DO98" s="222"/>
      <c r="DP98" s="222"/>
      <c r="DQ98" s="222"/>
      <c r="DR98" s="222"/>
      <c r="DS98" s="222"/>
      <c r="DT98" s="222"/>
      <c r="DU98" s="222"/>
      <c r="DV98" s="222"/>
      <c r="DW98" s="222"/>
      <c r="DX98" s="222"/>
      <c r="DY98" s="222"/>
      <c r="DZ98" s="222"/>
      <c r="EA98" s="222"/>
      <c r="EB98" s="222"/>
      <c r="EC98" s="222"/>
      <c r="ED98" s="222"/>
      <c r="EE98" s="222"/>
      <c r="EF98" s="222"/>
      <c r="EG98" s="222"/>
      <c r="EH98" s="222"/>
    </row>
    <row r="99" spans="1:138" ht="15.95">
      <c r="A99" s="505"/>
      <c r="B99" s="507"/>
      <c r="C99" s="507"/>
      <c r="D99" s="298"/>
      <c r="E99" s="299"/>
      <c r="F99" s="299"/>
      <c r="G99" s="299"/>
      <c r="H99" s="299">
        <f>H98</f>
        <v>-10737799.354999999</v>
      </c>
      <c r="I99" s="299">
        <f t="shared" ref="I99:AF99" si="38">H99+I98</f>
        <v>-12605495.549999999</v>
      </c>
      <c r="J99" s="299">
        <f t="shared" si="38"/>
        <v>-14423119.215</v>
      </c>
      <c r="K99" s="299">
        <f t="shared" si="38"/>
        <v>-15325993.092</v>
      </c>
      <c r="L99" s="299">
        <f t="shared" si="38"/>
        <v>-20364187.171999998</v>
      </c>
      <c r="M99" s="299">
        <f t="shared" si="38"/>
        <v>-31125690.131999999</v>
      </c>
      <c r="N99" s="299">
        <f t="shared" si="38"/>
        <v>-51195536.332000002</v>
      </c>
      <c r="O99" s="299">
        <f t="shared" si="38"/>
        <v>-60954406.811999999</v>
      </c>
      <c r="P99" s="299">
        <f t="shared" si="38"/>
        <v>-73843730.185000002</v>
      </c>
      <c r="Q99" s="299">
        <f t="shared" si="38"/>
        <v>-84362654.585999995</v>
      </c>
      <c r="R99" s="299">
        <f t="shared" si="38"/>
        <v>-86648751.475999996</v>
      </c>
      <c r="S99" s="299">
        <f t="shared" si="38"/>
        <v>-87134540.645999998</v>
      </c>
      <c r="T99" s="299">
        <f t="shared" si="38"/>
        <v>-87618663.421999991</v>
      </c>
      <c r="U99" s="299">
        <f t="shared" si="38"/>
        <v>-88602712.465999991</v>
      </c>
      <c r="V99" s="299">
        <f t="shared" si="38"/>
        <v>-96597639.382199988</v>
      </c>
      <c r="W99" s="299">
        <f t="shared" si="38"/>
        <v>-103878314.26219998</v>
      </c>
      <c r="X99" s="299">
        <f t="shared" si="38"/>
        <v>-111723671.06609999</v>
      </c>
      <c r="Y99" s="299">
        <f t="shared" si="38"/>
        <v>-117154102.46999998</v>
      </c>
      <c r="Z99" s="299">
        <f t="shared" si="38"/>
        <v>-121331210.62134349</v>
      </c>
      <c r="AA99" s="299">
        <f t="shared" si="38"/>
        <v>-125646264.821087</v>
      </c>
      <c r="AB99" s="299">
        <f t="shared" si="38"/>
        <v>-231798206.32892552</v>
      </c>
      <c r="AC99" s="299">
        <f t="shared" si="38"/>
        <v>-231798206.32892552</v>
      </c>
      <c r="AD99" s="299">
        <f t="shared" si="38"/>
        <v>-231798206.32892552</v>
      </c>
      <c r="AE99" s="299">
        <f t="shared" si="38"/>
        <v>-231798206.32892552</v>
      </c>
      <c r="AF99" s="299">
        <f t="shared" si="38"/>
        <v>-231798206.32892552</v>
      </c>
      <c r="AG99" s="300"/>
      <c r="AH99" s="300"/>
      <c r="AI99" s="300"/>
      <c r="AJ99" s="300"/>
      <c r="AK99" s="300"/>
      <c r="AL99" s="300"/>
      <c r="AM99" s="300"/>
      <c r="AN99" s="300"/>
      <c r="AO99" s="299"/>
      <c r="AP99" s="300"/>
      <c r="AQ99" s="300"/>
      <c r="AR99" s="300"/>
      <c r="AS99" s="299"/>
      <c r="AT99" s="299"/>
      <c r="AU99" s="299"/>
      <c r="AV99" s="299"/>
      <c r="AW99" s="299"/>
      <c r="AX99" s="299"/>
      <c r="AY99" s="299"/>
      <c r="AZ99" s="299"/>
      <c r="BA99" s="299"/>
      <c r="BB99" s="299"/>
      <c r="BC99" s="299"/>
      <c r="BD99" s="299"/>
      <c r="BE99" s="299"/>
      <c r="BF99" s="299"/>
      <c r="BG99" s="299"/>
      <c r="BH99" s="299"/>
      <c r="BI99" s="299"/>
      <c r="BJ99" s="299"/>
      <c r="BK99" s="299"/>
      <c r="BL99" s="301"/>
      <c r="BM99" s="301"/>
      <c r="BN99" s="301"/>
      <c r="BO99" s="301"/>
      <c r="BP99" s="301"/>
      <c r="BQ99" s="301"/>
      <c r="BR99" s="301"/>
      <c r="BS99" s="301"/>
      <c r="BT99" s="301"/>
      <c r="BU99" s="301"/>
      <c r="BV99" s="301"/>
      <c r="BW99" s="301"/>
      <c r="BX99" s="301"/>
      <c r="BY99" s="302"/>
      <c r="BZ99" s="302"/>
      <c r="CA99" s="222"/>
      <c r="CB99" s="222"/>
      <c r="CC99" s="222"/>
      <c r="CD99" s="222"/>
      <c r="CE99" s="238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2"/>
      <c r="DI99" s="222"/>
      <c r="DJ99" s="222"/>
      <c r="DK99" s="222"/>
      <c r="DL99" s="222"/>
      <c r="DM99" s="222"/>
      <c r="DN99" s="222"/>
      <c r="DO99" s="222"/>
      <c r="DP99" s="222"/>
      <c r="DQ99" s="222"/>
      <c r="DR99" s="222"/>
      <c r="DS99" s="222"/>
      <c r="DT99" s="222"/>
      <c r="DU99" s="222"/>
      <c r="DV99" s="222"/>
      <c r="DW99" s="222"/>
      <c r="DX99" s="222"/>
      <c r="DY99" s="222"/>
      <c r="DZ99" s="222"/>
      <c r="EA99" s="222"/>
      <c r="EB99" s="222"/>
      <c r="EC99" s="222"/>
      <c r="ED99" s="222"/>
      <c r="EE99" s="222"/>
      <c r="EF99" s="222"/>
      <c r="EG99" s="222"/>
      <c r="EH99" s="222"/>
    </row>
    <row r="100" spans="1:138" ht="15.95">
      <c r="A100" s="505"/>
      <c r="B100" s="572" t="s">
        <v>288</v>
      </c>
      <c r="C100" s="592"/>
      <c r="D100" s="303"/>
      <c r="E100" s="299">
        <f t="shared" ref="E100:BX100" si="39">E16+E98</f>
        <v>0</v>
      </c>
      <c r="F100" s="299">
        <f t="shared" si="39"/>
        <v>0</v>
      </c>
      <c r="G100" s="299">
        <f t="shared" si="39"/>
        <v>0</v>
      </c>
      <c r="H100" s="299">
        <f t="shared" si="39"/>
        <v>5627202.6450000014</v>
      </c>
      <c r="I100" s="299">
        <f t="shared" si="39"/>
        <v>-1861469.1950000001</v>
      </c>
      <c r="J100" s="299">
        <f t="shared" si="39"/>
        <v>-1803035.665</v>
      </c>
      <c r="K100" s="299">
        <f t="shared" si="39"/>
        <v>439594.12299999991</v>
      </c>
      <c r="L100" s="299">
        <f t="shared" si="39"/>
        <v>-3040677.0799999991</v>
      </c>
      <c r="M100" s="300">
        <f t="shared" si="39"/>
        <v>57291.090000001714</v>
      </c>
      <c r="N100" s="299">
        <f t="shared" si="39"/>
        <v>-75913.25</v>
      </c>
      <c r="O100" s="300">
        <f t="shared" si="39"/>
        <v>32310.750000001863</v>
      </c>
      <c r="P100" s="300">
        <f t="shared" si="39"/>
        <v>72433.306999998167</v>
      </c>
      <c r="Q100" s="300">
        <f t="shared" si="39"/>
        <v>1568038.199000001</v>
      </c>
      <c r="R100" s="300">
        <f t="shared" si="39"/>
        <v>-573213.6400000006</v>
      </c>
      <c r="S100" s="300">
        <f t="shared" si="39"/>
        <v>775131.82000000007</v>
      </c>
      <c r="T100" s="300">
        <f t="shared" si="39"/>
        <v>13861.492000000086</v>
      </c>
      <c r="U100" s="300">
        <f t="shared" si="39"/>
        <v>-494687.62085950427</v>
      </c>
      <c r="V100" s="300">
        <f>V16+V98</f>
        <v>-1319148.9270000001</v>
      </c>
      <c r="W100" s="300">
        <f t="shared" si="39"/>
        <v>18821.839999999851</v>
      </c>
      <c r="X100" s="300">
        <f t="shared" si="39"/>
        <v>-34500.033611570485</v>
      </c>
      <c r="Y100" s="300">
        <f t="shared" si="39"/>
        <v>-265533.71897520591</v>
      </c>
      <c r="Z100" s="300">
        <f t="shared" si="39"/>
        <v>1903596.4170854171</v>
      </c>
      <c r="AA100" s="300">
        <f t="shared" si="39"/>
        <v>-613530.64674791601</v>
      </c>
      <c r="AB100" s="300">
        <f t="shared" si="39"/>
        <v>33860094.546139061</v>
      </c>
      <c r="AC100" s="300">
        <f t="shared" si="39"/>
        <v>0</v>
      </c>
      <c r="AD100" s="300">
        <f t="shared" si="39"/>
        <v>5386482</v>
      </c>
      <c r="AE100" s="300">
        <f t="shared" si="39"/>
        <v>-5386482</v>
      </c>
      <c r="AF100" s="300">
        <f t="shared" si="39"/>
        <v>0</v>
      </c>
      <c r="AG100" s="300">
        <f t="shared" si="39"/>
        <v>0</v>
      </c>
      <c r="AH100" s="300">
        <f t="shared" si="39"/>
        <v>0</v>
      </c>
      <c r="AI100" s="300">
        <f t="shared" si="39"/>
        <v>0</v>
      </c>
      <c r="AJ100" s="300">
        <f t="shared" si="39"/>
        <v>0</v>
      </c>
      <c r="AK100" s="300">
        <f t="shared" si="39"/>
        <v>0</v>
      </c>
      <c r="AL100" s="300">
        <f t="shared" si="39"/>
        <v>0</v>
      </c>
      <c r="AM100" s="300">
        <f t="shared" si="39"/>
        <v>0</v>
      </c>
      <c r="AN100" s="300">
        <f t="shared" si="39"/>
        <v>0</v>
      </c>
      <c r="AO100" s="299">
        <f t="shared" si="39"/>
        <v>0</v>
      </c>
      <c r="AP100" s="300">
        <f t="shared" si="39"/>
        <v>0</v>
      </c>
      <c r="AQ100" s="300">
        <f t="shared" si="39"/>
        <v>0</v>
      </c>
      <c r="AR100" s="300">
        <f t="shared" si="39"/>
        <v>0</v>
      </c>
      <c r="AS100" s="299">
        <f t="shared" si="39"/>
        <v>0</v>
      </c>
      <c r="AT100" s="299">
        <f t="shared" si="39"/>
        <v>0</v>
      </c>
      <c r="AU100" s="299">
        <f t="shared" si="39"/>
        <v>0</v>
      </c>
      <c r="AV100" s="299">
        <f t="shared" si="39"/>
        <v>0</v>
      </c>
      <c r="AW100" s="299">
        <f t="shared" si="39"/>
        <v>0</v>
      </c>
      <c r="AX100" s="299">
        <f t="shared" si="39"/>
        <v>0</v>
      </c>
      <c r="AY100" s="299">
        <f t="shared" si="39"/>
        <v>0</v>
      </c>
      <c r="AZ100" s="299">
        <f t="shared" si="39"/>
        <v>0</v>
      </c>
      <c r="BA100" s="299">
        <f t="shared" si="39"/>
        <v>0</v>
      </c>
      <c r="BB100" s="299">
        <f t="shared" si="39"/>
        <v>0</v>
      </c>
      <c r="BC100" s="299">
        <f t="shared" si="39"/>
        <v>0</v>
      </c>
      <c r="BD100" s="299">
        <f t="shared" si="39"/>
        <v>0</v>
      </c>
      <c r="BE100" s="299">
        <f t="shared" si="39"/>
        <v>0</v>
      </c>
      <c r="BF100" s="299">
        <f t="shared" si="39"/>
        <v>0</v>
      </c>
      <c r="BG100" s="299">
        <f t="shared" si="39"/>
        <v>0</v>
      </c>
      <c r="BH100" s="299">
        <f t="shared" si="39"/>
        <v>0</v>
      </c>
      <c r="BI100" s="299">
        <f t="shared" si="39"/>
        <v>0</v>
      </c>
      <c r="BJ100" s="299">
        <f t="shared" si="39"/>
        <v>0</v>
      </c>
      <c r="BK100" s="299">
        <f t="shared" si="39"/>
        <v>0</v>
      </c>
      <c r="BL100" s="304">
        <f t="shared" si="39"/>
        <v>0</v>
      </c>
      <c r="BM100" s="304">
        <f t="shared" si="39"/>
        <v>0</v>
      </c>
      <c r="BN100" s="304">
        <f t="shared" si="39"/>
        <v>0</v>
      </c>
      <c r="BO100" s="304">
        <f t="shared" si="39"/>
        <v>0</v>
      </c>
      <c r="BP100" s="304">
        <f t="shared" si="39"/>
        <v>0</v>
      </c>
      <c r="BQ100" s="304">
        <f t="shared" si="39"/>
        <v>0</v>
      </c>
      <c r="BR100" s="304">
        <f t="shared" si="39"/>
        <v>0</v>
      </c>
      <c r="BS100" s="304">
        <f t="shared" si="39"/>
        <v>0</v>
      </c>
      <c r="BT100" s="304">
        <f t="shared" si="39"/>
        <v>0</v>
      </c>
      <c r="BU100" s="304">
        <f t="shared" si="39"/>
        <v>0</v>
      </c>
      <c r="BV100" s="304">
        <f t="shared" si="39"/>
        <v>0</v>
      </c>
      <c r="BW100" s="304">
        <f t="shared" si="39"/>
        <v>0</v>
      </c>
      <c r="BX100" s="304">
        <f t="shared" si="39"/>
        <v>0</v>
      </c>
      <c r="BY100" s="566">
        <f>BY16+BY90+BY98</f>
        <v>34286666.452030316</v>
      </c>
      <c r="BZ100" s="603"/>
      <c r="CA100" s="222"/>
      <c r="CB100" s="222"/>
      <c r="CC100" s="222"/>
      <c r="CD100" s="222"/>
      <c r="CE100" s="222"/>
      <c r="CF100" s="222"/>
      <c r="CG100" s="222"/>
      <c r="CH100" s="222"/>
      <c r="CI100" s="222"/>
      <c r="CJ100" s="222"/>
      <c r="CK100" s="222"/>
      <c r="CL100" s="222"/>
      <c r="CM100" s="222"/>
      <c r="CN100" s="222"/>
      <c r="CO100" s="222"/>
      <c r="CP100" s="222"/>
      <c r="CQ100" s="222"/>
      <c r="CR100" s="222"/>
      <c r="CS100" s="222"/>
      <c r="CT100" s="222"/>
      <c r="CU100" s="222"/>
      <c r="CV100" s="222"/>
      <c r="CW100" s="222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2"/>
      <c r="DI100" s="222"/>
      <c r="DJ100" s="222"/>
      <c r="DK100" s="222"/>
      <c r="DL100" s="222"/>
      <c r="DM100" s="222"/>
      <c r="DN100" s="222"/>
      <c r="DO100" s="222"/>
      <c r="DP100" s="222"/>
      <c r="DQ100" s="222"/>
      <c r="DR100" s="222"/>
      <c r="DS100" s="222"/>
      <c r="DT100" s="222"/>
      <c r="DU100" s="222"/>
      <c r="DV100" s="222"/>
      <c r="DW100" s="222"/>
      <c r="DX100" s="222"/>
      <c r="DY100" s="222"/>
      <c r="DZ100" s="222"/>
      <c r="EA100" s="222"/>
      <c r="EB100" s="222"/>
      <c r="EC100" s="222"/>
      <c r="ED100" s="222"/>
      <c r="EE100" s="222"/>
      <c r="EF100" s="222"/>
      <c r="EG100" s="222"/>
      <c r="EH100" s="222"/>
    </row>
    <row r="101" spans="1:138">
      <c r="A101" s="505"/>
      <c r="B101" s="573" t="s">
        <v>289</v>
      </c>
      <c r="C101" s="592"/>
      <c r="D101" s="305"/>
      <c r="E101" s="306">
        <f>E100</f>
        <v>0</v>
      </c>
      <c r="F101" s="306">
        <f>F100+E101</f>
        <v>0</v>
      </c>
      <c r="G101" s="306">
        <f>655760.63+24.98*24.5-16.85*22</f>
        <v>656001.94000000006</v>
      </c>
      <c r="H101" s="306">
        <f>H100+G101-66</f>
        <v>6283138.5850000018</v>
      </c>
      <c r="I101" s="306">
        <f t="shared" ref="I101:U101" si="40">I100+H101</f>
        <v>4421669.3900000015</v>
      </c>
      <c r="J101" s="306">
        <f t="shared" si="40"/>
        <v>2618633.7250000015</v>
      </c>
      <c r="K101" s="306">
        <f t="shared" si="40"/>
        <v>3058227.8480000012</v>
      </c>
      <c r="L101" s="306">
        <f t="shared" si="40"/>
        <v>17550.768000002019</v>
      </c>
      <c r="M101" s="306">
        <f t="shared" si="40"/>
        <v>74841.858000003733</v>
      </c>
      <c r="N101" s="306">
        <f t="shared" si="40"/>
        <v>-1071.3919999962673</v>
      </c>
      <c r="O101" s="306">
        <f t="shared" si="40"/>
        <v>31239.358000005595</v>
      </c>
      <c r="P101" s="306">
        <f t="shared" si="40"/>
        <v>103672.66500000376</v>
      </c>
      <c r="Q101" s="306">
        <f t="shared" si="40"/>
        <v>1671710.8640000047</v>
      </c>
      <c r="R101" s="306">
        <f t="shared" si="40"/>
        <v>1098497.2240000041</v>
      </c>
      <c r="S101" s="306">
        <f t="shared" si="40"/>
        <v>1873629.0440000042</v>
      </c>
      <c r="T101" s="306">
        <f t="shared" si="40"/>
        <v>1887490.5360000043</v>
      </c>
      <c r="U101" s="306">
        <f t="shared" si="40"/>
        <v>1392802.9151405001</v>
      </c>
      <c r="V101" s="306">
        <f>1819365+V100</f>
        <v>500216.07299999986</v>
      </c>
      <c r="W101" s="306">
        <f t="shared" ref="W101:BX101" si="41">W100+V101</f>
        <v>519037.91299999971</v>
      </c>
      <c r="X101" s="306">
        <f t="shared" si="41"/>
        <v>484537.87938842922</v>
      </c>
      <c r="Y101" s="306">
        <f t="shared" si="41"/>
        <v>219004.16041322332</v>
      </c>
      <c r="Z101" s="306">
        <f t="shared" si="41"/>
        <v>2122600.5774986404</v>
      </c>
      <c r="AA101" s="306">
        <f t="shared" si="41"/>
        <v>1509069.9307507244</v>
      </c>
      <c r="AB101" s="306">
        <f t="shared" si="41"/>
        <v>35369164.476889789</v>
      </c>
      <c r="AC101" s="306">
        <f t="shared" si="41"/>
        <v>35369164.476889789</v>
      </c>
      <c r="AD101" s="306">
        <f t="shared" si="41"/>
        <v>40755646.476889789</v>
      </c>
      <c r="AE101" s="306">
        <f t="shared" si="41"/>
        <v>35369164.476889789</v>
      </c>
      <c r="AF101" s="306">
        <f t="shared" si="41"/>
        <v>35369164.476889789</v>
      </c>
      <c r="AG101" s="306">
        <f t="shared" si="41"/>
        <v>35369164.476889789</v>
      </c>
      <c r="AH101" s="306">
        <f t="shared" si="41"/>
        <v>35369164.476889789</v>
      </c>
      <c r="AI101" s="306">
        <f t="shared" si="41"/>
        <v>35369164.476889789</v>
      </c>
      <c r="AJ101" s="306">
        <f t="shared" si="41"/>
        <v>35369164.476889789</v>
      </c>
      <c r="AK101" s="306">
        <f t="shared" si="41"/>
        <v>35369164.476889789</v>
      </c>
      <c r="AL101" s="306">
        <f t="shared" si="41"/>
        <v>35369164.476889789</v>
      </c>
      <c r="AM101" s="306">
        <f t="shared" si="41"/>
        <v>35369164.476889789</v>
      </c>
      <c r="AN101" s="306">
        <f t="shared" si="41"/>
        <v>35369164.476889789</v>
      </c>
      <c r="AO101" s="306">
        <f t="shared" si="41"/>
        <v>35369164.476889789</v>
      </c>
      <c r="AP101" s="306">
        <f t="shared" si="41"/>
        <v>35369164.476889789</v>
      </c>
      <c r="AQ101" s="306">
        <f t="shared" si="41"/>
        <v>35369164.476889789</v>
      </c>
      <c r="AR101" s="306">
        <f t="shared" si="41"/>
        <v>35369164.476889789</v>
      </c>
      <c r="AS101" s="306">
        <f t="shared" si="41"/>
        <v>35369164.476889789</v>
      </c>
      <c r="AT101" s="306">
        <f t="shared" si="41"/>
        <v>35369164.476889789</v>
      </c>
      <c r="AU101" s="306">
        <f t="shared" si="41"/>
        <v>35369164.476889789</v>
      </c>
      <c r="AV101" s="306">
        <f t="shared" si="41"/>
        <v>35369164.476889789</v>
      </c>
      <c r="AW101" s="306">
        <f t="shared" si="41"/>
        <v>35369164.476889789</v>
      </c>
      <c r="AX101" s="306">
        <f t="shared" si="41"/>
        <v>35369164.476889789</v>
      </c>
      <c r="AY101" s="306">
        <f t="shared" si="41"/>
        <v>35369164.476889789</v>
      </c>
      <c r="AZ101" s="306">
        <f t="shared" si="41"/>
        <v>35369164.476889789</v>
      </c>
      <c r="BA101" s="306">
        <f t="shared" si="41"/>
        <v>35369164.476889789</v>
      </c>
      <c r="BB101" s="306">
        <f t="shared" si="41"/>
        <v>35369164.476889789</v>
      </c>
      <c r="BC101" s="306">
        <f t="shared" si="41"/>
        <v>35369164.476889789</v>
      </c>
      <c r="BD101" s="306">
        <f t="shared" si="41"/>
        <v>35369164.476889789</v>
      </c>
      <c r="BE101" s="306">
        <f t="shared" si="41"/>
        <v>35369164.476889789</v>
      </c>
      <c r="BF101" s="306">
        <f t="shared" si="41"/>
        <v>35369164.476889789</v>
      </c>
      <c r="BG101" s="306">
        <f t="shared" si="41"/>
        <v>35369164.476889789</v>
      </c>
      <c r="BH101" s="306">
        <f t="shared" si="41"/>
        <v>35369164.476889789</v>
      </c>
      <c r="BI101" s="306">
        <f t="shared" si="41"/>
        <v>35369164.476889789</v>
      </c>
      <c r="BJ101" s="306">
        <f t="shared" si="41"/>
        <v>35369164.476889789</v>
      </c>
      <c r="BK101" s="306">
        <f t="shared" si="41"/>
        <v>35369164.476889789</v>
      </c>
      <c r="BL101" s="306">
        <f t="shared" si="41"/>
        <v>35369164.476889789</v>
      </c>
      <c r="BM101" s="306">
        <f t="shared" si="41"/>
        <v>35369164.476889789</v>
      </c>
      <c r="BN101" s="306">
        <f t="shared" si="41"/>
        <v>35369164.476889789</v>
      </c>
      <c r="BO101" s="306">
        <f t="shared" si="41"/>
        <v>35369164.476889789</v>
      </c>
      <c r="BP101" s="306">
        <f t="shared" si="41"/>
        <v>35369164.476889789</v>
      </c>
      <c r="BQ101" s="306">
        <f t="shared" si="41"/>
        <v>35369164.476889789</v>
      </c>
      <c r="BR101" s="306">
        <f t="shared" si="41"/>
        <v>35369164.476889789</v>
      </c>
      <c r="BS101" s="306">
        <f t="shared" si="41"/>
        <v>35369164.476889789</v>
      </c>
      <c r="BT101" s="306">
        <f t="shared" si="41"/>
        <v>35369164.476889789</v>
      </c>
      <c r="BU101" s="306">
        <f t="shared" si="41"/>
        <v>35369164.476889789</v>
      </c>
      <c r="BV101" s="306">
        <f t="shared" si="41"/>
        <v>35369164.476889789</v>
      </c>
      <c r="BW101" s="306">
        <f t="shared" si="41"/>
        <v>35369164.476889789</v>
      </c>
      <c r="BX101" s="306">
        <f t="shared" si="41"/>
        <v>35369164.476889789</v>
      </c>
      <c r="BY101" s="222"/>
      <c r="BZ101" s="222"/>
      <c r="CA101" s="222"/>
      <c r="CB101" s="222"/>
      <c r="CC101" s="222"/>
      <c r="CD101" s="222"/>
      <c r="CE101" s="222"/>
      <c r="CF101" s="222"/>
      <c r="CG101" s="222"/>
      <c r="CH101" s="222"/>
      <c r="CI101" s="222"/>
      <c r="CJ101" s="222"/>
      <c r="CK101" s="222"/>
      <c r="CL101" s="222"/>
      <c r="CM101" s="222"/>
      <c r="CN101" s="222"/>
      <c r="CO101" s="222"/>
      <c r="CP101" s="222"/>
      <c r="CQ101" s="222"/>
      <c r="CR101" s="222"/>
      <c r="CS101" s="222"/>
      <c r="CT101" s="222"/>
      <c r="CU101" s="222"/>
      <c r="CV101" s="222"/>
      <c r="CW101" s="222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2"/>
      <c r="DI101" s="222"/>
      <c r="DJ101" s="222"/>
      <c r="DK101" s="222"/>
      <c r="DL101" s="222"/>
      <c r="DM101" s="222"/>
      <c r="DN101" s="222"/>
      <c r="DO101" s="222"/>
      <c r="DP101" s="222"/>
      <c r="DQ101" s="222"/>
      <c r="DR101" s="222"/>
      <c r="DS101" s="222"/>
      <c r="DT101" s="222"/>
      <c r="DU101" s="222"/>
      <c r="DV101" s="222"/>
      <c r="DW101" s="222"/>
      <c r="DX101" s="222"/>
      <c r="DY101" s="222"/>
      <c r="DZ101" s="222"/>
      <c r="EA101" s="222"/>
      <c r="EB101" s="222"/>
      <c r="EC101" s="222"/>
      <c r="ED101" s="222"/>
      <c r="EE101" s="222"/>
      <c r="EF101" s="222"/>
      <c r="EG101" s="222"/>
      <c r="EH101" s="222"/>
    </row>
    <row r="102" spans="1:138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307"/>
      <c r="BZ102" s="222"/>
      <c r="CA102" s="222"/>
      <c r="CB102" s="222"/>
      <c r="CC102" s="222"/>
      <c r="CD102" s="222"/>
      <c r="CE102" s="222"/>
      <c r="CF102" s="222"/>
      <c r="CG102" s="222"/>
      <c r="CH102" s="222"/>
      <c r="CI102" s="222"/>
      <c r="CJ102" s="222"/>
      <c r="CK102" s="222"/>
      <c r="CL102" s="222"/>
      <c r="CM102" s="222"/>
      <c r="CN102" s="222"/>
      <c r="CO102" s="222"/>
      <c r="CP102" s="222"/>
      <c r="CQ102" s="222"/>
      <c r="CR102" s="222"/>
      <c r="CS102" s="222"/>
      <c r="CT102" s="222"/>
      <c r="CU102" s="222"/>
      <c r="CV102" s="222"/>
      <c r="CW102" s="222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2"/>
      <c r="DI102" s="222"/>
      <c r="DJ102" s="222"/>
      <c r="DK102" s="222"/>
      <c r="DL102" s="222"/>
      <c r="DM102" s="222"/>
      <c r="DN102" s="222"/>
      <c r="DO102" s="222"/>
      <c r="DP102" s="222"/>
      <c r="DQ102" s="222"/>
      <c r="DR102" s="222"/>
      <c r="DS102" s="222"/>
      <c r="DT102" s="222"/>
      <c r="DU102" s="222"/>
      <c r="DV102" s="222"/>
      <c r="DW102" s="222"/>
      <c r="DX102" s="222"/>
      <c r="DY102" s="222"/>
      <c r="DZ102" s="222"/>
      <c r="EA102" s="222"/>
      <c r="EB102" s="222"/>
      <c r="EC102" s="222"/>
      <c r="ED102" s="222"/>
      <c r="EE102" s="222"/>
      <c r="EF102" s="222"/>
      <c r="EG102" s="222"/>
      <c r="EH102" s="222"/>
    </row>
    <row r="103" spans="1:138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335"/>
      <c r="AB103" s="222"/>
      <c r="AC103" s="222"/>
      <c r="AD103" s="222"/>
      <c r="AE103" s="222"/>
      <c r="AF103" s="222"/>
      <c r="AG103" s="222"/>
      <c r="AH103" s="222"/>
      <c r="AI103" s="222"/>
      <c r="AJ103" s="222"/>
      <c r="AK103" s="222"/>
      <c r="AL103" s="222"/>
      <c r="AM103" s="222"/>
      <c r="AN103" s="222"/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2"/>
      <c r="BB103" s="222"/>
      <c r="BC103" s="222"/>
      <c r="BD103" s="222"/>
      <c r="BE103" s="222"/>
      <c r="BF103" s="222"/>
      <c r="BG103" s="222"/>
      <c r="BH103" s="222"/>
      <c r="BI103" s="222"/>
      <c r="BJ103" s="222"/>
      <c r="BK103" s="222"/>
      <c r="BL103" s="222"/>
      <c r="BM103" s="222"/>
      <c r="BN103" s="222"/>
      <c r="BO103" s="222"/>
      <c r="BP103" s="222"/>
      <c r="BQ103" s="222"/>
      <c r="BR103" s="222"/>
      <c r="BS103" s="222"/>
      <c r="BT103" s="222"/>
      <c r="BU103" s="222"/>
      <c r="BV103" s="222"/>
      <c r="BW103" s="222"/>
      <c r="BX103" s="222"/>
      <c r="BY103" s="307"/>
      <c r="BZ103" s="222"/>
      <c r="CA103" s="222"/>
      <c r="CB103" s="222"/>
      <c r="CC103" s="222"/>
      <c r="CD103" s="222"/>
      <c r="CE103" s="222"/>
      <c r="CF103" s="222"/>
      <c r="CG103" s="222"/>
      <c r="CH103" s="222"/>
      <c r="CI103" s="222"/>
      <c r="CJ103" s="222"/>
      <c r="CK103" s="222"/>
      <c r="CL103" s="222"/>
      <c r="CM103" s="222"/>
      <c r="CN103" s="222"/>
      <c r="CO103" s="222"/>
      <c r="CP103" s="222"/>
      <c r="CQ103" s="222"/>
      <c r="CR103" s="222"/>
      <c r="CS103" s="222"/>
      <c r="CT103" s="222"/>
      <c r="CU103" s="222"/>
      <c r="CV103" s="222"/>
      <c r="CW103" s="222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2"/>
      <c r="DI103" s="222"/>
      <c r="DJ103" s="222"/>
      <c r="DK103" s="222"/>
      <c r="DL103" s="222"/>
      <c r="DM103" s="222"/>
      <c r="DN103" s="222"/>
      <c r="DO103" s="222"/>
      <c r="DP103" s="222"/>
      <c r="DQ103" s="222"/>
      <c r="DR103" s="222"/>
      <c r="DS103" s="222"/>
      <c r="DT103" s="222"/>
      <c r="DU103" s="222"/>
      <c r="DV103" s="222"/>
      <c r="DW103" s="222"/>
      <c r="DX103" s="222"/>
      <c r="DY103" s="222"/>
      <c r="DZ103" s="222"/>
      <c r="EA103" s="222"/>
      <c r="EB103" s="222"/>
      <c r="EC103" s="222"/>
      <c r="ED103" s="222"/>
      <c r="EE103" s="222"/>
      <c r="EF103" s="222"/>
      <c r="EG103" s="222"/>
      <c r="EH103" s="222"/>
    </row>
    <row r="104" spans="1:138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335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307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  <c r="CJ104" s="222"/>
      <c r="CK104" s="222"/>
      <c r="CL104" s="222"/>
      <c r="CM104" s="222"/>
      <c r="CN104" s="222"/>
      <c r="CO104" s="222"/>
      <c r="CP104" s="222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2"/>
      <c r="DI104" s="222"/>
      <c r="DJ104" s="222"/>
      <c r="DK104" s="222"/>
      <c r="DL104" s="222"/>
      <c r="DM104" s="222"/>
      <c r="DN104" s="222"/>
      <c r="DO104" s="222"/>
      <c r="DP104" s="222"/>
      <c r="DQ104" s="222"/>
      <c r="DR104" s="222"/>
      <c r="DS104" s="222"/>
      <c r="DT104" s="222"/>
      <c r="DU104" s="222"/>
      <c r="DV104" s="222"/>
      <c r="DW104" s="222"/>
      <c r="DX104" s="222"/>
      <c r="DY104" s="222"/>
      <c r="DZ104" s="222"/>
      <c r="EA104" s="222"/>
      <c r="EB104" s="222"/>
      <c r="EC104" s="222"/>
      <c r="ED104" s="222"/>
      <c r="EE104" s="222"/>
      <c r="EF104" s="222"/>
      <c r="EG104" s="222"/>
      <c r="EH104" s="222"/>
    </row>
    <row r="105" spans="1:138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  <c r="BB105" s="222"/>
      <c r="BC105" s="222"/>
      <c r="BD105" s="222"/>
      <c r="BE105" s="222"/>
      <c r="BF105" s="222"/>
      <c r="BG105" s="222"/>
      <c r="BH105" s="222"/>
      <c r="BI105" s="222"/>
      <c r="BJ105" s="222"/>
      <c r="BK105" s="222"/>
      <c r="BL105" s="222"/>
      <c r="BM105" s="222"/>
      <c r="BN105" s="222"/>
      <c r="BO105" s="222"/>
      <c r="BP105" s="222"/>
      <c r="BQ105" s="222"/>
      <c r="BR105" s="222"/>
      <c r="BS105" s="222"/>
      <c r="BT105" s="222"/>
      <c r="BU105" s="222"/>
      <c r="BV105" s="222"/>
      <c r="BW105" s="222"/>
      <c r="BX105" s="222"/>
      <c r="BY105" s="307"/>
      <c r="BZ105" s="222"/>
      <c r="CA105" s="222"/>
      <c r="CB105" s="222"/>
      <c r="CC105" s="222"/>
      <c r="CD105" s="222"/>
      <c r="CE105" s="222"/>
      <c r="CF105" s="222"/>
      <c r="CG105" s="222"/>
      <c r="CH105" s="222"/>
      <c r="CI105" s="222"/>
      <c r="CJ105" s="222"/>
      <c r="CK105" s="222"/>
      <c r="CL105" s="222"/>
      <c r="CM105" s="222"/>
      <c r="CN105" s="222"/>
      <c r="CO105" s="222"/>
      <c r="CP105" s="222"/>
      <c r="CQ105" s="222"/>
      <c r="CR105" s="222"/>
      <c r="CS105" s="222"/>
      <c r="CT105" s="222"/>
      <c r="CU105" s="222"/>
      <c r="CV105" s="222"/>
      <c r="CW105" s="222"/>
      <c r="CX105" s="222"/>
      <c r="CY105" s="222"/>
      <c r="CZ105" s="222"/>
      <c r="DA105" s="222"/>
      <c r="DB105" s="222"/>
      <c r="DC105" s="222"/>
      <c r="DD105" s="222"/>
      <c r="DE105" s="222"/>
      <c r="DF105" s="222"/>
      <c r="DG105" s="222"/>
      <c r="DH105" s="222"/>
      <c r="DI105" s="222"/>
      <c r="DJ105" s="222"/>
      <c r="DK105" s="222"/>
      <c r="DL105" s="222"/>
      <c r="DM105" s="222"/>
      <c r="DN105" s="222"/>
      <c r="DO105" s="222"/>
      <c r="DP105" s="222"/>
      <c r="DQ105" s="222"/>
      <c r="DR105" s="222"/>
      <c r="DS105" s="222"/>
      <c r="DT105" s="222"/>
      <c r="DU105" s="222"/>
      <c r="DV105" s="222"/>
      <c r="DW105" s="222"/>
      <c r="DX105" s="222"/>
      <c r="DY105" s="222"/>
      <c r="DZ105" s="222"/>
      <c r="EA105" s="222"/>
      <c r="EB105" s="222"/>
      <c r="EC105" s="222"/>
      <c r="ED105" s="222"/>
      <c r="EE105" s="222"/>
      <c r="EF105" s="222"/>
      <c r="EG105" s="222"/>
      <c r="EH105" s="222"/>
    </row>
    <row r="106" spans="1:138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22"/>
      <c r="BU106" s="222"/>
      <c r="BV106" s="222"/>
      <c r="BW106" s="222"/>
      <c r="BX106" s="222"/>
      <c r="BY106" s="307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  <c r="CJ106" s="222"/>
      <c r="CK106" s="222"/>
      <c r="CL106" s="222"/>
      <c r="CM106" s="222"/>
      <c r="CN106" s="222"/>
      <c r="CO106" s="222"/>
      <c r="CP106" s="222"/>
      <c r="CQ106" s="222"/>
      <c r="CR106" s="222"/>
      <c r="CS106" s="222"/>
      <c r="CT106" s="222"/>
      <c r="CU106" s="222"/>
      <c r="CV106" s="222"/>
      <c r="CW106" s="222"/>
      <c r="CX106" s="222"/>
      <c r="CY106" s="222"/>
      <c r="CZ106" s="222"/>
      <c r="DA106" s="222"/>
      <c r="DB106" s="222"/>
      <c r="DC106" s="222"/>
      <c r="DD106" s="222"/>
      <c r="DE106" s="222"/>
      <c r="DF106" s="222"/>
      <c r="DG106" s="222"/>
      <c r="DH106" s="222"/>
      <c r="DI106" s="222"/>
      <c r="DJ106" s="222"/>
      <c r="DK106" s="222"/>
      <c r="DL106" s="222"/>
      <c r="DM106" s="222"/>
      <c r="DN106" s="222"/>
      <c r="DO106" s="222"/>
      <c r="DP106" s="222"/>
      <c r="DQ106" s="222"/>
      <c r="DR106" s="222"/>
      <c r="DS106" s="222"/>
      <c r="DT106" s="222"/>
      <c r="DU106" s="222"/>
      <c r="DV106" s="222"/>
      <c r="DW106" s="222"/>
      <c r="DX106" s="222"/>
      <c r="DY106" s="222"/>
      <c r="DZ106" s="222"/>
      <c r="EA106" s="222"/>
      <c r="EB106" s="222"/>
      <c r="EC106" s="222"/>
      <c r="ED106" s="222"/>
      <c r="EE106" s="222"/>
      <c r="EF106" s="222"/>
      <c r="EG106" s="222"/>
      <c r="EH106" s="222"/>
    </row>
    <row r="107" spans="1:138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307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  <c r="CJ107" s="222"/>
      <c r="CK107" s="222"/>
      <c r="CL107" s="222"/>
      <c r="CM107" s="222"/>
      <c r="CN107" s="222"/>
      <c r="CO107" s="222"/>
      <c r="CP107" s="222"/>
      <c r="CQ107" s="222"/>
      <c r="CR107" s="222"/>
      <c r="CS107" s="222"/>
      <c r="CT107" s="222"/>
      <c r="CU107" s="222"/>
      <c r="CV107" s="222"/>
      <c r="CW107" s="222"/>
      <c r="CX107" s="222"/>
      <c r="CY107" s="222"/>
      <c r="CZ107" s="222"/>
      <c r="DA107" s="222"/>
      <c r="DB107" s="222"/>
      <c r="DC107" s="222"/>
      <c r="DD107" s="222"/>
      <c r="DE107" s="222"/>
      <c r="DF107" s="222"/>
      <c r="DG107" s="222"/>
      <c r="DH107" s="222"/>
      <c r="DI107" s="222"/>
      <c r="DJ107" s="222"/>
      <c r="DK107" s="222"/>
      <c r="DL107" s="222"/>
      <c r="DM107" s="222"/>
      <c r="DN107" s="222"/>
      <c r="DO107" s="222"/>
      <c r="DP107" s="222"/>
      <c r="DQ107" s="222"/>
      <c r="DR107" s="222"/>
      <c r="DS107" s="222"/>
      <c r="DT107" s="222"/>
      <c r="DU107" s="222"/>
      <c r="DV107" s="222"/>
      <c r="DW107" s="222"/>
      <c r="DX107" s="222"/>
      <c r="DY107" s="222"/>
      <c r="DZ107" s="222"/>
      <c r="EA107" s="222"/>
      <c r="EB107" s="222"/>
      <c r="EC107" s="222"/>
      <c r="ED107" s="222"/>
      <c r="EE107" s="222"/>
      <c r="EF107" s="222"/>
      <c r="EG107" s="222"/>
      <c r="EH107" s="222"/>
    </row>
    <row r="108" spans="1:138" hidden="1">
      <c r="A108" s="222"/>
      <c r="B108" s="222"/>
      <c r="C108" s="222"/>
      <c r="D108" s="308" t="s">
        <v>290</v>
      </c>
      <c r="E108" s="308"/>
      <c r="F108" s="308"/>
      <c r="G108" s="308"/>
      <c r="H108" s="308"/>
      <c r="I108" s="308"/>
      <c r="J108" s="308"/>
      <c r="K108" s="308"/>
      <c r="L108" s="308"/>
      <c r="M108" s="308"/>
      <c r="N108" s="308"/>
      <c r="O108" s="308"/>
      <c r="P108" s="308"/>
      <c r="Q108" s="308"/>
      <c r="R108" s="308"/>
      <c r="S108" s="308"/>
      <c r="T108" s="308"/>
      <c r="U108" s="308"/>
      <c r="V108" s="309"/>
      <c r="W108" s="309"/>
      <c r="X108" s="309"/>
      <c r="Y108" s="309"/>
      <c r="Z108" s="309"/>
      <c r="AA108" s="309"/>
      <c r="AB108" s="309"/>
      <c r="AC108" s="309"/>
      <c r="AD108" s="309"/>
      <c r="AE108" s="309"/>
      <c r="AF108" s="309"/>
      <c r="AG108" s="309"/>
      <c r="AH108" s="309"/>
      <c r="AI108" s="309"/>
      <c r="AJ108" s="309"/>
      <c r="AK108" s="309"/>
      <c r="AL108" s="309"/>
      <c r="AM108" s="309"/>
      <c r="AN108" s="309"/>
      <c r="AO108" s="309"/>
      <c r="AP108" s="309"/>
      <c r="AQ108" s="309"/>
      <c r="AR108" s="309"/>
      <c r="AS108" s="309"/>
      <c r="AT108" s="309"/>
      <c r="AU108" s="309"/>
      <c r="AV108" s="309"/>
      <c r="AW108" s="309"/>
      <c r="AX108" s="309"/>
      <c r="AY108" s="309"/>
      <c r="AZ108" s="309"/>
      <c r="BA108" s="309"/>
      <c r="BB108" s="309"/>
      <c r="BC108" s="309"/>
      <c r="BD108" s="309"/>
      <c r="BE108" s="309"/>
      <c r="BF108" s="309"/>
      <c r="BG108" s="309"/>
      <c r="BH108" s="309"/>
      <c r="BI108" s="309"/>
      <c r="BJ108" s="309"/>
      <c r="BK108" s="309"/>
      <c r="BL108" s="309"/>
      <c r="BM108" s="309"/>
      <c r="BN108" s="309"/>
      <c r="BO108" s="309"/>
      <c r="BP108" s="309"/>
      <c r="BQ108" s="309"/>
      <c r="BR108" s="309"/>
      <c r="BS108" s="309"/>
      <c r="BT108" s="309"/>
      <c r="BU108" s="309"/>
      <c r="BV108" s="309"/>
      <c r="BW108" s="309"/>
      <c r="BX108" s="309"/>
      <c r="BY108" s="307"/>
      <c r="BZ108" s="222"/>
      <c r="CA108" s="222"/>
      <c r="CB108" s="222"/>
      <c r="CC108" s="222"/>
      <c r="CD108" s="222"/>
      <c r="CE108" s="222"/>
      <c r="CF108" s="222"/>
      <c r="CG108" s="222"/>
      <c r="CH108" s="222"/>
      <c r="CI108" s="222"/>
      <c r="CJ108" s="222"/>
      <c r="CK108" s="222"/>
      <c r="CL108" s="222"/>
      <c r="CM108" s="222"/>
      <c r="CN108" s="222"/>
      <c r="CO108" s="222"/>
      <c r="CP108" s="222"/>
      <c r="CQ108" s="222"/>
      <c r="CR108" s="222"/>
      <c r="CS108" s="222"/>
      <c r="CT108" s="222"/>
      <c r="CU108" s="222"/>
      <c r="CV108" s="222"/>
      <c r="CW108" s="222"/>
      <c r="CX108" s="222"/>
      <c r="CY108" s="222"/>
      <c r="CZ108" s="222"/>
      <c r="DA108" s="222"/>
      <c r="DB108" s="222"/>
      <c r="DC108" s="222"/>
      <c r="DD108" s="222"/>
      <c r="DE108" s="222"/>
      <c r="DF108" s="222"/>
      <c r="DG108" s="222"/>
      <c r="DH108" s="222"/>
      <c r="DI108" s="222"/>
      <c r="DJ108" s="222"/>
      <c r="DK108" s="222"/>
      <c r="DL108" s="222"/>
      <c r="DM108" s="222"/>
      <c r="DN108" s="222"/>
      <c r="DO108" s="222"/>
      <c r="DP108" s="222"/>
      <c r="DQ108" s="222"/>
      <c r="DR108" s="222"/>
      <c r="DS108" s="222"/>
      <c r="DT108" s="222"/>
      <c r="DU108" s="222"/>
      <c r="DV108" s="222"/>
      <c r="DW108" s="222"/>
      <c r="DX108" s="222"/>
      <c r="DY108" s="222"/>
      <c r="DZ108" s="222"/>
      <c r="EA108" s="222"/>
      <c r="EB108" s="222"/>
      <c r="EC108" s="222"/>
      <c r="ED108" s="222"/>
      <c r="EE108" s="222"/>
      <c r="EF108" s="222"/>
      <c r="EG108" s="222"/>
      <c r="EH108" s="222"/>
    </row>
    <row r="109" spans="1:138" hidden="1">
      <c r="A109" s="222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2"/>
      <c r="AM109" s="222"/>
      <c r="AN109" s="222"/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2"/>
      <c r="BA109" s="222"/>
      <c r="BB109" s="222"/>
      <c r="BC109" s="222"/>
      <c r="BD109" s="222"/>
      <c r="BE109" s="222"/>
      <c r="BF109" s="222"/>
      <c r="BG109" s="222"/>
      <c r="BH109" s="222"/>
      <c r="BI109" s="222"/>
      <c r="BJ109" s="222"/>
      <c r="BK109" s="222"/>
      <c r="BL109" s="222"/>
      <c r="BM109" s="222"/>
      <c r="BN109" s="222"/>
      <c r="BO109" s="222"/>
      <c r="BP109" s="222"/>
      <c r="BQ109" s="222"/>
      <c r="BR109" s="222"/>
      <c r="BS109" s="222"/>
      <c r="BT109" s="222"/>
      <c r="BU109" s="222"/>
      <c r="BV109" s="222"/>
      <c r="BW109" s="222"/>
      <c r="BX109" s="222"/>
      <c r="BY109" s="307"/>
      <c r="BZ109" s="222"/>
      <c r="CA109" s="222"/>
      <c r="CB109" s="222"/>
      <c r="CC109" s="222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222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222"/>
      <c r="DA109" s="222"/>
      <c r="DB109" s="222"/>
      <c r="DC109" s="222"/>
      <c r="DD109" s="222"/>
      <c r="DE109" s="222"/>
      <c r="DF109" s="222"/>
      <c r="DG109" s="222"/>
      <c r="DH109" s="222"/>
      <c r="DI109" s="222"/>
      <c r="DJ109" s="222"/>
      <c r="DK109" s="222"/>
      <c r="DL109" s="222"/>
      <c r="DM109" s="222"/>
      <c r="DN109" s="222"/>
      <c r="DO109" s="222"/>
      <c r="DP109" s="222"/>
      <c r="DQ109" s="222"/>
      <c r="DR109" s="222"/>
      <c r="DS109" s="222"/>
      <c r="DT109" s="222"/>
      <c r="DU109" s="222"/>
      <c r="DV109" s="222"/>
      <c r="DW109" s="222"/>
      <c r="DX109" s="222"/>
      <c r="DY109" s="222"/>
      <c r="DZ109" s="222"/>
      <c r="EA109" s="222"/>
      <c r="EB109" s="222"/>
      <c r="EC109" s="222"/>
      <c r="ED109" s="222"/>
      <c r="EE109" s="222"/>
      <c r="EF109" s="222"/>
      <c r="EG109" s="222"/>
      <c r="EH109" s="222"/>
    </row>
    <row r="110" spans="1:138" hidden="1">
      <c r="A110" s="222"/>
      <c r="B110" s="222"/>
      <c r="C110" s="310" t="s">
        <v>291</v>
      </c>
      <c r="D110" s="311"/>
      <c r="E110" s="312">
        <f>E118+E136+E168+E184</f>
        <v>0</v>
      </c>
      <c r="F110" s="312">
        <f t="shared" ref="F110:BW110" si="42">F118+F184</f>
        <v>0</v>
      </c>
      <c r="G110" s="312">
        <f t="shared" si="42"/>
        <v>0</v>
      </c>
      <c r="H110" s="312">
        <f t="shared" si="42"/>
        <v>-5341205.5</v>
      </c>
      <c r="I110" s="312">
        <f t="shared" si="42"/>
        <v>0</v>
      </c>
      <c r="J110" s="312">
        <f t="shared" si="42"/>
        <v>0</v>
      </c>
      <c r="K110" s="312">
        <f t="shared" si="42"/>
        <v>-885000</v>
      </c>
      <c r="L110" s="312">
        <f t="shared" si="42"/>
        <v>-1940000</v>
      </c>
      <c r="M110" s="312">
        <f t="shared" si="42"/>
        <v>-4260000</v>
      </c>
      <c r="N110" s="312">
        <f t="shared" si="42"/>
        <v>0</v>
      </c>
      <c r="O110" s="312">
        <f t="shared" si="42"/>
        <v>-320000</v>
      </c>
      <c r="P110" s="312">
        <f t="shared" si="42"/>
        <v>-320000</v>
      </c>
      <c r="Q110" s="312">
        <f t="shared" si="42"/>
        <v>0</v>
      </c>
      <c r="R110" s="312">
        <f t="shared" si="42"/>
        <v>-670000</v>
      </c>
      <c r="S110" s="312">
        <f t="shared" si="42"/>
        <v>0</v>
      </c>
      <c r="T110" s="312">
        <f t="shared" si="42"/>
        <v>5341205.5</v>
      </c>
      <c r="U110" s="312">
        <f t="shared" si="42"/>
        <v>0</v>
      </c>
      <c r="V110" s="312">
        <f t="shared" si="42"/>
        <v>-3090000</v>
      </c>
      <c r="W110" s="312">
        <f t="shared" si="42"/>
        <v>0</v>
      </c>
      <c r="X110" s="312">
        <f t="shared" si="42"/>
        <v>0</v>
      </c>
      <c r="Y110" s="312">
        <f t="shared" si="42"/>
        <v>0</v>
      </c>
      <c r="Z110" s="312">
        <f t="shared" si="42"/>
        <v>-2000000</v>
      </c>
      <c r="AA110" s="312">
        <f t="shared" si="42"/>
        <v>0</v>
      </c>
      <c r="AB110" s="312">
        <f t="shared" si="42"/>
        <v>29850002</v>
      </c>
      <c r="AC110" s="312">
        <f t="shared" si="42"/>
        <v>0</v>
      </c>
      <c r="AD110" s="312">
        <f t="shared" si="42"/>
        <v>0</v>
      </c>
      <c r="AE110" s="312">
        <f t="shared" si="42"/>
        <v>0</v>
      </c>
      <c r="AF110" s="312">
        <f t="shared" si="42"/>
        <v>0</v>
      </c>
      <c r="AG110" s="312">
        <f t="shared" si="42"/>
        <v>0</v>
      </c>
      <c r="AH110" s="312">
        <f t="shared" si="42"/>
        <v>0</v>
      </c>
      <c r="AI110" s="312">
        <f t="shared" si="42"/>
        <v>0</v>
      </c>
      <c r="AJ110" s="312">
        <f t="shared" si="42"/>
        <v>0</v>
      </c>
      <c r="AK110" s="312">
        <f t="shared" si="42"/>
        <v>0</v>
      </c>
      <c r="AL110" s="312">
        <f t="shared" si="42"/>
        <v>0</v>
      </c>
      <c r="AM110" s="312">
        <f t="shared" si="42"/>
        <v>0</v>
      </c>
      <c r="AN110" s="312">
        <f t="shared" si="42"/>
        <v>0</v>
      </c>
      <c r="AO110" s="312">
        <f t="shared" si="42"/>
        <v>0</v>
      </c>
      <c r="AP110" s="312">
        <f t="shared" si="42"/>
        <v>0</v>
      </c>
      <c r="AQ110" s="312">
        <f t="shared" si="42"/>
        <v>0</v>
      </c>
      <c r="AR110" s="312">
        <f t="shared" si="42"/>
        <v>0</v>
      </c>
      <c r="AS110" s="312">
        <f t="shared" si="42"/>
        <v>0</v>
      </c>
      <c r="AT110" s="312">
        <f t="shared" si="42"/>
        <v>0</v>
      </c>
      <c r="AU110" s="312">
        <f t="shared" si="42"/>
        <v>0</v>
      </c>
      <c r="AV110" s="312">
        <f t="shared" si="42"/>
        <v>0</v>
      </c>
      <c r="AW110" s="312">
        <f t="shared" si="42"/>
        <v>0</v>
      </c>
      <c r="AX110" s="312">
        <f t="shared" si="42"/>
        <v>0</v>
      </c>
      <c r="AY110" s="312">
        <f t="shared" si="42"/>
        <v>0</v>
      </c>
      <c r="AZ110" s="312">
        <f t="shared" si="42"/>
        <v>0</v>
      </c>
      <c r="BA110" s="312">
        <f t="shared" si="42"/>
        <v>0</v>
      </c>
      <c r="BB110" s="312">
        <f t="shared" si="42"/>
        <v>0</v>
      </c>
      <c r="BC110" s="312">
        <f t="shared" si="42"/>
        <v>0</v>
      </c>
      <c r="BD110" s="312">
        <f t="shared" si="42"/>
        <v>0</v>
      </c>
      <c r="BE110" s="312">
        <f t="shared" si="42"/>
        <v>0</v>
      </c>
      <c r="BF110" s="312">
        <f t="shared" si="42"/>
        <v>0</v>
      </c>
      <c r="BG110" s="312">
        <f t="shared" si="42"/>
        <v>0</v>
      </c>
      <c r="BH110" s="312">
        <f t="shared" si="42"/>
        <v>0</v>
      </c>
      <c r="BI110" s="312">
        <f t="shared" si="42"/>
        <v>0</v>
      </c>
      <c r="BJ110" s="312">
        <f t="shared" si="42"/>
        <v>0</v>
      </c>
      <c r="BK110" s="312">
        <f t="shared" si="42"/>
        <v>0</v>
      </c>
      <c r="BL110" s="312">
        <f t="shared" si="42"/>
        <v>0</v>
      </c>
      <c r="BM110" s="312">
        <f t="shared" si="42"/>
        <v>0</v>
      </c>
      <c r="BN110" s="312">
        <f t="shared" si="42"/>
        <v>0</v>
      </c>
      <c r="BO110" s="312">
        <f t="shared" si="42"/>
        <v>0</v>
      </c>
      <c r="BP110" s="312">
        <f t="shared" si="42"/>
        <v>0</v>
      </c>
      <c r="BQ110" s="312">
        <f t="shared" si="42"/>
        <v>0</v>
      </c>
      <c r="BR110" s="312">
        <f t="shared" si="42"/>
        <v>0</v>
      </c>
      <c r="BS110" s="312">
        <f t="shared" si="42"/>
        <v>0</v>
      </c>
      <c r="BT110" s="312">
        <f t="shared" si="42"/>
        <v>0</v>
      </c>
      <c r="BU110" s="312">
        <f t="shared" si="42"/>
        <v>0</v>
      </c>
      <c r="BV110" s="312">
        <f t="shared" si="42"/>
        <v>0</v>
      </c>
      <c r="BW110" s="312">
        <f t="shared" si="42"/>
        <v>0</v>
      </c>
      <c r="BX110" s="312">
        <f>BX118+BX184+BX101</f>
        <v>35369164.476889789</v>
      </c>
      <c r="BY110" s="307"/>
      <c r="BZ110" s="222"/>
      <c r="CA110" s="222"/>
      <c r="CB110" s="222"/>
      <c r="CC110" s="222"/>
      <c r="CD110" s="222"/>
      <c r="CE110" s="222"/>
      <c r="CF110" s="222"/>
      <c r="CG110" s="222"/>
      <c r="CH110" s="222"/>
      <c r="CI110" s="222"/>
      <c r="CJ110" s="222"/>
      <c r="CK110" s="222"/>
      <c r="CL110" s="222"/>
      <c r="CM110" s="222"/>
      <c r="CN110" s="222"/>
      <c r="CO110" s="222"/>
      <c r="CP110" s="222"/>
      <c r="CQ110" s="222"/>
      <c r="CR110" s="222"/>
      <c r="CS110" s="222"/>
      <c r="CT110" s="222"/>
      <c r="CU110" s="222"/>
      <c r="CV110" s="222"/>
      <c r="CW110" s="222"/>
      <c r="CX110" s="222"/>
      <c r="CY110" s="222"/>
      <c r="CZ110" s="222"/>
      <c r="DA110" s="222"/>
      <c r="DB110" s="222"/>
      <c r="DC110" s="222"/>
      <c r="DD110" s="222"/>
      <c r="DE110" s="222"/>
      <c r="DF110" s="222"/>
      <c r="DG110" s="222"/>
      <c r="DH110" s="222"/>
      <c r="DI110" s="222"/>
      <c r="DJ110" s="222"/>
      <c r="DK110" s="222"/>
      <c r="DL110" s="222"/>
      <c r="DM110" s="222"/>
      <c r="DN110" s="222"/>
      <c r="DO110" s="222"/>
      <c r="DP110" s="222"/>
      <c r="DQ110" s="222"/>
      <c r="DR110" s="222"/>
      <c r="DS110" s="222"/>
      <c r="DT110" s="222"/>
      <c r="DU110" s="222"/>
      <c r="DV110" s="222"/>
      <c r="DW110" s="222"/>
      <c r="DX110" s="222"/>
      <c r="DY110" s="222"/>
      <c r="DZ110" s="222"/>
      <c r="EA110" s="222"/>
      <c r="EB110" s="222"/>
      <c r="EC110" s="222"/>
      <c r="ED110" s="222"/>
      <c r="EE110" s="222"/>
      <c r="EF110" s="222"/>
      <c r="EG110" s="222"/>
      <c r="EH110" s="222"/>
    </row>
    <row r="111" spans="1:138" hidden="1">
      <c r="A111" s="222"/>
      <c r="B111" s="222"/>
      <c r="C111" s="313" t="s">
        <v>292</v>
      </c>
      <c r="D111" s="574">
        <f>IRR(E110:BX110)*12</f>
        <v>0.66018218054068978</v>
      </c>
      <c r="E111" s="599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222"/>
      <c r="AF111" s="222"/>
      <c r="AG111" s="222"/>
      <c r="AH111" s="222"/>
      <c r="AI111" s="222"/>
      <c r="AJ111" s="222"/>
      <c r="AK111" s="222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  <c r="BB111" s="222"/>
      <c r="BC111" s="222"/>
      <c r="BD111" s="222"/>
      <c r="BE111" s="222"/>
      <c r="BF111" s="222"/>
      <c r="BG111" s="222"/>
      <c r="BH111" s="222"/>
      <c r="BI111" s="222"/>
      <c r="BJ111" s="222"/>
      <c r="BK111" s="222"/>
      <c r="BL111" s="222"/>
      <c r="BM111" s="222"/>
      <c r="BN111" s="222"/>
      <c r="BO111" s="222"/>
      <c r="BP111" s="222"/>
      <c r="BQ111" s="222"/>
      <c r="BR111" s="222"/>
      <c r="BS111" s="222"/>
      <c r="BT111" s="222"/>
      <c r="BU111" s="222"/>
      <c r="BV111" s="222"/>
      <c r="BW111" s="222"/>
      <c r="BX111" s="222"/>
      <c r="BY111" s="307"/>
      <c r="BZ111" s="222"/>
      <c r="CA111" s="222"/>
      <c r="CB111" s="222"/>
      <c r="CC111" s="222"/>
      <c r="CD111" s="222"/>
      <c r="CE111" s="222"/>
      <c r="CF111" s="222"/>
      <c r="CG111" s="222"/>
      <c r="CH111" s="222"/>
      <c r="CI111" s="222"/>
      <c r="CJ111" s="222"/>
      <c r="CK111" s="222"/>
      <c r="CL111" s="222"/>
      <c r="CM111" s="222"/>
      <c r="CN111" s="222"/>
      <c r="CO111" s="222"/>
      <c r="CP111" s="222"/>
      <c r="CQ111" s="222"/>
      <c r="CR111" s="222"/>
      <c r="CS111" s="222"/>
      <c r="CT111" s="222"/>
      <c r="CU111" s="222"/>
      <c r="CV111" s="222"/>
      <c r="CW111" s="222"/>
      <c r="CX111" s="222"/>
      <c r="CY111" s="222"/>
      <c r="CZ111" s="222"/>
      <c r="DA111" s="222"/>
      <c r="DB111" s="222"/>
      <c r="DC111" s="222"/>
      <c r="DD111" s="222"/>
      <c r="DE111" s="222"/>
      <c r="DF111" s="222"/>
      <c r="DG111" s="222"/>
      <c r="DH111" s="222"/>
      <c r="DI111" s="222"/>
      <c r="DJ111" s="222"/>
      <c r="DK111" s="222"/>
      <c r="DL111" s="222"/>
      <c r="DM111" s="222"/>
      <c r="DN111" s="222"/>
      <c r="DO111" s="222"/>
      <c r="DP111" s="222"/>
      <c r="DQ111" s="222"/>
      <c r="DR111" s="222"/>
      <c r="DS111" s="222"/>
      <c r="DT111" s="222"/>
      <c r="DU111" s="222"/>
      <c r="DV111" s="222"/>
      <c r="DW111" s="222"/>
      <c r="DX111" s="222"/>
      <c r="DY111" s="222"/>
      <c r="DZ111" s="222"/>
      <c r="EA111" s="222"/>
      <c r="EB111" s="222"/>
      <c r="EC111" s="222"/>
      <c r="ED111" s="222"/>
      <c r="EE111" s="222"/>
      <c r="EF111" s="222"/>
      <c r="EG111" s="222"/>
      <c r="EH111" s="222"/>
    </row>
    <row r="112" spans="1:138" hidden="1">
      <c r="A112" s="222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22"/>
      <c r="AD112" s="222"/>
      <c r="AE112" s="222"/>
      <c r="AF112" s="222"/>
      <c r="AG112" s="222"/>
      <c r="AH112" s="222"/>
      <c r="AI112" s="222"/>
      <c r="AJ112" s="222"/>
      <c r="AK112" s="222"/>
      <c r="AL112" s="222"/>
      <c r="AM112" s="222"/>
      <c r="AN112" s="222"/>
      <c r="AO112" s="222"/>
      <c r="AP112" s="222"/>
      <c r="AQ112" s="222"/>
      <c r="AR112" s="222"/>
      <c r="AS112" s="222"/>
      <c r="AT112" s="222"/>
      <c r="AU112" s="222"/>
      <c r="AV112" s="222"/>
      <c r="AW112" s="222"/>
      <c r="AX112" s="222"/>
      <c r="AY112" s="222"/>
      <c r="AZ112" s="222"/>
      <c r="BA112" s="222"/>
      <c r="BB112" s="222"/>
      <c r="BC112" s="222"/>
      <c r="BD112" s="222"/>
      <c r="BE112" s="222"/>
      <c r="BF112" s="222"/>
      <c r="BG112" s="222"/>
      <c r="BH112" s="222"/>
      <c r="BI112" s="222"/>
      <c r="BJ112" s="222"/>
      <c r="BK112" s="222"/>
      <c r="BL112" s="222"/>
      <c r="BM112" s="222"/>
      <c r="BN112" s="222"/>
      <c r="BO112" s="222"/>
      <c r="BP112" s="222"/>
      <c r="BQ112" s="222"/>
      <c r="BR112" s="222"/>
      <c r="BS112" s="222"/>
      <c r="BT112" s="222"/>
      <c r="BU112" s="222"/>
      <c r="BV112" s="222"/>
      <c r="BW112" s="222"/>
      <c r="BX112" s="222"/>
      <c r="BY112" s="307"/>
      <c r="BZ112" s="222"/>
      <c r="CA112" s="222"/>
      <c r="CB112" s="222"/>
      <c r="CC112" s="222"/>
      <c r="CD112" s="222"/>
      <c r="CE112" s="222"/>
      <c r="CF112" s="222"/>
      <c r="CG112" s="222"/>
      <c r="CH112" s="222"/>
      <c r="CI112" s="222"/>
      <c r="CJ112" s="222"/>
      <c r="CK112" s="222"/>
      <c r="CL112" s="222"/>
      <c r="CM112" s="222"/>
      <c r="CN112" s="222"/>
      <c r="CO112" s="222"/>
      <c r="CP112" s="222"/>
      <c r="CQ112" s="222"/>
      <c r="CR112" s="222"/>
      <c r="CS112" s="222"/>
      <c r="CT112" s="222"/>
      <c r="CU112" s="222"/>
      <c r="CV112" s="222"/>
      <c r="CW112" s="222"/>
      <c r="CX112" s="222"/>
      <c r="CY112" s="222"/>
      <c r="CZ112" s="222"/>
      <c r="DA112" s="222"/>
      <c r="DB112" s="222"/>
      <c r="DC112" s="222"/>
      <c r="DD112" s="222"/>
      <c r="DE112" s="222"/>
      <c r="DF112" s="222"/>
      <c r="DG112" s="222"/>
      <c r="DH112" s="222"/>
      <c r="DI112" s="222"/>
      <c r="DJ112" s="222"/>
      <c r="DK112" s="222"/>
      <c r="DL112" s="222"/>
      <c r="DM112" s="222"/>
      <c r="DN112" s="222"/>
      <c r="DO112" s="222"/>
      <c r="DP112" s="222"/>
      <c r="DQ112" s="222"/>
      <c r="DR112" s="222"/>
      <c r="DS112" s="222"/>
      <c r="DT112" s="222"/>
      <c r="DU112" s="222"/>
      <c r="DV112" s="222"/>
      <c r="DW112" s="222"/>
      <c r="DX112" s="222"/>
      <c r="DY112" s="222"/>
      <c r="DZ112" s="222"/>
      <c r="EA112" s="222"/>
      <c r="EB112" s="222"/>
      <c r="EC112" s="222"/>
      <c r="ED112" s="222"/>
      <c r="EE112" s="222"/>
      <c r="EF112" s="222"/>
      <c r="EG112" s="222"/>
      <c r="EH112" s="222"/>
    </row>
    <row r="113" spans="1:138" hidden="1">
      <c r="A113" s="222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22"/>
      <c r="AD113" s="222"/>
      <c r="AE113" s="222"/>
      <c r="AF113" s="222"/>
      <c r="AG113" s="222"/>
      <c r="AH113" s="222"/>
      <c r="AI113" s="222"/>
      <c r="AJ113" s="222"/>
      <c r="AK113" s="222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  <c r="BB113" s="222"/>
      <c r="BC113" s="222"/>
      <c r="BD113" s="222"/>
      <c r="BE113" s="222"/>
      <c r="BF113" s="222"/>
      <c r="BG113" s="222"/>
      <c r="BH113" s="222"/>
      <c r="BI113" s="222"/>
      <c r="BJ113" s="222"/>
      <c r="BK113" s="222"/>
      <c r="BL113" s="222"/>
      <c r="BM113" s="222"/>
      <c r="BN113" s="222"/>
      <c r="BO113" s="222"/>
      <c r="BP113" s="222"/>
      <c r="BQ113" s="222"/>
      <c r="BR113" s="222"/>
      <c r="BS113" s="222"/>
      <c r="BT113" s="222"/>
      <c r="BU113" s="222"/>
      <c r="BV113" s="222"/>
      <c r="BW113" s="222"/>
      <c r="BX113" s="222"/>
      <c r="BY113" s="307"/>
      <c r="BZ113" s="222"/>
      <c r="CA113" s="222"/>
      <c r="CB113" s="222"/>
      <c r="CC113" s="222"/>
      <c r="CD113" s="222"/>
      <c r="CE113" s="222"/>
      <c r="CF113" s="222"/>
      <c r="CG113" s="222"/>
      <c r="CH113" s="222"/>
      <c r="CI113" s="222"/>
      <c r="CJ113" s="222"/>
      <c r="CK113" s="222"/>
      <c r="CL113" s="222"/>
      <c r="CM113" s="222"/>
      <c r="CN113" s="222"/>
      <c r="CO113" s="222"/>
      <c r="CP113" s="222"/>
      <c r="CQ113" s="222"/>
      <c r="CR113" s="222"/>
      <c r="CS113" s="222"/>
      <c r="CT113" s="222"/>
      <c r="CU113" s="222"/>
      <c r="CV113" s="222"/>
      <c r="CW113" s="222"/>
      <c r="CX113" s="222"/>
      <c r="CY113" s="222"/>
      <c r="CZ113" s="222"/>
      <c r="DA113" s="222"/>
      <c r="DB113" s="222"/>
      <c r="DC113" s="222"/>
      <c r="DD113" s="222"/>
      <c r="DE113" s="222"/>
      <c r="DF113" s="222"/>
      <c r="DG113" s="222"/>
      <c r="DH113" s="222"/>
      <c r="DI113" s="222"/>
      <c r="DJ113" s="222"/>
      <c r="DK113" s="222"/>
      <c r="DL113" s="222"/>
      <c r="DM113" s="222"/>
      <c r="DN113" s="222"/>
      <c r="DO113" s="222"/>
      <c r="DP113" s="222"/>
      <c r="DQ113" s="222"/>
      <c r="DR113" s="222"/>
      <c r="DS113" s="222"/>
      <c r="DT113" s="222"/>
      <c r="DU113" s="222"/>
      <c r="DV113" s="222"/>
      <c r="DW113" s="222"/>
      <c r="DX113" s="222"/>
      <c r="DY113" s="222"/>
      <c r="DZ113" s="222"/>
      <c r="EA113" s="222"/>
      <c r="EB113" s="222"/>
      <c r="EC113" s="222"/>
      <c r="ED113" s="222"/>
      <c r="EE113" s="222"/>
      <c r="EF113" s="222"/>
      <c r="EG113" s="222"/>
      <c r="EH113" s="222"/>
    </row>
    <row r="114" spans="1:138" ht="17.100000000000001" hidden="1">
      <c r="A114" s="222"/>
      <c r="B114" s="222"/>
      <c r="C114" s="310" t="s">
        <v>293</v>
      </c>
      <c r="D114" s="604"/>
      <c r="E114" s="598"/>
      <c r="F114" s="598"/>
      <c r="G114" s="598"/>
      <c r="H114" s="598"/>
      <c r="I114" s="598"/>
      <c r="J114" s="598"/>
      <c r="K114" s="598"/>
      <c r="L114" s="598"/>
      <c r="M114" s="598"/>
      <c r="N114" s="598"/>
      <c r="O114" s="598"/>
      <c r="P114" s="598"/>
      <c r="Q114" s="598"/>
      <c r="R114" s="598"/>
      <c r="S114" s="598"/>
      <c r="T114" s="598"/>
      <c r="U114" s="598"/>
      <c r="V114" s="598"/>
      <c r="W114" s="598"/>
      <c r="X114" s="598"/>
      <c r="Y114" s="598"/>
      <c r="Z114" s="598"/>
      <c r="AA114" s="598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598"/>
      <c r="AP114" s="598"/>
      <c r="AQ114" s="598"/>
      <c r="AR114" s="598"/>
      <c r="AS114" s="598"/>
      <c r="AT114" s="598"/>
      <c r="AU114" s="598"/>
      <c r="AV114" s="598"/>
      <c r="AW114" s="598"/>
      <c r="AX114" s="598"/>
      <c r="AY114" s="598"/>
      <c r="AZ114" s="598"/>
      <c r="BA114" s="598"/>
      <c r="BB114" s="598"/>
      <c r="BC114" s="598"/>
      <c r="BD114" s="598"/>
      <c r="BE114" s="598"/>
      <c r="BF114" s="598"/>
      <c r="BG114" s="598"/>
      <c r="BH114" s="598"/>
      <c r="BI114" s="598"/>
      <c r="BJ114" s="598"/>
      <c r="BK114" s="598"/>
      <c r="BL114" s="598"/>
      <c r="BM114" s="598"/>
      <c r="BN114" s="598"/>
      <c r="BO114" s="598"/>
      <c r="BP114" s="598"/>
      <c r="BQ114" s="598"/>
      <c r="BR114" s="598"/>
      <c r="BS114" s="598"/>
      <c r="BT114" s="598"/>
      <c r="BU114" s="598"/>
      <c r="BV114" s="598"/>
      <c r="BW114" s="599"/>
      <c r="BX114" s="315">
        <f>BX101*C115</f>
        <v>7073832.8953779582</v>
      </c>
      <c r="BY114" s="307"/>
      <c r="BZ114" s="222"/>
      <c r="CA114" s="222"/>
      <c r="CB114" s="222"/>
      <c r="CC114" s="222"/>
      <c r="CD114" s="222"/>
      <c r="CE114" s="222"/>
      <c r="CF114" s="222"/>
      <c r="CG114" s="222"/>
      <c r="CH114" s="222"/>
      <c r="CI114" s="222"/>
      <c r="CJ114" s="222"/>
      <c r="CK114" s="222"/>
      <c r="CL114" s="222"/>
      <c r="CM114" s="222"/>
      <c r="CN114" s="222"/>
      <c r="CO114" s="222"/>
      <c r="CP114" s="222"/>
      <c r="CQ114" s="222"/>
      <c r="CR114" s="222"/>
      <c r="CS114" s="222"/>
      <c r="CT114" s="222"/>
      <c r="CU114" s="222"/>
      <c r="CV114" s="222"/>
      <c r="CW114" s="222"/>
      <c r="CX114" s="222"/>
      <c r="CY114" s="222"/>
      <c r="CZ114" s="222"/>
      <c r="DA114" s="222"/>
      <c r="DB114" s="222"/>
      <c r="DC114" s="222"/>
      <c r="DD114" s="222"/>
      <c r="DE114" s="222"/>
      <c r="DF114" s="222"/>
      <c r="DG114" s="222"/>
      <c r="DH114" s="222"/>
      <c r="DI114" s="222"/>
      <c r="DJ114" s="222"/>
      <c r="DK114" s="222"/>
      <c r="DL114" s="222"/>
      <c r="DM114" s="222"/>
      <c r="DN114" s="222"/>
      <c r="DO114" s="222"/>
      <c r="DP114" s="222"/>
      <c r="DQ114" s="222"/>
      <c r="DR114" s="222"/>
      <c r="DS114" s="222"/>
      <c r="DT114" s="222"/>
      <c r="DU114" s="222"/>
      <c r="DV114" s="222"/>
      <c r="DW114" s="222"/>
      <c r="DX114" s="222"/>
      <c r="DY114" s="222"/>
      <c r="DZ114" s="222"/>
      <c r="EA114" s="222"/>
      <c r="EB114" s="222"/>
      <c r="EC114" s="222"/>
      <c r="ED114" s="222"/>
      <c r="EE114" s="222"/>
      <c r="EF114" s="222"/>
      <c r="EG114" s="222"/>
      <c r="EH114" s="222"/>
    </row>
    <row r="115" spans="1:138" ht="18.95" hidden="1">
      <c r="A115" s="222"/>
      <c r="B115" s="222"/>
      <c r="C115" s="316">
        <v>0.2</v>
      </c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22"/>
      <c r="AD115" s="222"/>
      <c r="AE115" s="222"/>
      <c r="AF115" s="222"/>
      <c r="AG115" s="222"/>
      <c r="AH115" s="222"/>
      <c r="AI115" s="222"/>
      <c r="AJ115" s="222"/>
      <c r="AK115" s="222"/>
      <c r="AL115" s="222"/>
      <c r="AM115" s="222"/>
      <c r="AN115" s="222"/>
      <c r="AO115" s="222"/>
      <c r="AP115" s="222"/>
      <c r="AQ115" s="222"/>
      <c r="AR115" s="222"/>
      <c r="AS115" s="222"/>
      <c r="AT115" s="222"/>
      <c r="AU115" s="222"/>
      <c r="AV115" s="222"/>
      <c r="AW115" s="222"/>
      <c r="AX115" s="222"/>
      <c r="AY115" s="222"/>
      <c r="AZ115" s="222"/>
      <c r="BA115" s="222"/>
      <c r="BB115" s="222"/>
      <c r="BC115" s="222"/>
      <c r="BD115" s="222"/>
      <c r="BE115" s="222"/>
      <c r="BF115" s="222"/>
      <c r="BG115" s="222"/>
      <c r="BH115" s="222"/>
      <c r="BI115" s="222"/>
      <c r="BJ115" s="222"/>
      <c r="BK115" s="222"/>
      <c r="BL115" s="222"/>
      <c r="BM115" s="222"/>
      <c r="BN115" s="222"/>
      <c r="BO115" s="222"/>
      <c r="BP115" s="222"/>
      <c r="BQ115" s="222"/>
      <c r="BR115" s="222"/>
      <c r="BS115" s="222"/>
      <c r="BT115" s="222"/>
      <c r="BU115" s="222"/>
      <c r="BV115" s="222"/>
      <c r="BW115" s="222"/>
      <c r="BX115" s="222"/>
      <c r="BY115" s="307"/>
      <c r="BZ115" s="222"/>
      <c r="CA115" s="222"/>
      <c r="CB115" s="222"/>
      <c r="CC115" s="222"/>
      <c r="CD115" s="222"/>
      <c r="CE115" s="222"/>
      <c r="CF115" s="222"/>
      <c r="CG115" s="222"/>
      <c r="CH115" s="222"/>
      <c r="CI115" s="222"/>
      <c r="CJ115" s="222"/>
      <c r="CK115" s="222"/>
      <c r="CL115" s="222"/>
      <c r="CM115" s="222"/>
      <c r="CN115" s="222"/>
      <c r="CO115" s="222"/>
      <c r="CP115" s="222"/>
      <c r="CQ115" s="222"/>
      <c r="CR115" s="222"/>
      <c r="CS115" s="222"/>
      <c r="CT115" s="222"/>
      <c r="CU115" s="222"/>
      <c r="CV115" s="222"/>
      <c r="CW115" s="222"/>
      <c r="CX115" s="222"/>
      <c r="CY115" s="222"/>
      <c r="CZ115" s="222"/>
      <c r="DA115" s="222"/>
      <c r="DB115" s="222"/>
      <c r="DC115" s="222"/>
      <c r="DD115" s="222"/>
      <c r="DE115" s="222"/>
      <c r="DF115" s="222"/>
      <c r="DG115" s="222"/>
      <c r="DH115" s="222"/>
      <c r="DI115" s="222"/>
      <c r="DJ115" s="222"/>
      <c r="DK115" s="222"/>
      <c r="DL115" s="222"/>
      <c r="DM115" s="222"/>
      <c r="DN115" s="222"/>
      <c r="DO115" s="222"/>
      <c r="DP115" s="222"/>
      <c r="DQ115" s="222"/>
      <c r="DR115" s="222"/>
      <c r="DS115" s="222"/>
      <c r="DT115" s="222"/>
      <c r="DU115" s="222"/>
      <c r="DV115" s="222"/>
      <c r="DW115" s="222"/>
      <c r="DX115" s="222"/>
      <c r="DY115" s="222"/>
      <c r="DZ115" s="222"/>
      <c r="EA115" s="222"/>
      <c r="EB115" s="222"/>
      <c r="EC115" s="222"/>
      <c r="ED115" s="222"/>
      <c r="EE115" s="222"/>
      <c r="EF115" s="222"/>
      <c r="EG115" s="222"/>
      <c r="EH115" s="222"/>
    </row>
    <row r="116" spans="1:138" hidden="1">
      <c r="A116" s="222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22"/>
      <c r="AD116" s="222"/>
      <c r="AE116" s="222"/>
      <c r="AF116" s="222"/>
      <c r="AG116" s="222"/>
      <c r="AH116" s="222"/>
      <c r="AI116" s="222"/>
      <c r="AJ116" s="222"/>
      <c r="AK116" s="222"/>
      <c r="AL116" s="222"/>
      <c r="AM116" s="222"/>
      <c r="AN116" s="222"/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2"/>
      <c r="BB116" s="222"/>
      <c r="BC116" s="222"/>
      <c r="BD116" s="222"/>
      <c r="BE116" s="222"/>
      <c r="BF116" s="222"/>
      <c r="BG116" s="222"/>
      <c r="BH116" s="222"/>
      <c r="BI116" s="222"/>
      <c r="BJ116" s="222"/>
      <c r="BK116" s="222"/>
      <c r="BL116" s="222"/>
      <c r="BM116" s="222"/>
      <c r="BN116" s="222"/>
      <c r="BO116" s="222"/>
      <c r="BP116" s="222"/>
      <c r="BQ116" s="222"/>
      <c r="BR116" s="222"/>
      <c r="BS116" s="222"/>
      <c r="BT116" s="222"/>
      <c r="BU116" s="222"/>
      <c r="BV116" s="222"/>
      <c r="BW116" s="222"/>
      <c r="BX116" s="222"/>
      <c r="BY116" s="307"/>
      <c r="BZ116" s="222"/>
      <c r="CA116" s="222"/>
      <c r="CB116" s="222"/>
      <c r="CC116" s="222"/>
      <c r="CD116" s="222"/>
      <c r="CE116" s="222"/>
      <c r="CF116" s="222"/>
      <c r="CG116" s="222"/>
      <c r="CH116" s="222"/>
      <c r="CI116" s="222"/>
      <c r="CJ116" s="222"/>
      <c r="CK116" s="222"/>
      <c r="CL116" s="222"/>
      <c r="CM116" s="222"/>
      <c r="CN116" s="222"/>
      <c r="CO116" s="222"/>
      <c r="CP116" s="222"/>
      <c r="CQ116" s="222"/>
      <c r="CR116" s="222"/>
      <c r="CS116" s="222"/>
      <c r="CT116" s="222"/>
      <c r="CU116" s="222"/>
      <c r="CV116" s="222"/>
      <c r="CW116" s="222"/>
      <c r="CX116" s="222"/>
      <c r="CY116" s="222"/>
      <c r="CZ116" s="222"/>
      <c r="DA116" s="222"/>
      <c r="DB116" s="222"/>
      <c r="DC116" s="222"/>
      <c r="DD116" s="222"/>
      <c r="DE116" s="222"/>
      <c r="DF116" s="222"/>
      <c r="DG116" s="222"/>
      <c r="DH116" s="222"/>
      <c r="DI116" s="222"/>
      <c r="DJ116" s="222"/>
      <c r="DK116" s="222"/>
      <c r="DL116" s="222"/>
      <c r="DM116" s="222"/>
      <c r="DN116" s="222"/>
      <c r="DO116" s="222"/>
      <c r="DP116" s="222"/>
      <c r="DQ116" s="222"/>
      <c r="DR116" s="222"/>
      <c r="DS116" s="222"/>
      <c r="DT116" s="222"/>
      <c r="DU116" s="222"/>
      <c r="DV116" s="222"/>
      <c r="DW116" s="222"/>
      <c r="DX116" s="222"/>
      <c r="DY116" s="222"/>
      <c r="DZ116" s="222"/>
      <c r="EA116" s="222"/>
      <c r="EB116" s="222"/>
      <c r="EC116" s="222"/>
      <c r="ED116" s="222"/>
      <c r="EE116" s="222"/>
      <c r="EF116" s="222"/>
      <c r="EG116" s="222"/>
      <c r="EH116" s="222"/>
    </row>
    <row r="117" spans="1:138">
      <c r="A117" s="222"/>
      <c r="B117" s="222"/>
      <c r="C117" s="317"/>
      <c r="D117" s="317"/>
      <c r="E117" s="317"/>
      <c r="F117" s="317"/>
      <c r="G117" s="317"/>
      <c r="H117" s="317"/>
      <c r="I117" s="317"/>
      <c r="J117" s="317"/>
      <c r="K117" s="317"/>
      <c r="L117" s="317"/>
      <c r="M117" s="317"/>
      <c r="N117" s="317"/>
      <c r="O117" s="317"/>
      <c r="P117" s="317"/>
      <c r="Q117" s="317"/>
      <c r="R117" s="317"/>
      <c r="S117" s="317"/>
      <c r="T117" s="317"/>
      <c r="U117" s="317"/>
      <c r="V117" s="317"/>
      <c r="W117" s="317"/>
      <c r="X117" s="317"/>
      <c r="Y117" s="317"/>
      <c r="Z117" s="317"/>
      <c r="AA117" s="317"/>
      <c r="AB117" s="317"/>
      <c r="AC117" s="317"/>
      <c r="AD117" s="317"/>
      <c r="AE117" s="317"/>
      <c r="AF117" s="317"/>
      <c r="AG117" s="317"/>
      <c r="AH117" s="317"/>
      <c r="AI117" s="317"/>
      <c r="AJ117" s="317"/>
      <c r="AK117" s="317"/>
      <c r="AL117" s="317"/>
      <c r="AM117" s="317"/>
      <c r="AN117" s="317"/>
      <c r="AO117" s="317"/>
      <c r="AP117" s="317"/>
      <c r="AQ117" s="317"/>
      <c r="AR117" s="317"/>
      <c r="AS117" s="317"/>
      <c r="AT117" s="317"/>
      <c r="AU117" s="317"/>
      <c r="AV117" s="317"/>
      <c r="AW117" s="317"/>
      <c r="AX117" s="317"/>
      <c r="AY117" s="317"/>
      <c r="AZ117" s="317"/>
      <c r="BA117" s="317"/>
      <c r="BB117" s="317"/>
      <c r="BC117" s="317"/>
      <c r="BD117" s="317"/>
      <c r="BE117" s="317"/>
      <c r="BF117" s="317"/>
      <c r="BG117" s="317"/>
      <c r="BH117" s="317"/>
      <c r="BI117" s="317"/>
      <c r="BJ117" s="317"/>
      <c r="BK117" s="317"/>
      <c r="BL117" s="317"/>
      <c r="BM117" s="222"/>
      <c r="BN117" s="222"/>
      <c r="BO117" s="222"/>
      <c r="BP117" s="222"/>
      <c r="BQ117" s="222"/>
      <c r="BR117" s="222"/>
      <c r="BS117" s="222"/>
      <c r="BT117" s="222"/>
      <c r="BU117" s="222"/>
      <c r="BV117" s="222"/>
      <c r="BW117" s="222"/>
      <c r="BX117" s="222"/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</row>
    <row r="118" spans="1:138">
      <c r="A118" s="222"/>
      <c r="B118" s="318"/>
      <c r="C118" s="310" t="s">
        <v>294</v>
      </c>
      <c r="D118" s="311"/>
      <c r="E118" s="312">
        <f t="shared" ref="E118:G118" si="43">-(E5+E6+E91+E92)</f>
        <v>0</v>
      </c>
      <c r="F118" s="312">
        <f t="shared" si="43"/>
        <v>0</v>
      </c>
      <c r="G118" s="312">
        <f t="shared" si="43"/>
        <v>0</v>
      </c>
      <c r="H118" s="312">
        <f>-(+H6+H91+H92)</f>
        <v>0</v>
      </c>
      <c r="I118" s="312">
        <f t="shared" ref="I118:BM118" si="44">-(I5+I6+I91+I92)</f>
        <v>0</v>
      </c>
      <c r="J118" s="312">
        <f t="shared" si="44"/>
        <v>0</v>
      </c>
      <c r="K118" s="312">
        <f t="shared" si="44"/>
        <v>-885000</v>
      </c>
      <c r="L118" s="312">
        <f t="shared" si="44"/>
        <v>-1940000</v>
      </c>
      <c r="M118" s="312">
        <f t="shared" si="44"/>
        <v>-4260000</v>
      </c>
      <c r="N118" s="312">
        <f t="shared" si="44"/>
        <v>0</v>
      </c>
      <c r="O118" s="312">
        <f t="shared" si="44"/>
        <v>-320000</v>
      </c>
      <c r="P118" s="312">
        <f t="shared" si="44"/>
        <v>-320000</v>
      </c>
      <c r="Q118" s="312">
        <f t="shared" si="44"/>
        <v>0</v>
      </c>
      <c r="R118" s="312">
        <f t="shared" si="44"/>
        <v>-670000</v>
      </c>
      <c r="S118" s="312">
        <f t="shared" si="44"/>
        <v>0</v>
      </c>
      <c r="T118" s="312">
        <f t="shared" si="44"/>
        <v>0</v>
      </c>
      <c r="U118" s="312">
        <f t="shared" si="44"/>
        <v>0</v>
      </c>
      <c r="V118" s="312">
        <f t="shared" si="44"/>
        <v>-3090000</v>
      </c>
      <c r="W118" s="312">
        <f t="shared" si="44"/>
        <v>0</v>
      </c>
      <c r="X118" s="312">
        <f t="shared" si="44"/>
        <v>0</v>
      </c>
      <c r="Y118" s="312">
        <f t="shared" si="44"/>
        <v>0</v>
      </c>
      <c r="Z118" s="312">
        <f t="shared" si="44"/>
        <v>-2000000</v>
      </c>
      <c r="AA118" s="312">
        <f t="shared" si="44"/>
        <v>0</v>
      </c>
      <c r="AB118" s="312">
        <f t="shared" si="44"/>
        <v>29850002</v>
      </c>
      <c r="AC118" s="312">
        <f t="shared" si="44"/>
        <v>0</v>
      </c>
      <c r="AD118" s="312">
        <f t="shared" si="44"/>
        <v>0</v>
      </c>
      <c r="AE118" s="312">
        <f t="shared" si="44"/>
        <v>0</v>
      </c>
      <c r="AF118" s="312">
        <f t="shared" si="44"/>
        <v>0</v>
      </c>
      <c r="AG118" s="312">
        <f t="shared" si="44"/>
        <v>0</v>
      </c>
      <c r="AH118" s="312">
        <f t="shared" si="44"/>
        <v>0</v>
      </c>
      <c r="AI118" s="312">
        <f t="shared" si="44"/>
        <v>0</v>
      </c>
      <c r="AJ118" s="312">
        <f t="shared" si="44"/>
        <v>0</v>
      </c>
      <c r="AK118" s="312">
        <f t="shared" si="44"/>
        <v>0</v>
      </c>
      <c r="AL118" s="312">
        <f t="shared" si="44"/>
        <v>0</v>
      </c>
      <c r="AM118" s="312">
        <f t="shared" si="44"/>
        <v>0</v>
      </c>
      <c r="AN118" s="312">
        <f t="shared" si="44"/>
        <v>0</v>
      </c>
      <c r="AO118" s="312">
        <f t="shared" si="44"/>
        <v>0</v>
      </c>
      <c r="AP118" s="312">
        <f t="shared" si="44"/>
        <v>0</v>
      </c>
      <c r="AQ118" s="312">
        <f t="shared" si="44"/>
        <v>0</v>
      </c>
      <c r="AR118" s="312">
        <f t="shared" si="44"/>
        <v>0</v>
      </c>
      <c r="AS118" s="312">
        <f t="shared" si="44"/>
        <v>0</v>
      </c>
      <c r="AT118" s="312">
        <f t="shared" si="44"/>
        <v>0</v>
      </c>
      <c r="AU118" s="312">
        <f t="shared" si="44"/>
        <v>0</v>
      </c>
      <c r="AV118" s="312">
        <f t="shared" si="44"/>
        <v>0</v>
      </c>
      <c r="AW118" s="312">
        <f t="shared" si="44"/>
        <v>0</v>
      </c>
      <c r="AX118" s="312">
        <f t="shared" si="44"/>
        <v>0</v>
      </c>
      <c r="AY118" s="312">
        <f t="shared" si="44"/>
        <v>0</v>
      </c>
      <c r="AZ118" s="312">
        <f t="shared" si="44"/>
        <v>0</v>
      </c>
      <c r="BA118" s="312">
        <f t="shared" si="44"/>
        <v>0</v>
      </c>
      <c r="BB118" s="312">
        <f t="shared" si="44"/>
        <v>0</v>
      </c>
      <c r="BC118" s="312">
        <f t="shared" si="44"/>
        <v>0</v>
      </c>
      <c r="BD118" s="312">
        <f t="shared" si="44"/>
        <v>0</v>
      </c>
      <c r="BE118" s="312">
        <f t="shared" si="44"/>
        <v>0</v>
      </c>
      <c r="BF118" s="312">
        <f t="shared" si="44"/>
        <v>0</v>
      </c>
      <c r="BG118" s="312">
        <f t="shared" si="44"/>
        <v>0</v>
      </c>
      <c r="BH118" s="312">
        <f t="shared" si="44"/>
        <v>0</v>
      </c>
      <c r="BI118" s="312">
        <f t="shared" si="44"/>
        <v>0</v>
      </c>
      <c r="BJ118" s="312">
        <f t="shared" si="44"/>
        <v>0</v>
      </c>
      <c r="BK118" s="312">
        <f t="shared" si="44"/>
        <v>0</v>
      </c>
      <c r="BL118" s="312">
        <f t="shared" si="44"/>
        <v>0</v>
      </c>
      <c r="BM118" s="312">
        <f t="shared" si="44"/>
        <v>0</v>
      </c>
      <c r="BN118" s="312">
        <f t="shared" ref="BN118:BX118" si="45">-(BN5+BN91)</f>
        <v>0</v>
      </c>
      <c r="BO118" s="312">
        <f t="shared" si="45"/>
        <v>0</v>
      </c>
      <c r="BP118" s="312">
        <f t="shared" si="45"/>
        <v>0</v>
      </c>
      <c r="BQ118" s="312">
        <f t="shared" si="45"/>
        <v>0</v>
      </c>
      <c r="BR118" s="312">
        <f t="shared" si="45"/>
        <v>0</v>
      </c>
      <c r="BS118" s="312">
        <f t="shared" si="45"/>
        <v>0</v>
      </c>
      <c r="BT118" s="312">
        <f t="shared" si="45"/>
        <v>0</v>
      </c>
      <c r="BU118" s="312">
        <f t="shared" si="45"/>
        <v>0</v>
      </c>
      <c r="BV118" s="312">
        <f t="shared" si="45"/>
        <v>0</v>
      </c>
      <c r="BW118" s="312">
        <f t="shared" si="45"/>
        <v>0</v>
      </c>
      <c r="BX118" s="312">
        <f t="shared" si="45"/>
        <v>0</v>
      </c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  <c r="CJ118" s="222"/>
      <c r="CK118" s="222"/>
      <c r="CL118" s="222"/>
      <c r="CM118" s="222"/>
      <c r="CN118" s="222"/>
      <c r="CO118" s="222"/>
      <c r="CP118" s="222"/>
      <c r="CQ118" s="222"/>
      <c r="CR118" s="222"/>
      <c r="CS118" s="222"/>
      <c r="CT118" s="222"/>
      <c r="CU118" s="222"/>
      <c r="CV118" s="222"/>
      <c r="CW118" s="222"/>
      <c r="CX118" s="222"/>
      <c r="CY118" s="222"/>
      <c r="CZ118" s="222"/>
      <c r="DA118" s="222"/>
      <c r="DB118" s="222"/>
      <c r="DC118" s="222"/>
      <c r="DD118" s="222"/>
      <c r="DE118" s="222"/>
      <c r="DF118" s="222"/>
      <c r="DG118" s="222"/>
      <c r="DH118" s="222"/>
      <c r="DI118" s="222"/>
      <c r="DJ118" s="222"/>
      <c r="DK118" s="222"/>
      <c r="DL118" s="222"/>
      <c r="DM118" s="222"/>
      <c r="DN118" s="222"/>
      <c r="DO118" s="222"/>
      <c r="DP118" s="222"/>
      <c r="DQ118" s="222"/>
      <c r="DR118" s="222"/>
      <c r="DS118" s="222"/>
      <c r="DT118" s="222"/>
      <c r="DU118" s="222"/>
      <c r="DV118" s="222"/>
      <c r="DW118" s="222"/>
      <c r="DX118" s="222"/>
      <c r="DY118" s="222"/>
      <c r="DZ118" s="222"/>
      <c r="EA118" s="222"/>
      <c r="EB118" s="222"/>
      <c r="EC118" s="222"/>
      <c r="ED118" s="222"/>
      <c r="EE118" s="222"/>
      <c r="EF118" s="222"/>
      <c r="EG118" s="222"/>
      <c r="EH118" s="222"/>
    </row>
    <row r="119" spans="1:138">
      <c r="A119" s="222"/>
      <c r="B119" s="318"/>
      <c r="C119" s="310" t="s">
        <v>295</v>
      </c>
      <c r="D119" s="319"/>
      <c r="E119" s="311"/>
      <c r="F119" s="311"/>
      <c r="G119" s="311"/>
      <c r="H119" s="311">
        <f>-Businessplan_prodej!F9</f>
        <v>-8333333</v>
      </c>
      <c r="I119" s="311"/>
      <c r="J119" s="311"/>
      <c r="K119" s="311"/>
      <c r="L119" s="311"/>
      <c r="M119" s="311"/>
      <c r="N119" s="311"/>
      <c r="O119" s="311">
        <f>-2640840</f>
        <v>-2640840</v>
      </c>
      <c r="P119" s="311"/>
      <c r="Q119" s="311"/>
      <c r="R119" s="311"/>
      <c r="S119" s="311"/>
      <c r="T119" s="311"/>
      <c r="U119" s="311"/>
      <c r="V119" s="311"/>
      <c r="W119" s="311"/>
      <c r="X119" s="311">
        <f>-1400000</f>
        <v>-1400000</v>
      </c>
      <c r="Y119" s="311"/>
      <c r="Z119" s="311"/>
      <c r="AA119" s="311"/>
      <c r="AB119" s="311"/>
      <c r="AC119" s="311"/>
      <c r="AD119" s="311"/>
      <c r="AE119" s="311"/>
      <c r="AF119" s="311"/>
      <c r="AG119" s="311"/>
      <c r="AH119" s="311"/>
      <c r="AI119" s="311"/>
      <c r="AJ119" s="311"/>
      <c r="AK119" s="311"/>
      <c r="AL119" s="311"/>
      <c r="AM119" s="311"/>
      <c r="AN119" s="311"/>
      <c r="AO119" s="311"/>
      <c r="AP119" s="311"/>
      <c r="AQ119" s="311"/>
      <c r="AR119" s="311"/>
      <c r="AS119" s="311"/>
      <c r="AT119" s="311"/>
      <c r="AU119" s="311"/>
      <c r="AV119" s="311"/>
      <c r="AW119" s="311"/>
      <c r="AX119" s="311"/>
      <c r="AY119" s="311"/>
      <c r="AZ119" s="311"/>
      <c r="BA119" s="311"/>
      <c r="BB119" s="311"/>
      <c r="BC119" s="311"/>
      <c r="BD119" s="311"/>
      <c r="BE119" s="311"/>
      <c r="BF119" s="311"/>
      <c r="BG119" s="311"/>
      <c r="BH119" s="311"/>
      <c r="BI119" s="311"/>
      <c r="BJ119" s="311"/>
      <c r="BK119" s="311"/>
      <c r="BL119" s="311"/>
      <c r="BM119" s="311"/>
      <c r="BN119" s="311"/>
      <c r="BO119" s="311"/>
      <c r="BP119" s="311"/>
      <c r="BQ119" s="311"/>
      <c r="BR119" s="311"/>
      <c r="BS119" s="311"/>
      <c r="BT119" s="311"/>
      <c r="BU119" s="311"/>
      <c r="BV119" s="311"/>
      <c r="BW119" s="311"/>
      <c r="BX119" s="311"/>
      <c r="BY119" s="222"/>
      <c r="BZ119" s="222"/>
      <c r="CA119" s="222"/>
      <c r="CB119" s="222"/>
      <c r="CC119" s="222"/>
      <c r="CD119" s="222"/>
      <c r="CE119" s="222"/>
      <c r="CF119" s="222"/>
      <c r="CG119" s="222"/>
      <c r="CH119" s="222"/>
      <c r="CI119" s="222"/>
      <c r="CJ119" s="222"/>
      <c r="CK119" s="222"/>
      <c r="CL119" s="222"/>
      <c r="CM119" s="222"/>
      <c r="CN119" s="222"/>
      <c r="CO119" s="222"/>
      <c r="CP119" s="222"/>
      <c r="CQ119" s="222"/>
      <c r="CR119" s="222"/>
      <c r="CS119" s="222"/>
      <c r="CT119" s="222"/>
      <c r="CU119" s="222"/>
      <c r="CV119" s="222"/>
      <c r="CW119" s="222"/>
      <c r="CX119" s="222"/>
      <c r="CY119" s="222"/>
      <c r="CZ119" s="222"/>
      <c r="DA119" s="222"/>
      <c r="DB119" s="222"/>
      <c r="DC119" s="222"/>
      <c r="DD119" s="222"/>
      <c r="DE119" s="222"/>
      <c r="DF119" s="222"/>
      <c r="DG119" s="222"/>
      <c r="DH119" s="222"/>
      <c r="DI119" s="222"/>
      <c r="DJ119" s="222"/>
      <c r="DK119" s="222"/>
      <c r="DL119" s="222"/>
      <c r="DM119" s="222"/>
      <c r="DN119" s="222"/>
      <c r="DO119" s="222"/>
      <c r="DP119" s="222"/>
      <c r="DQ119" s="222"/>
      <c r="DR119" s="222"/>
      <c r="DS119" s="222"/>
      <c r="DT119" s="222"/>
      <c r="DU119" s="222"/>
      <c r="DV119" s="222"/>
      <c r="DW119" s="222"/>
      <c r="DX119" s="222"/>
      <c r="DY119" s="222"/>
      <c r="DZ119" s="222"/>
      <c r="EA119" s="222"/>
      <c r="EB119" s="222"/>
      <c r="EC119" s="222"/>
      <c r="ED119" s="222"/>
      <c r="EE119" s="222"/>
      <c r="EF119" s="222"/>
      <c r="EG119" s="222"/>
      <c r="EH119" s="222"/>
    </row>
    <row r="120" spans="1:138">
      <c r="A120" s="222"/>
      <c r="B120" s="318"/>
      <c r="C120" s="310" t="s">
        <v>296</v>
      </c>
      <c r="D120" s="319"/>
      <c r="E120" s="311">
        <f t="shared" ref="E120:S120" si="46">-E56</f>
        <v>0</v>
      </c>
      <c r="F120" s="311">
        <f t="shared" si="46"/>
        <v>0</v>
      </c>
      <c r="G120" s="311">
        <f t="shared" si="46"/>
        <v>0</v>
      </c>
      <c r="H120" s="311">
        <f t="shared" si="46"/>
        <v>0</v>
      </c>
      <c r="I120" s="311">
        <f t="shared" si="46"/>
        <v>0</v>
      </c>
      <c r="J120" s="311">
        <f t="shared" si="46"/>
        <v>0</v>
      </c>
      <c r="K120" s="311">
        <f t="shared" si="46"/>
        <v>0</v>
      </c>
      <c r="L120" s="311">
        <f t="shared" si="46"/>
        <v>0</v>
      </c>
      <c r="M120" s="311">
        <f t="shared" si="46"/>
        <v>0</v>
      </c>
      <c r="N120" s="311">
        <f t="shared" si="46"/>
        <v>0</v>
      </c>
      <c r="O120" s="311">
        <f t="shared" si="46"/>
        <v>0</v>
      </c>
      <c r="P120" s="311">
        <f t="shared" si="46"/>
        <v>0</v>
      </c>
      <c r="Q120" s="311">
        <f t="shared" si="46"/>
        <v>0</v>
      </c>
      <c r="R120" s="311">
        <f t="shared" si="46"/>
        <v>0</v>
      </c>
      <c r="S120" s="311">
        <f t="shared" si="46"/>
        <v>0</v>
      </c>
      <c r="T120" s="311">
        <f>-T56-T57</f>
        <v>0</v>
      </c>
      <c r="U120" s="311">
        <f t="shared" ref="U120:Z120" si="47">-U56</f>
        <v>0</v>
      </c>
      <c r="V120" s="311">
        <f t="shared" si="47"/>
        <v>0</v>
      </c>
      <c r="W120" s="311">
        <f t="shared" si="47"/>
        <v>0</v>
      </c>
      <c r="X120" s="311">
        <f t="shared" si="47"/>
        <v>0</v>
      </c>
      <c r="Y120" s="311">
        <f t="shared" si="47"/>
        <v>0</v>
      </c>
      <c r="Z120" s="311">
        <f t="shared" si="47"/>
        <v>0</v>
      </c>
      <c r="AA120" s="311">
        <f>-AA56-AA57</f>
        <v>0</v>
      </c>
      <c r="AB120" s="311">
        <f t="shared" ref="AB120:AE120" si="48">-AB56</f>
        <v>2096065.3246575342</v>
      </c>
      <c r="AC120" s="311">
        <f t="shared" si="48"/>
        <v>0</v>
      </c>
      <c r="AD120" s="311">
        <f t="shared" si="48"/>
        <v>0</v>
      </c>
      <c r="AE120" s="311">
        <f t="shared" si="48"/>
        <v>0</v>
      </c>
      <c r="AF120" s="311">
        <f>-AF56-AF57</f>
        <v>0</v>
      </c>
      <c r="AG120" s="311">
        <f t="shared" ref="AG120:BX120" si="49">-AG56</f>
        <v>0</v>
      </c>
      <c r="AH120" s="311">
        <f t="shared" si="49"/>
        <v>0</v>
      </c>
      <c r="AI120" s="311">
        <f t="shared" si="49"/>
        <v>0</v>
      </c>
      <c r="AJ120" s="311">
        <f t="shared" si="49"/>
        <v>0</v>
      </c>
      <c r="AK120" s="311">
        <f t="shared" si="49"/>
        <v>0</v>
      </c>
      <c r="AL120" s="311">
        <f t="shared" si="49"/>
        <v>0</v>
      </c>
      <c r="AM120" s="311">
        <f t="shared" si="49"/>
        <v>0</v>
      </c>
      <c r="AN120" s="311">
        <f t="shared" si="49"/>
        <v>0</v>
      </c>
      <c r="AO120" s="311">
        <f t="shared" si="49"/>
        <v>0</v>
      </c>
      <c r="AP120" s="311">
        <f t="shared" si="49"/>
        <v>0</v>
      </c>
      <c r="AQ120" s="311">
        <f t="shared" si="49"/>
        <v>0</v>
      </c>
      <c r="AR120" s="311">
        <f t="shared" si="49"/>
        <v>0</v>
      </c>
      <c r="AS120" s="311">
        <f t="shared" si="49"/>
        <v>0</v>
      </c>
      <c r="AT120" s="311">
        <f t="shared" si="49"/>
        <v>0</v>
      </c>
      <c r="AU120" s="311">
        <f t="shared" si="49"/>
        <v>0</v>
      </c>
      <c r="AV120" s="311">
        <f t="shared" si="49"/>
        <v>0</v>
      </c>
      <c r="AW120" s="311">
        <f t="shared" si="49"/>
        <v>0</v>
      </c>
      <c r="AX120" s="311">
        <f t="shared" si="49"/>
        <v>0</v>
      </c>
      <c r="AY120" s="311">
        <f t="shared" si="49"/>
        <v>0</v>
      </c>
      <c r="AZ120" s="311">
        <f t="shared" si="49"/>
        <v>0</v>
      </c>
      <c r="BA120" s="311">
        <f t="shared" si="49"/>
        <v>0</v>
      </c>
      <c r="BB120" s="311">
        <f t="shared" si="49"/>
        <v>0</v>
      </c>
      <c r="BC120" s="311">
        <f t="shared" si="49"/>
        <v>0</v>
      </c>
      <c r="BD120" s="311">
        <f t="shared" si="49"/>
        <v>0</v>
      </c>
      <c r="BE120" s="311">
        <f t="shared" si="49"/>
        <v>0</v>
      </c>
      <c r="BF120" s="311">
        <f t="shared" si="49"/>
        <v>0</v>
      </c>
      <c r="BG120" s="311">
        <f t="shared" si="49"/>
        <v>0</v>
      </c>
      <c r="BH120" s="311">
        <f t="shared" si="49"/>
        <v>0</v>
      </c>
      <c r="BI120" s="311">
        <f t="shared" si="49"/>
        <v>0</v>
      </c>
      <c r="BJ120" s="311">
        <f t="shared" si="49"/>
        <v>0</v>
      </c>
      <c r="BK120" s="311">
        <f t="shared" si="49"/>
        <v>0</v>
      </c>
      <c r="BL120" s="311">
        <f t="shared" si="49"/>
        <v>0</v>
      </c>
      <c r="BM120" s="311">
        <f t="shared" si="49"/>
        <v>0</v>
      </c>
      <c r="BN120" s="311">
        <f t="shared" si="49"/>
        <v>0</v>
      </c>
      <c r="BO120" s="311">
        <f t="shared" si="49"/>
        <v>0</v>
      </c>
      <c r="BP120" s="311">
        <f t="shared" si="49"/>
        <v>0</v>
      </c>
      <c r="BQ120" s="311">
        <f t="shared" si="49"/>
        <v>0</v>
      </c>
      <c r="BR120" s="311">
        <f t="shared" si="49"/>
        <v>0</v>
      </c>
      <c r="BS120" s="311">
        <f t="shared" si="49"/>
        <v>0</v>
      </c>
      <c r="BT120" s="311">
        <f t="shared" si="49"/>
        <v>0</v>
      </c>
      <c r="BU120" s="311">
        <f t="shared" si="49"/>
        <v>0</v>
      </c>
      <c r="BV120" s="311">
        <f t="shared" si="49"/>
        <v>0</v>
      </c>
      <c r="BW120" s="311">
        <f t="shared" si="49"/>
        <v>0</v>
      </c>
      <c r="BX120" s="311">
        <f t="shared" si="49"/>
        <v>0</v>
      </c>
      <c r="BY120" s="222"/>
      <c r="BZ120" s="238"/>
      <c r="CA120" s="222"/>
      <c r="CB120" s="222"/>
      <c r="CC120" s="222"/>
      <c r="CD120" s="222"/>
      <c r="CE120" s="222"/>
      <c r="CF120" s="222"/>
      <c r="CG120" s="222"/>
      <c r="CH120" s="222"/>
      <c r="CI120" s="222"/>
      <c r="CJ120" s="222"/>
      <c r="CK120" s="222"/>
      <c r="CL120" s="222"/>
      <c r="CM120" s="222"/>
      <c r="CN120" s="222"/>
      <c r="CO120" s="222"/>
      <c r="CP120" s="222"/>
      <c r="CQ120" s="222"/>
      <c r="CR120" s="222"/>
      <c r="CS120" s="222"/>
      <c r="CT120" s="222"/>
      <c r="CU120" s="222"/>
      <c r="CV120" s="222"/>
      <c r="CW120" s="222"/>
      <c r="CX120" s="222"/>
      <c r="CY120" s="222"/>
      <c r="CZ120" s="222"/>
      <c r="DA120" s="222"/>
      <c r="DB120" s="222"/>
      <c r="DC120" s="222"/>
      <c r="DD120" s="222"/>
      <c r="DE120" s="222"/>
      <c r="DF120" s="222"/>
      <c r="DG120" s="222"/>
      <c r="DH120" s="222"/>
      <c r="DI120" s="222"/>
      <c r="DJ120" s="222"/>
      <c r="DK120" s="222"/>
      <c r="DL120" s="222"/>
      <c r="DM120" s="222"/>
      <c r="DN120" s="222"/>
      <c r="DO120" s="222"/>
      <c r="DP120" s="222"/>
      <c r="DQ120" s="222"/>
      <c r="DR120" s="222"/>
      <c r="DS120" s="222"/>
      <c r="DT120" s="222"/>
      <c r="DU120" s="222"/>
      <c r="DV120" s="222"/>
      <c r="DW120" s="222"/>
      <c r="DX120" s="222"/>
      <c r="DY120" s="222"/>
      <c r="DZ120" s="222"/>
      <c r="EA120" s="222"/>
      <c r="EB120" s="222"/>
      <c r="EC120" s="222"/>
      <c r="ED120" s="222"/>
      <c r="EE120" s="222"/>
      <c r="EF120" s="222"/>
      <c r="EG120" s="222"/>
      <c r="EH120" s="222"/>
    </row>
    <row r="121" spans="1:138">
      <c r="A121" s="222"/>
      <c r="B121" s="318"/>
      <c r="C121" s="310" t="s">
        <v>297</v>
      </c>
      <c r="D121" s="319"/>
      <c r="E121" s="311"/>
      <c r="F121" s="311"/>
      <c r="G121" s="311"/>
      <c r="H121" s="311">
        <f>-H5</f>
        <v>-16365002</v>
      </c>
      <c r="I121" s="311"/>
      <c r="J121" s="311"/>
      <c r="K121" s="311"/>
      <c r="L121" s="311"/>
      <c r="M121" s="311"/>
      <c r="N121" s="311"/>
      <c r="O121" s="311"/>
      <c r="P121" s="311"/>
      <c r="Q121" s="311"/>
      <c r="R121" s="311"/>
      <c r="S121" s="311"/>
      <c r="T121" s="311"/>
      <c r="U121" s="311"/>
      <c r="V121" s="311"/>
      <c r="W121" s="311"/>
      <c r="X121" s="311"/>
      <c r="Y121" s="311"/>
      <c r="Z121" s="311"/>
      <c r="AA121" s="311"/>
      <c r="AB121" s="311">
        <f>AB101</f>
        <v>35369164.476889789</v>
      </c>
      <c r="AC121" s="311"/>
      <c r="AD121" s="311"/>
      <c r="AE121" s="311"/>
      <c r="AF121" s="311"/>
      <c r="AG121" s="311"/>
      <c r="AH121" s="311"/>
      <c r="AI121" s="311"/>
      <c r="AJ121" s="311"/>
      <c r="AK121" s="311"/>
      <c r="AL121" s="311"/>
      <c r="AM121" s="311"/>
      <c r="AN121" s="311"/>
      <c r="AO121" s="311"/>
      <c r="AP121" s="311"/>
      <c r="AQ121" s="311"/>
      <c r="AR121" s="311"/>
      <c r="AS121" s="311"/>
      <c r="AT121" s="311"/>
      <c r="AU121" s="311"/>
      <c r="AV121" s="311"/>
      <c r="AW121" s="311"/>
      <c r="AX121" s="311"/>
      <c r="AY121" s="311"/>
      <c r="AZ121" s="311"/>
      <c r="BA121" s="311"/>
      <c r="BB121" s="311"/>
      <c r="BC121" s="311"/>
      <c r="BD121" s="311"/>
      <c r="BE121" s="311"/>
      <c r="BF121" s="311"/>
      <c r="BG121" s="311"/>
      <c r="BH121" s="311"/>
      <c r="BI121" s="311"/>
      <c r="BJ121" s="311"/>
      <c r="BK121" s="311"/>
      <c r="BL121" s="311"/>
      <c r="BM121" s="311"/>
      <c r="BN121" s="311"/>
      <c r="BO121" s="311"/>
      <c r="BP121" s="311"/>
      <c r="BQ121" s="311"/>
      <c r="BR121" s="311"/>
      <c r="BS121" s="311"/>
      <c r="BT121" s="311"/>
      <c r="BU121" s="311"/>
      <c r="BV121" s="311"/>
      <c r="BW121" s="311"/>
      <c r="BX121" s="311">
        <f>IF(D111&gt;0.25,(BX101-BX114)*D123,BX101*D123)</f>
        <v>28295331.581511833</v>
      </c>
      <c r="BY121" s="222"/>
      <c r="BZ121" s="222"/>
      <c r="CA121" s="222"/>
      <c r="CB121" s="222"/>
      <c r="CC121" s="222"/>
      <c r="CD121" s="222"/>
      <c r="CE121" s="222"/>
      <c r="CF121" s="222"/>
      <c r="CG121" s="222"/>
      <c r="CH121" s="222"/>
      <c r="CI121" s="222"/>
      <c r="CJ121" s="222"/>
      <c r="CK121" s="222"/>
      <c r="CL121" s="222"/>
      <c r="CM121" s="222"/>
      <c r="CN121" s="222"/>
      <c r="CO121" s="222"/>
      <c r="CP121" s="222"/>
      <c r="CQ121" s="222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222"/>
      <c r="DC121" s="222"/>
      <c r="DD121" s="222"/>
      <c r="DE121" s="222"/>
      <c r="DF121" s="222"/>
      <c r="DG121" s="222"/>
      <c r="DH121" s="222"/>
      <c r="DI121" s="222"/>
      <c r="DJ121" s="222"/>
      <c r="DK121" s="222"/>
      <c r="DL121" s="222"/>
      <c r="DM121" s="222"/>
      <c r="DN121" s="222"/>
      <c r="DO121" s="222"/>
      <c r="DP121" s="222"/>
      <c r="DQ121" s="222"/>
      <c r="DR121" s="222"/>
      <c r="DS121" s="222"/>
      <c r="DT121" s="222"/>
      <c r="DU121" s="222"/>
      <c r="DV121" s="222"/>
      <c r="DW121" s="222"/>
      <c r="DX121" s="222"/>
      <c r="DY121" s="222"/>
      <c r="DZ121" s="222"/>
      <c r="EA121" s="222"/>
      <c r="EB121" s="222"/>
      <c r="EC121" s="222"/>
      <c r="ED121" s="222"/>
      <c r="EE121" s="222"/>
      <c r="EF121" s="222"/>
      <c r="EG121" s="222"/>
      <c r="EH121" s="222"/>
    </row>
    <row r="122" spans="1:138">
      <c r="A122" s="222"/>
      <c r="B122" s="318"/>
      <c r="C122" s="310" t="s">
        <v>293</v>
      </c>
      <c r="D122" s="319"/>
      <c r="E122" s="311"/>
      <c r="F122" s="311"/>
      <c r="G122" s="311"/>
      <c r="H122" s="311"/>
      <c r="I122" s="311"/>
      <c r="J122" s="311"/>
      <c r="K122" s="311"/>
      <c r="L122" s="311"/>
      <c r="M122" s="311"/>
      <c r="N122" s="311"/>
      <c r="O122" s="311"/>
      <c r="P122" s="311"/>
      <c r="Q122" s="311"/>
      <c r="R122" s="311"/>
      <c r="S122" s="311"/>
      <c r="T122" s="311"/>
      <c r="U122" s="311"/>
      <c r="V122" s="311"/>
      <c r="W122" s="311"/>
      <c r="X122" s="311"/>
      <c r="Y122" s="311"/>
      <c r="Z122" s="311"/>
      <c r="AA122" s="311"/>
      <c r="AB122" s="311"/>
      <c r="AC122" s="311"/>
      <c r="AD122" s="311"/>
      <c r="AE122" s="311"/>
      <c r="AF122" s="311"/>
      <c r="AG122" s="311"/>
      <c r="AH122" s="311"/>
      <c r="AI122" s="311"/>
      <c r="AJ122" s="311"/>
      <c r="AK122" s="311"/>
      <c r="AL122" s="311"/>
      <c r="AM122" s="311"/>
      <c r="AN122" s="311"/>
      <c r="AO122" s="311"/>
      <c r="AP122" s="311"/>
      <c r="AQ122" s="311"/>
      <c r="AR122" s="311"/>
      <c r="AS122" s="311"/>
      <c r="AT122" s="311"/>
      <c r="AU122" s="311"/>
      <c r="AV122" s="311"/>
      <c r="AW122" s="311"/>
      <c r="AX122" s="311"/>
      <c r="AY122" s="311"/>
      <c r="AZ122" s="311"/>
      <c r="BA122" s="311"/>
      <c r="BB122" s="311"/>
      <c r="BC122" s="311"/>
      <c r="BD122" s="311"/>
      <c r="BE122" s="311"/>
      <c r="BF122" s="311"/>
      <c r="BG122" s="311"/>
      <c r="BH122" s="311"/>
      <c r="BI122" s="311"/>
      <c r="BJ122" s="311"/>
      <c r="BK122" s="311"/>
      <c r="BL122" s="311"/>
      <c r="BM122" s="311"/>
      <c r="BN122" s="311"/>
      <c r="BO122" s="311"/>
      <c r="BP122" s="311"/>
      <c r="BQ122" s="311"/>
      <c r="BR122" s="311"/>
      <c r="BS122" s="311"/>
      <c r="BT122" s="311"/>
      <c r="BU122" s="311"/>
      <c r="BV122" s="311"/>
      <c r="BW122" s="311"/>
      <c r="BX122" s="311">
        <f>IF(D111&gt;0.25,BX114,0)</f>
        <v>7073832.8953779582</v>
      </c>
      <c r="BY122" s="222"/>
      <c r="BZ122" s="222"/>
      <c r="CA122" s="222"/>
      <c r="CB122" s="222"/>
      <c r="CC122" s="222"/>
      <c r="CD122" s="222"/>
      <c r="CE122" s="222"/>
      <c r="CF122" s="222"/>
      <c r="CG122" s="222"/>
      <c r="CH122" s="222"/>
      <c r="CI122" s="222"/>
      <c r="CJ122" s="222"/>
      <c r="CK122" s="222"/>
      <c r="CL122" s="222"/>
      <c r="CM122" s="222"/>
      <c r="CN122" s="222"/>
      <c r="CO122" s="222"/>
      <c r="CP122" s="222"/>
      <c r="CQ122" s="222"/>
      <c r="CR122" s="222"/>
      <c r="CS122" s="222"/>
      <c r="CT122" s="222"/>
      <c r="CU122" s="222"/>
      <c r="CV122" s="222"/>
      <c r="CW122" s="222"/>
      <c r="CX122" s="222"/>
      <c r="CY122" s="222"/>
      <c r="CZ122" s="222"/>
      <c r="DA122" s="222"/>
      <c r="DB122" s="222"/>
      <c r="DC122" s="222"/>
      <c r="DD122" s="222"/>
      <c r="DE122" s="222"/>
      <c r="DF122" s="222"/>
      <c r="DG122" s="222"/>
      <c r="DH122" s="222"/>
      <c r="DI122" s="222"/>
      <c r="DJ122" s="222"/>
      <c r="DK122" s="222"/>
      <c r="DL122" s="222"/>
      <c r="DM122" s="222"/>
      <c r="DN122" s="222"/>
      <c r="DO122" s="222"/>
      <c r="DP122" s="222"/>
      <c r="DQ122" s="222"/>
      <c r="DR122" s="222"/>
      <c r="DS122" s="222"/>
      <c r="DT122" s="222"/>
      <c r="DU122" s="222"/>
      <c r="DV122" s="222"/>
      <c r="DW122" s="222"/>
      <c r="DX122" s="222"/>
      <c r="DY122" s="222"/>
      <c r="DZ122" s="222"/>
      <c r="EA122" s="222"/>
      <c r="EB122" s="222"/>
      <c r="EC122" s="222"/>
      <c r="ED122" s="222"/>
      <c r="EE122" s="222"/>
      <c r="EF122" s="222"/>
      <c r="EG122" s="222"/>
      <c r="EH122" s="222"/>
    </row>
    <row r="123" spans="1:138">
      <c r="A123" s="222"/>
      <c r="B123" s="318"/>
      <c r="C123" s="313" t="s">
        <v>298</v>
      </c>
      <c r="D123" s="319">
        <v>1</v>
      </c>
      <c r="E123" s="242"/>
      <c r="F123" s="242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2"/>
      <c r="V123" s="242"/>
      <c r="W123" s="242"/>
      <c r="X123" s="242"/>
      <c r="Y123" s="242"/>
      <c r="Z123" s="242"/>
      <c r="AA123" s="242"/>
      <c r="AB123" s="242"/>
      <c r="AC123" s="242"/>
      <c r="AD123" s="242"/>
      <c r="AE123" s="242"/>
      <c r="AF123" s="242"/>
      <c r="AG123" s="242"/>
      <c r="AH123" s="242"/>
      <c r="AI123" s="242"/>
      <c r="AJ123" s="242"/>
      <c r="AK123" s="242"/>
      <c r="AL123" s="242"/>
      <c r="AM123" s="242"/>
      <c r="AN123" s="242"/>
      <c r="AO123" s="242"/>
      <c r="AP123" s="242"/>
      <c r="AQ123" s="242"/>
      <c r="AR123" s="242"/>
      <c r="AS123" s="242"/>
      <c r="AT123" s="242"/>
      <c r="AU123" s="242"/>
      <c r="AV123" s="242"/>
      <c r="AW123" s="242"/>
      <c r="AX123" s="242"/>
      <c r="AY123" s="242"/>
      <c r="AZ123" s="242"/>
      <c r="BA123" s="242"/>
      <c r="BB123" s="242"/>
      <c r="BC123" s="320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22"/>
      <c r="BZ123" s="222"/>
      <c r="CA123" s="222"/>
      <c r="CB123" s="222"/>
      <c r="CC123" s="222"/>
      <c r="CD123" s="222"/>
      <c r="CE123" s="222"/>
      <c r="CF123" s="222"/>
      <c r="CG123" s="222"/>
      <c r="CH123" s="222"/>
      <c r="CI123" s="222"/>
      <c r="CJ123" s="222"/>
      <c r="CK123" s="222"/>
      <c r="CL123" s="222"/>
      <c r="CM123" s="222"/>
      <c r="CN123" s="222"/>
      <c r="CO123" s="222"/>
      <c r="CP123" s="222"/>
      <c r="CQ123" s="222"/>
      <c r="CR123" s="222"/>
      <c r="CS123" s="222"/>
      <c r="CT123" s="222"/>
      <c r="CU123" s="222"/>
      <c r="CV123" s="222"/>
      <c r="CW123" s="222"/>
      <c r="CX123" s="222"/>
      <c r="CY123" s="222"/>
      <c r="CZ123" s="222"/>
      <c r="DA123" s="222"/>
      <c r="DB123" s="222"/>
      <c r="DC123" s="222"/>
      <c r="DD123" s="222"/>
      <c r="DE123" s="222"/>
      <c r="DF123" s="222"/>
      <c r="DG123" s="222"/>
      <c r="DH123" s="222"/>
      <c r="DI123" s="222"/>
      <c r="DJ123" s="222"/>
      <c r="DK123" s="222"/>
      <c r="DL123" s="222"/>
      <c r="DM123" s="222"/>
      <c r="DN123" s="222"/>
      <c r="DO123" s="222"/>
      <c r="DP123" s="222"/>
      <c r="DQ123" s="222"/>
      <c r="DR123" s="222"/>
      <c r="DS123" s="222"/>
      <c r="DT123" s="222"/>
      <c r="DU123" s="222"/>
      <c r="DV123" s="222"/>
      <c r="DW123" s="222"/>
      <c r="DX123" s="222"/>
      <c r="DY123" s="222"/>
      <c r="DZ123" s="222"/>
      <c r="EA123" s="222"/>
      <c r="EB123" s="222"/>
      <c r="EC123" s="222"/>
      <c r="ED123" s="222"/>
      <c r="EE123" s="222"/>
      <c r="EF123" s="222"/>
      <c r="EG123" s="222"/>
      <c r="EH123" s="222"/>
    </row>
    <row r="124" spans="1:138">
      <c r="A124" s="222"/>
      <c r="B124" s="318"/>
      <c r="C124" s="310" t="s">
        <v>299</v>
      </c>
      <c r="D124" s="314"/>
      <c r="E124" s="321">
        <f t="shared" ref="E124:BW124" si="50">E118+E119+E120+E121+E123</f>
        <v>0</v>
      </c>
      <c r="F124" s="321">
        <f t="shared" si="50"/>
        <v>0</v>
      </c>
      <c r="G124" s="321">
        <f t="shared" si="50"/>
        <v>0</v>
      </c>
      <c r="H124" s="321">
        <f t="shared" si="50"/>
        <v>-24698335</v>
      </c>
      <c r="I124" s="321">
        <f t="shared" si="50"/>
        <v>0</v>
      </c>
      <c r="J124" s="321">
        <f t="shared" si="50"/>
        <v>0</v>
      </c>
      <c r="K124" s="321">
        <f t="shared" si="50"/>
        <v>-885000</v>
      </c>
      <c r="L124" s="321">
        <f t="shared" si="50"/>
        <v>-1940000</v>
      </c>
      <c r="M124" s="321">
        <f t="shared" si="50"/>
        <v>-4260000</v>
      </c>
      <c r="N124" s="321">
        <f t="shared" si="50"/>
        <v>0</v>
      </c>
      <c r="O124" s="321">
        <f t="shared" si="50"/>
        <v>-2960840</v>
      </c>
      <c r="P124" s="321">
        <f t="shared" si="50"/>
        <v>-320000</v>
      </c>
      <c r="Q124" s="321">
        <f t="shared" si="50"/>
        <v>0</v>
      </c>
      <c r="R124" s="321">
        <f t="shared" si="50"/>
        <v>-670000</v>
      </c>
      <c r="S124" s="321">
        <f t="shared" si="50"/>
        <v>0</v>
      </c>
      <c r="T124" s="321">
        <f t="shared" si="50"/>
        <v>0</v>
      </c>
      <c r="U124" s="321">
        <f t="shared" si="50"/>
        <v>0</v>
      </c>
      <c r="V124" s="321">
        <f t="shared" si="50"/>
        <v>-3090000</v>
      </c>
      <c r="W124" s="321">
        <f t="shared" si="50"/>
        <v>0</v>
      </c>
      <c r="X124" s="321">
        <f t="shared" si="50"/>
        <v>-1400000</v>
      </c>
      <c r="Y124" s="321">
        <f t="shared" si="50"/>
        <v>0</v>
      </c>
      <c r="Z124" s="321">
        <f t="shared" si="50"/>
        <v>-2000000</v>
      </c>
      <c r="AA124" s="321">
        <f t="shared" si="50"/>
        <v>0</v>
      </c>
      <c r="AB124" s="321">
        <f t="shared" si="50"/>
        <v>67315231.801547319</v>
      </c>
      <c r="AC124" s="321">
        <f t="shared" si="50"/>
        <v>0</v>
      </c>
      <c r="AD124" s="321">
        <f t="shared" si="50"/>
        <v>0</v>
      </c>
      <c r="AE124" s="321">
        <f t="shared" si="50"/>
        <v>0</v>
      </c>
      <c r="AF124" s="321">
        <f t="shared" si="50"/>
        <v>0</v>
      </c>
      <c r="AG124" s="321">
        <f t="shared" si="50"/>
        <v>0</v>
      </c>
      <c r="AH124" s="321">
        <f t="shared" si="50"/>
        <v>0</v>
      </c>
      <c r="AI124" s="321">
        <f t="shared" si="50"/>
        <v>0</v>
      </c>
      <c r="AJ124" s="321">
        <f t="shared" si="50"/>
        <v>0</v>
      </c>
      <c r="AK124" s="321">
        <f t="shared" si="50"/>
        <v>0</v>
      </c>
      <c r="AL124" s="321">
        <f t="shared" si="50"/>
        <v>0</v>
      </c>
      <c r="AM124" s="321">
        <f t="shared" si="50"/>
        <v>0</v>
      </c>
      <c r="AN124" s="321">
        <f t="shared" si="50"/>
        <v>0</v>
      </c>
      <c r="AO124" s="321">
        <f t="shared" si="50"/>
        <v>0</v>
      </c>
      <c r="AP124" s="321">
        <f t="shared" si="50"/>
        <v>0</v>
      </c>
      <c r="AQ124" s="321">
        <f t="shared" si="50"/>
        <v>0</v>
      </c>
      <c r="AR124" s="321">
        <f t="shared" si="50"/>
        <v>0</v>
      </c>
      <c r="AS124" s="321">
        <f t="shared" si="50"/>
        <v>0</v>
      </c>
      <c r="AT124" s="321">
        <f t="shared" si="50"/>
        <v>0</v>
      </c>
      <c r="AU124" s="321">
        <f t="shared" si="50"/>
        <v>0</v>
      </c>
      <c r="AV124" s="321">
        <f t="shared" si="50"/>
        <v>0</v>
      </c>
      <c r="AW124" s="321">
        <f t="shared" si="50"/>
        <v>0</v>
      </c>
      <c r="AX124" s="321">
        <f t="shared" si="50"/>
        <v>0</v>
      </c>
      <c r="AY124" s="321">
        <f t="shared" si="50"/>
        <v>0</v>
      </c>
      <c r="AZ124" s="321">
        <f t="shared" si="50"/>
        <v>0</v>
      </c>
      <c r="BA124" s="321">
        <f t="shared" si="50"/>
        <v>0</v>
      </c>
      <c r="BB124" s="321">
        <f t="shared" si="50"/>
        <v>0</v>
      </c>
      <c r="BC124" s="321">
        <f t="shared" si="50"/>
        <v>0</v>
      </c>
      <c r="BD124" s="321">
        <f t="shared" si="50"/>
        <v>0</v>
      </c>
      <c r="BE124" s="321">
        <f t="shared" si="50"/>
        <v>0</v>
      </c>
      <c r="BF124" s="321">
        <f t="shared" si="50"/>
        <v>0</v>
      </c>
      <c r="BG124" s="321">
        <f t="shared" si="50"/>
        <v>0</v>
      </c>
      <c r="BH124" s="321">
        <f t="shared" si="50"/>
        <v>0</v>
      </c>
      <c r="BI124" s="321">
        <f t="shared" si="50"/>
        <v>0</v>
      </c>
      <c r="BJ124" s="321">
        <f t="shared" si="50"/>
        <v>0</v>
      </c>
      <c r="BK124" s="321">
        <f t="shared" si="50"/>
        <v>0</v>
      </c>
      <c r="BL124" s="321">
        <f t="shared" si="50"/>
        <v>0</v>
      </c>
      <c r="BM124" s="321">
        <f t="shared" si="50"/>
        <v>0</v>
      </c>
      <c r="BN124" s="321">
        <f t="shared" si="50"/>
        <v>0</v>
      </c>
      <c r="BO124" s="321">
        <f t="shared" si="50"/>
        <v>0</v>
      </c>
      <c r="BP124" s="321">
        <f t="shared" si="50"/>
        <v>0</v>
      </c>
      <c r="BQ124" s="321">
        <f t="shared" si="50"/>
        <v>0</v>
      </c>
      <c r="BR124" s="321">
        <f t="shared" si="50"/>
        <v>0</v>
      </c>
      <c r="BS124" s="321">
        <f t="shared" si="50"/>
        <v>0</v>
      </c>
      <c r="BT124" s="321">
        <f t="shared" si="50"/>
        <v>0</v>
      </c>
      <c r="BU124" s="321">
        <f t="shared" si="50"/>
        <v>0</v>
      </c>
      <c r="BV124" s="321">
        <f t="shared" si="50"/>
        <v>0</v>
      </c>
      <c r="BW124" s="321">
        <f t="shared" si="50"/>
        <v>0</v>
      </c>
      <c r="BX124" s="321">
        <f>BX118+BX119+BX120+BX121+BX122+BX123</f>
        <v>35369164.476889789</v>
      </c>
      <c r="BY124" s="222"/>
      <c r="BZ124" s="222"/>
      <c r="CA124" s="222"/>
      <c r="CB124" s="222"/>
      <c r="CC124" s="222"/>
      <c r="CD124" s="222"/>
      <c r="CE124" s="222"/>
      <c r="CF124" s="222"/>
      <c r="CG124" s="222"/>
      <c r="CH124" s="222"/>
      <c r="CI124" s="222"/>
      <c r="CJ124" s="222"/>
      <c r="CK124" s="222"/>
      <c r="CL124" s="222"/>
      <c r="CM124" s="222"/>
      <c r="CN124" s="222"/>
      <c r="CO124" s="222"/>
      <c r="CP124" s="222"/>
      <c r="CQ124" s="222"/>
      <c r="CR124" s="222"/>
      <c r="CS124" s="222"/>
      <c r="CT124" s="222"/>
      <c r="CU124" s="222"/>
      <c r="CV124" s="222"/>
      <c r="CW124" s="222"/>
      <c r="CX124" s="222"/>
      <c r="CY124" s="222"/>
      <c r="CZ124" s="222"/>
      <c r="DA124" s="222"/>
      <c r="DB124" s="222"/>
      <c r="DC124" s="222"/>
      <c r="DD124" s="222"/>
      <c r="DE124" s="222"/>
      <c r="DF124" s="222"/>
      <c r="DG124" s="222"/>
      <c r="DH124" s="222"/>
      <c r="DI124" s="222"/>
      <c r="DJ124" s="222"/>
      <c r="DK124" s="222"/>
      <c r="DL124" s="222"/>
      <c r="DM124" s="222"/>
      <c r="DN124" s="222"/>
      <c r="DO124" s="222"/>
      <c r="DP124" s="222"/>
      <c r="DQ124" s="222"/>
      <c r="DR124" s="222"/>
      <c r="DS124" s="222"/>
      <c r="DT124" s="222"/>
      <c r="DU124" s="222"/>
      <c r="DV124" s="222"/>
      <c r="DW124" s="222"/>
      <c r="DX124" s="222"/>
      <c r="DY124" s="222"/>
      <c r="DZ124" s="222"/>
      <c r="EA124" s="222"/>
      <c r="EB124" s="222"/>
      <c r="EC124" s="222"/>
      <c r="ED124" s="222"/>
      <c r="EE124" s="222"/>
      <c r="EF124" s="222"/>
      <c r="EG124" s="222"/>
      <c r="EH124" s="222"/>
    </row>
    <row r="125" spans="1:138">
      <c r="A125" s="222"/>
      <c r="B125" s="318"/>
      <c r="C125" s="313" t="s">
        <v>292</v>
      </c>
      <c r="D125" s="322">
        <f>IRR(H124:AF124)*12</f>
        <v>0.34292100920985469</v>
      </c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  <c r="BB125" s="222"/>
      <c r="BC125" s="222"/>
      <c r="BD125" s="222"/>
      <c r="BE125" s="222"/>
      <c r="BF125" s="222"/>
      <c r="BG125" s="222"/>
      <c r="BH125" s="222"/>
      <c r="BI125" s="222"/>
      <c r="BJ125" s="222"/>
      <c r="BK125" s="222"/>
      <c r="BL125" s="222"/>
      <c r="BM125" s="222"/>
      <c r="BN125" s="222"/>
      <c r="BO125" s="222"/>
      <c r="BP125" s="222"/>
      <c r="BQ125" s="222"/>
      <c r="BR125" s="222"/>
      <c r="BS125" s="222"/>
      <c r="BT125" s="222"/>
      <c r="BU125" s="222"/>
      <c r="BV125" s="222"/>
      <c r="BW125" s="222"/>
      <c r="BX125" s="222"/>
      <c r="BY125" s="222"/>
      <c r="BZ125" s="222"/>
      <c r="CA125" s="222"/>
      <c r="CB125" s="222"/>
      <c r="CC125" s="222"/>
      <c r="CD125" s="222"/>
      <c r="CE125" s="222"/>
      <c r="CF125" s="222"/>
      <c r="CG125" s="222"/>
      <c r="CH125" s="222"/>
      <c r="CI125" s="222"/>
      <c r="CJ125" s="222"/>
      <c r="CK125" s="222"/>
      <c r="CL125" s="222"/>
      <c r="CM125" s="222"/>
      <c r="CN125" s="222"/>
      <c r="CO125" s="222"/>
      <c r="CP125" s="222"/>
      <c r="CQ125" s="222"/>
      <c r="CR125" s="222"/>
      <c r="CS125" s="222"/>
      <c r="CT125" s="222"/>
      <c r="CU125" s="222"/>
      <c r="CV125" s="222"/>
      <c r="CW125" s="222"/>
      <c r="CX125" s="222"/>
      <c r="CY125" s="222"/>
      <c r="CZ125" s="222"/>
      <c r="DA125" s="222"/>
      <c r="DB125" s="222"/>
      <c r="DC125" s="222"/>
      <c r="DD125" s="222"/>
      <c r="DE125" s="222"/>
      <c r="DF125" s="222"/>
      <c r="DG125" s="222"/>
      <c r="DH125" s="222"/>
      <c r="DI125" s="222"/>
      <c r="DJ125" s="222"/>
      <c r="DK125" s="222"/>
      <c r="DL125" s="222"/>
      <c r="DM125" s="222"/>
      <c r="DN125" s="222"/>
      <c r="DO125" s="222"/>
      <c r="DP125" s="222"/>
      <c r="DQ125" s="222"/>
      <c r="DR125" s="222"/>
      <c r="DS125" s="222"/>
      <c r="DT125" s="222"/>
      <c r="DU125" s="222"/>
      <c r="DV125" s="222"/>
      <c r="DW125" s="222"/>
      <c r="DX125" s="222"/>
      <c r="DY125" s="222"/>
      <c r="DZ125" s="222"/>
      <c r="EA125" s="222"/>
      <c r="EB125" s="222"/>
      <c r="EC125" s="222"/>
      <c r="ED125" s="222"/>
      <c r="EE125" s="222"/>
      <c r="EF125" s="222"/>
      <c r="EG125" s="222"/>
      <c r="EH125" s="222"/>
    </row>
    <row r="126" spans="1:138">
      <c r="A126" s="222"/>
      <c r="B126" s="318"/>
      <c r="C126" s="323" t="s">
        <v>300</v>
      </c>
      <c r="D126" s="324">
        <f>SUM(BY5:BY6)</f>
        <v>29850002</v>
      </c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  <c r="BB126" s="222"/>
      <c r="BC126" s="222"/>
      <c r="BD126" s="222"/>
      <c r="BE126" s="222"/>
      <c r="BF126" s="222"/>
      <c r="BG126" s="222"/>
      <c r="BH126" s="222"/>
      <c r="BI126" s="222"/>
      <c r="BJ126" s="222"/>
      <c r="BK126" s="222"/>
      <c r="BL126" s="222"/>
      <c r="BM126" s="222"/>
      <c r="BN126" s="222"/>
      <c r="BO126" s="222"/>
      <c r="BP126" s="222"/>
      <c r="BQ126" s="222"/>
      <c r="BR126" s="222"/>
      <c r="BS126" s="222"/>
      <c r="BT126" s="222"/>
      <c r="BU126" s="222"/>
      <c r="BV126" s="222"/>
      <c r="BW126" s="222"/>
      <c r="BX126" s="222"/>
      <c r="BY126" s="222"/>
      <c r="BZ126" s="222"/>
      <c r="CA126" s="222"/>
      <c r="CB126" s="222"/>
      <c r="CC126" s="222"/>
      <c r="CD126" s="222"/>
      <c r="CE126" s="222"/>
      <c r="CF126" s="222"/>
      <c r="CG126" s="222"/>
      <c r="CH126" s="222"/>
      <c r="CI126" s="222"/>
      <c r="CJ126" s="222"/>
      <c r="CK126" s="222"/>
      <c r="CL126" s="222"/>
      <c r="CM126" s="222"/>
      <c r="CN126" s="222"/>
      <c r="CO126" s="222"/>
      <c r="CP126" s="222"/>
      <c r="CQ126" s="222"/>
      <c r="CR126" s="222"/>
      <c r="CS126" s="222"/>
      <c r="CT126" s="222"/>
      <c r="CU126" s="222"/>
      <c r="CV126" s="222"/>
      <c r="CW126" s="222"/>
      <c r="CX126" s="222"/>
      <c r="CY126" s="222"/>
      <c r="CZ126" s="222"/>
      <c r="DA126" s="222"/>
      <c r="DB126" s="222"/>
      <c r="DC126" s="222"/>
      <c r="DD126" s="222"/>
      <c r="DE126" s="222"/>
      <c r="DF126" s="222"/>
      <c r="DG126" s="222"/>
      <c r="DH126" s="222"/>
      <c r="DI126" s="222"/>
      <c r="DJ126" s="222"/>
      <c r="DK126" s="222"/>
      <c r="DL126" s="222"/>
      <c r="DM126" s="222"/>
      <c r="DN126" s="222"/>
      <c r="DO126" s="222"/>
      <c r="DP126" s="222"/>
      <c r="DQ126" s="222"/>
      <c r="DR126" s="222"/>
      <c r="DS126" s="222"/>
      <c r="DT126" s="222"/>
      <c r="DU126" s="222"/>
      <c r="DV126" s="222"/>
      <c r="DW126" s="222"/>
      <c r="DX126" s="222"/>
      <c r="DY126" s="222"/>
      <c r="DZ126" s="222"/>
      <c r="EA126" s="222"/>
      <c r="EB126" s="222"/>
      <c r="EC126" s="222"/>
      <c r="ED126" s="222"/>
      <c r="EE126" s="222"/>
      <c r="EF126" s="222"/>
      <c r="EG126" s="222"/>
      <c r="EH126" s="222"/>
    </row>
    <row r="127" spans="1:138">
      <c r="A127" s="222"/>
      <c r="B127" s="318"/>
      <c r="C127" s="323" t="s">
        <v>301</v>
      </c>
      <c r="D127" s="324">
        <f>-SUM(E119:BM119)</f>
        <v>12374173</v>
      </c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>
        <f>AB121+H119+H121</f>
        <v>10670829.476889789</v>
      </c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  <c r="BB127" s="222"/>
      <c r="BC127" s="222"/>
      <c r="BD127" s="222"/>
      <c r="BE127" s="222"/>
      <c r="BF127" s="222"/>
      <c r="BG127" s="222"/>
      <c r="BH127" s="222"/>
      <c r="BI127" s="222"/>
      <c r="BJ127" s="222"/>
      <c r="BK127" s="222"/>
      <c r="BL127" s="222"/>
      <c r="BM127" s="222"/>
      <c r="BN127" s="222"/>
      <c r="BO127" s="222"/>
      <c r="BP127" s="222"/>
      <c r="BQ127" s="222"/>
      <c r="BR127" s="222"/>
      <c r="BS127" s="222"/>
      <c r="BT127" s="222"/>
      <c r="BU127" s="222"/>
      <c r="BV127" s="222"/>
      <c r="BW127" s="222"/>
      <c r="BX127" s="222"/>
      <c r="BY127" s="222"/>
      <c r="BZ127" s="222"/>
      <c r="CA127" s="222"/>
      <c r="CB127" s="222"/>
      <c r="CC127" s="222"/>
      <c r="CD127" s="222"/>
      <c r="CE127" s="222"/>
      <c r="CF127" s="222"/>
      <c r="CG127" s="222"/>
      <c r="CH127" s="222"/>
      <c r="CI127" s="222"/>
      <c r="CJ127" s="222"/>
      <c r="CK127" s="222"/>
      <c r="CL127" s="222"/>
      <c r="CM127" s="222"/>
      <c r="CN127" s="222"/>
      <c r="CO127" s="222"/>
      <c r="CP127" s="222"/>
      <c r="CQ127" s="222"/>
      <c r="CR127" s="222"/>
      <c r="CS127" s="222"/>
      <c r="CT127" s="222"/>
      <c r="CU127" s="222"/>
      <c r="CV127" s="222"/>
      <c r="CW127" s="222"/>
      <c r="CX127" s="222"/>
      <c r="CY127" s="222"/>
      <c r="CZ127" s="222"/>
      <c r="DA127" s="222"/>
      <c r="DB127" s="222"/>
      <c r="DC127" s="222"/>
      <c r="DD127" s="222"/>
      <c r="DE127" s="222"/>
      <c r="DF127" s="222"/>
      <c r="DG127" s="222"/>
      <c r="DH127" s="222"/>
      <c r="DI127" s="222"/>
      <c r="DJ127" s="222"/>
      <c r="DK127" s="222"/>
      <c r="DL127" s="222"/>
      <c r="DM127" s="222"/>
      <c r="DN127" s="222"/>
      <c r="DO127" s="222"/>
      <c r="DP127" s="222"/>
      <c r="DQ127" s="222"/>
      <c r="DR127" s="222"/>
      <c r="DS127" s="222"/>
      <c r="DT127" s="222"/>
      <c r="DU127" s="222"/>
      <c r="DV127" s="222"/>
      <c r="DW127" s="325"/>
      <c r="DX127" s="325"/>
      <c r="DY127" s="325"/>
      <c r="DZ127" s="325"/>
      <c r="EA127" s="325"/>
      <c r="EB127" s="325"/>
      <c r="EC127" s="325"/>
      <c r="ED127" s="325"/>
      <c r="EE127" s="325"/>
      <c r="EF127" s="325"/>
      <c r="EG127" s="325"/>
      <c r="EH127" s="325"/>
    </row>
    <row r="128" spans="1:138">
      <c r="A128" s="222"/>
      <c r="B128" s="318"/>
      <c r="C128" s="313" t="s">
        <v>302</v>
      </c>
      <c r="D128" s="326">
        <f>D126+D127</f>
        <v>42224175</v>
      </c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605"/>
      <c r="T128" s="588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222"/>
      <c r="AF128" s="222"/>
      <c r="AG128" s="222"/>
      <c r="AH128" s="222"/>
      <c r="AI128" s="222"/>
      <c r="AJ128" s="222"/>
      <c r="AK128" s="222"/>
      <c r="AL128" s="222"/>
      <c r="AM128" s="222"/>
      <c r="AN128" s="222"/>
      <c r="AO128" s="222"/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  <c r="BB128" s="222"/>
      <c r="BC128" s="222"/>
      <c r="BD128" s="222"/>
      <c r="BE128" s="222"/>
      <c r="BF128" s="222"/>
      <c r="BG128" s="222"/>
      <c r="BH128" s="222"/>
      <c r="BI128" s="222"/>
      <c r="BJ128" s="222"/>
      <c r="BK128" s="222"/>
      <c r="BL128" s="222"/>
      <c r="BM128" s="222"/>
      <c r="BN128" s="222"/>
      <c r="BO128" s="222"/>
      <c r="BP128" s="222"/>
      <c r="BQ128" s="222"/>
      <c r="BR128" s="222"/>
      <c r="BS128" s="222"/>
      <c r="BT128" s="222"/>
      <c r="BU128" s="222"/>
      <c r="BV128" s="222"/>
      <c r="BW128" s="222"/>
      <c r="BX128" s="222"/>
      <c r="BY128" s="222"/>
      <c r="BZ128" s="222"/>
      <c r="CA128" s="222"/>
      <c r="CB128" s="222"/>
      <c r="CC128" s="222"/>
      <c r="CD128" s="222"/>
      <c r="CE128" s="222"/>
      <c r="CF128" s="222"/>
      <c r="CG128" s="222"/>
      <c r="CH128" s="222"/>
      <c r="CI128" s="222"/>
      <c r="CJ128" s="222"/>
      <c r="CK128" s="222"/>
      <c r="CL128" s="222"/>
      <c r="CM128" s="222"/>
      <c r="CN128" s="222"/>
      <c r="CO128" s="222"/>
      <c r="CP128" s="222"/>
      <c r="CQ128" s="222"/>
      <c r="CR128" s="222"/>
      <c r="CS128" s="222"/>
      <c r="CT128" s="222"/>
      <c r="CU128" s="222"/>
      <c r="CV128" s="222"/>
      <c r="CW128" s="222"/>
      <c r="CX128" s="222"/>
      <c r="CY128" s="222"/>
      <c r="CZ128" s="222"/>
      <c r="DA128" s="222"/>
      <c r="DB128" s="222"/>
      <c r="DC128" s="222"/>
      <c r="DD128" s="222"/>
      <c r="DE128" s="222"/>
      <c r="DF128" s="222"/>
      <c r="DG128" s="222"/>
      <c r="DH128" s="222"/>
      <c r="DI128" s="222"/>
      <c r="DJ128" s="222"/>
      <c r="DK128" s="222"/>
      <c r="DL128" s="222"/>
      <c r="DM128" s="222"/>
      <c r="DN128" s="222"/>
      <c r="DO128" s="222"/>
      <c r="DP128" s="222"/>
      <c r="DQ128" s="222"/>
      <c r="DR128" s="222"/>
      <c r="DS128" s="222"/>
      <c r="DT128" s="222"/>
      <c r="DU128" s="222"/>
      <c r="DV128" s="222"/>
      <c r="DW128" s="325"/>
      <c r="DX128" s="325"/>
      <c r="DY128" s="325"/>
      <c r="DZ128" s="325"/>
      <c r="EA128" s="325"/>
      <c r="EB128" s="325"/>
      <c r="EC128" s="325"/>
      <c r="ED128" s="325"/>
      <c r="EE128" s="325"/>
      <c r="EF128" s="325"/>
      <c r="EG128" s="325"/>
      <c r="EH128" s="325"/>
    </row>
    <row r="129" spans="1:138">
      <c r="A129" s="222"/>
      <c r="B129" s="318"/>
      <c r="C129" s="313" t="s">
        <v>303</v>
      </c>
      <c r="D129" s="326">
        <f>AB120+AB121-D127</f>
        <v>25091056.801547326</v>
      </c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605"/>
      <c r="T129" s="588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2"/>
      <c r="AQ129" s="222"/>
      <c r="AR129" s="222"/>
      <c r="AS129" s="222"/>
      <c r="AT129" s="222"/>
      <c r="AU129" s="222"/>
      <c r="AV129" s="222"/>
      <c r="AW129" s="222"/>
      <c r="AX129" s="222"/>
      <c r="AY129" s="222"/>
      <c r="AZ129" s="222"/>
      <c r="BA129" s="222"/>
      <c r="BB129" s="222"/>
      <c r="BC129" s="222"/>
      <c r="BD129" s="222"/>
      <c r="BE129" s="222"/>
      <c r="BF129" s="222"/>
      <c r="BG129" s="222"/>
      <c r="BH129" s="222"/>
      <c r="BI129" s="222"/>
      <c r="BJ129" s="222"/>
      <c r="BK129" s="222"/>
      <c r="BL129" s="222"/>
      <c r="BM129" s="222"/>
      <c r="BN129" s="222"/>
      <c r="BO129" s="222"/>
      <c r="BP129" s="222"/>
      <c r="BQ129" s="222"/>
      <c r="BR129" s="222"/>
      <c r="BS129" s="222"/>
      <c r="BT129" s="222"/>
      <c r="BU129" s="222"/>
      <c r="BV129" s="222"/>
      <c r="BW129" s="222"/>
      <c r="BX129" s="222"/>
      <c r="BY129" s="222"/>
      <c r="BZ129" s="238"/>
      <c r="CA129" s="222"/>
      <c r="CB129" s="222"/>
      <c r="CC129" s="222"/>
      <c r="CD129" s="222"/>
      <c r="CE129" s="222"/>
      <c r="CF129" s="222"/>
      <c r="CG129" s="222"/>
      <c r="CH129" s="222"/>
      <c r="CI129" s="222"/>
      <c r="CJ129" s="222"/>
      <c r="CK129" s="222"/>
      <c r="CL129" s="222"/>
      <c r="CM129" s="222"/>
      <c r="CN129" s="222"/>
      <c r="CO129" s="222"/>
      <c r="CP129" s="222"/>
      <c r="CQ129" s="222"/>
      <c r="CR129" s="222"/>
      <c r="CS129" s="222"/>
      <c r="CT129" s="222"/>
      <c r="CU129" s="222"/>
      <c r="CV129" s="222"/>
      <c r="CW129" s="222"/>
      <c r="CX129" s="222"/>
      <c r="CY129" s="222"/>
      <c r="CZ129" s="222"/>
      <c r="DA129" s="222"/>
      <c r="DB129" s="222"/>
      <c r="DC129" s="222"/>
      <c r="DD129" s="222"/>
      <c r="DE129" s="222"/>
      <c r="DF129" s="222"/>
      <c r="DG129" s="222"/>
      <c r="DH129" s="222"/>
      <c r="DI129" s="222"/>
      <c r="DJ129" s="222"/>
      <c r="DK129" s="222"/>
      <c r="DL129" s="222"/>
      <c r="DM129" s="222"/>
      <c r="DN129" s="222"/>
      <c r="DO129" s="222"/>
      <c r="DP129" s="222"/>
      <c r="DQ129" s="222"/>
      <c r="DR129" s="222"/>
      <c r="DS129" s="222"/>
      <c r="DT129" s="222"/>
      <c r="DU129" s="222"/>
      <c r="DV129" s="222"/>
      <c r="DW129" s="325"/>
      <c r="DX129" s="325"/>
      <c r="DY129" s="325"/>
      <c r="DZ129" s="325"/>
      <c r="EA129" s="325"/>
      <c r="EB129" s="325"/>
      <c r="EC129" s="325"/>
      <c r="ED129" s="325"/>
      <c r="EE129" s="325"/>
      <c r="EF129" s="325"/>
      <c r="EG129" s="325"/>
      <c r="EH129" s="325"/>
    </row>
    <row r="130" spans="1:138">
      <c r="A130" s="222"/>
      <c r="B130" s="318"/>
      <c r="C130" s="313" t="s">
        <v>147</v>
      </c>
      <c r="D130" s="322">
        <f>(D129-D127)/D128</f>
        <v>0.30117542383118973</v>
      </c>
      <c r="E130" s="222"/>
      <c r="F130" s="238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222"/>
      <c r="AF130" s="222"/>
      <c r="AG130" s="222"/>
      <c r="AH130" s="222"/>
      <c r="AI130" s="222"/>
      <c r="AJ130" s="222"/>
      <c r="AK130" s="222"/>
      <c r="AL130" s="222"/>
      <c r="AM130" s="222"/>
      <c r="AN130" s="222"/>
      <c r="AO130" s="222"/>
      <c r="AP130" s="222"/>
      <c r="AQ130" s="222"/>
      <c r="AR130" s="222"/>
      <c r="AS130" s="222"/>
      <c r="AT130" s="222"/>
      <c r="AU130" s="222"/>
      <c r="AV130" s="222"/>
      <c r="AW130" s="222"/>
      <c r="AX130" s="222"/>
      <c r="AY130" s="222"/>
      <c r="AZ130" s="222"/>
      <c r="BA130" s="222"/>
      <c r="BB130" s="222"/>
      <c r="BC130" s="222"/>
      <c r="BD130" s="222"/>
      <c r="BE130" s="222"/>
      <c r="BF130" s="222"/>
      <c r="BG130" s="222"/>
      <c r="BH130" s="222"/>
      <c r="BI130" s="222"/>
      <c r="BJ130" s="222"/>
      <c r="BK130" s="222"/>
      <c r="BL130" s="222"/>
      <c r="BM130" s="222"/>
      <c r="BN130" s="222"/>
      <c r="BO130" s="222"/>
      <c r="BP130" s="222"/>
      <c r="BQ130" s="222"/>
      <c r="BR130" s="222"/>
      <c r="BS130" s="222"/>
      <c r="BT130" s="222"/>
      <c r="BU130" s="222"/>
      <c r="BV130" s="222"/>
      <c r="BW130" s="222"/>
      <c r="BX130" s="222"/>
      <c r="BY130" s="222"/>
      <c r="BZ130" s="222"/>
      <c r="CA130" s="222"/>
      <c r="CB130" s="222"/>
      <c r="CC130" s="222"/>
      <c r="CD130" s="222"/>
      <c r="CE130" s="222"/>
      <c r="CF130" s="222"/>
      <c r="CG130" s="222"/>
      <c r="CH130" s="222"/>
      <c r="CI130" s="222"/>
      <c r="CJ130" s="222"/>
      <c r="CK130" s="222"/>
      <c r="CL130" s="222"/>
      <c r="CM130" s="222"/>
      <c r="CN130" s="222"/>
      <c r="CO130" s="222"/>
      <c r="CP130" s="222"/>
      <c r="CQ130" s="222"/>
      <c r="CR130" s="222"/>
      <c r="CS130" s="222"/>
      <c r="CT130" s="222"/>
      <c r="CU130" s="222"/>
      <c r="CV130" s="222"/>
      <c r="CW130" s="222"/>
      <c r="CX130" s="222"/>
      <c r="CY130" s="222"/>
      <c r="CZ130" s="222"/>
      <c r="DA130" s="222"/>
      <c r="DB130" s="222"/>
      <c r="DC130" s="222"/>
      <c r="DD130" s="222"/>
      <c r="DE130" s="222"/>
      <c r="DF130" s="222"/>
      <c r="DG130" s="222"/>
      <c r="DH130" s="222"/>
      <c r="DI130" s="222"/>
      <c r="DJ130" s="222"/>
      <c r="DK130" s="222"/>
      <c r="DL130" s="222"/>
      <c r="DM130" s="222"/>
      <c r="DN130" s="222"/>
      <c r="DO130" s="222"/>
      <c r="DP130" s="222"/>
      <c r="DQ130" s="222"/>
      <c r="DR130" s="222"/>
      <c r="DS130" s="222"/>
      <c r="DT130" s="222"/>
      <c r="DU130" s="222"/>
      <c r="DV130" s="222"/>
      <c r="DW130" s="325"/>
      <c r="DX130" s="325"/>
      <c r="DY130" s="325"/>
      <c r="DZ130" s="325"/>
      <c r="EA130" s="325"/>
      <c r="EB130" s="325"/>
      <c r="EC130" s="325"/>
      <c r="ED130" s="325"/>
      <c r="EE130" s="325"/>
      <c r="EF130" s="325"/>
      <c r="EG130" s="325"/>
      <c r="EH130" s="325"/>
    </row>
    <row r="131" spans="1:138">
      <c r="A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38"/>
      <c r="W131" s="222"/>
      <c r="X131" s="222"/>
      <c r="Y131" s="222"/>
      <c r="Z131" s="222"/>
      <c r="AA131" s="222"/>
      <c r="AB131" s="222"/>
      <c r="AC131" s="222"/>
      <c r="AD131" s="222"/>
      <c r="AE131" s="222"/>
      <c r="AF131" s="222"/>
      <c r="AG131" s="222"/>
      <c r="AH131" s="222"/>
      <c r="AI131" s="222"/>
      <c r="AJ131" s="222"/>
      <c r="AK131" s="222"/>
      <c r="AL131" s="222"/>
      <c r="AM131" s="222"/>
      <c r="AN131" s="222"/>
      <c r="AO131" s="222"/>
      <c r="AP131" s="222"/>
      <c r="AQ131" s="222"/>
      <c r="AR131" s="222"/>
      <c r="AS131" s="222"/>
      <c r="AT131" s="222"/>
      <c r="AU131" s="222"/>
      <c r="AV131" s="222"/>
      <c r="AW131" s="222"/>
      <c r="AX131" s="222"/>
      <c r="AY131" s="222"/>
      <c r="AZ131" s="222"/>
      <c r="BA131" s="222"/>
      <c r="BB131" s="222"/>
      <c r="BC131" s="222"/>
      <c r="BD131" s="222"/>
      <c r="BE131" s="222"/>
      <c r="BF131" s="222"/>
      <c r="BG131" s="222"/>
      <c r="BH131" s="222"/>
      <c r="BI131" s="222"/>
      <c r="BJ131" s="222"/>
      <c r="BK131" s="222"/>
      <c r="BL131" s="222"/>
      <c r="BM131" s="222"/>
      <c r="BN131" s="222"/>
      <c r="BO131" s="222"/>
      <c r="BP131" s="222"/>
      <c r="BQ131" s="222"/>
      <c r="BR131" s="222"/>
      <c r="BS131" s="222"/>
      <c r="BT131" s="222"/>
      <c r="BU131" s="222"/>
      <c r="BV131" s="222"/>
      <c r="BW131" s="222"/>
      <c r="BX131" s="222"/>
      <c r="BY131" s="222"/>
      <c r="BZ131" s="222"/>
      <c r="CA131" s="222"/>
      <c r="CB131" s="222"/>
      <c r="CC131" s="222"/>
      <c r="CD131" s="222"/>
      <c r="CE131" s="222"/>
      <c r="CF131" s="222"/>
      <c r="CG131" s="222"/>
      <c r="CH131" s="222"/>
      <c r="CI131" s="222"/>
      <c r="CJ131" s="222"/>
      <c r="CK131" s="222"/>
      <c r="CL131" s="222"/>
      <c r="CM131" s="222"/>
      <c r="CN131" s="222"/>
      <c r="CO131" s="222"/>
      <c r="CP131" s="222"/>
      <c r="CQ131" s="222"/>
      <c r="CR131" s="222"/>
      <c r="CS131" s="222"/>
      <c r="CT131" s="222"/>
      <c r="CU131" s="222"/>
      <c r="CV131" s="222"/>
      <c r="CW131" s="222"/>
      <c r="CX131" s="222"/>
      <c r="CY131" s="222"/>
      <c r="CZ131" s="222"/>
      <c r="DA131" s="222"/>
      <c r="DB131" s="222"/>
      <c r="DC131" s="222"/>
      <c r="DD131" s="222"/>
      <c r="DE131" s="222"/>
      <c r="DF131" s="222"/>
      <c r="DG131" s="222"/>
      <c r="DH131" s="222"/>
      <c r="DI131" s="222"/>
      <c r="DJ131" s="222"/>
      <c r="DK131" s="222"/>
      <c r="DL131" s="222"/>
      <c r="DM131" s="222"/>
      <c r="DN131" s="222"/>
      <c r="DO131" s="222"/>
      <c r="DP131" s="222"/>
      <c r="DQ131" s="222"/>
      <c r="DR131" s="222"/>
      <c r="DS131" s="222"/>
      <c r="DT131" s="222"/>
      <c r="DU131" s="222"/>
      <c r="DV131" s="222"/>
      <c r="DW131" s="325"/>
      <c r="DX131" s="325"/>
      <c r="DY131" s="325"/>
      <c r="DZ131" s="325"/>
      <c r="EA131" s="325"/>
      <c r="EB131" s="325"/>
      <c r="EC131" s="325"/>
      <c r="ED131" s="325"/>
      <c r="EE131" s="325"/>
      <c r="EF131" s="325"/>
      <c r="EG131" s="325"/>
      <c r="EH131" s="325"/>
    </row>
    <row r="132" spans="1:138">
      <c r="A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222"/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222"/>
      <c r="BE132" s="222"/>
      <c r="BF132" s="222"/>
      <c r="BG132" s="222"/>
      <c r="BH132" s="222"/>
      <c r="BI132" s="222"/>
      <c r="BJ132" s="222"/>
      <c r="BK132" s="222"/>
      <c r="BL132" s="222"/>
      <c r="BM132" s="222"/>
      <c r="BN132" s="222"/>
      <c r="BO132" s="222"/>
      <c r="BP132" s="222"/>
      <c r="BQ132" s="222"/>
      <c r="BR132" s="222"/>
      <c r="BS132" s="222"/>
      <c r="BT132" s="222"/>
      <c r="BU132" s="222"/>
      <c r="BV132" s="222"/>
      <c r="BW132" s="222"/>
      <c r="BX132" s="222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222"/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222"/>
      <c r="DC132" s="222"/>
      <c r="DD132" s="222"/>
      <c r="DE132" s="222"/>
      <c r="DF132" s="222"/>
      <c r="DG132" s="222"/>
      <c r="DH132" s="222"/>
      <c r="DI132" s="222"/>
      <c r="DJ132" s="222"/>
      <c r="DK132" s="222"/>
      <c r="DL132" s="222"/>
      <c r="DM132" s="222"/>
      <c r="DN132" s="222"/>
      <c r="DO132" s="222"/>
      <c r="DP132" s="222"/>
      <c r="DQ132" s="222"/>
      <c r="DR132" s="222"/>
      <c r="DS132" s="222"/>
      <c r="DT132" s="222"/>
      <c r="DU132" s="222"/>
      <c r="DV132" s="222"/>
      <c r="DW132" s="325"/>
      <c r="DX132" s="325"/>
      <c r="DY132" s="325"/>
      <c r="DZ132" s="325"/>
      <c r="EA132" s="325"/>
      <c r="EB132" s="325"/>
      <c r="EC132" s="325"/>
      <c r="ED132" s="325"/>
      <c r="EE132" s="325"/>
      <c r="EF132" s="325"/>
      <c r="EG132" s="325"/>
      <c r="EH132" s="325"/>
    </row>
    <row r="133" spans="1:138" hidden="1">
      <c r="A133" s="222"/>
      <c r="E133" s="222"/>
      <c r="F133" s="222"/>
      <c r="G133" s="222"/>
      <c r="H133" s="222">
        <f t="shared" ref="H133:Z133" si="51">-SUM(H5:H6)</f>
        <v>-16365002</v>
      </c>
      <c r="I133" s="222">
        <f t="shared" si="51"/>
        <v>0</v>
      </c>
      <c r="J133" s="222">
        <f t="shared" si="51"/>
        <v>0</v>
      </c>
      <c r="K133" s="222">
        <f t="shared" si="51"/>
        <v>-885000</v>
      </c>
      <c r="L133" s="222">
        <f t="shared" si="51"/>
        <v>-1940000</v>
      </c>
      <c r="M133" s="222">
        <f t="shared" si="51"/>
        <v>-4260000</v>
      </c>
      <c r="N133" s="222">
        <f t="shared" si="51"/>
        <v>0</v>
      </c>
      <c r="O133" s="222">
        <f t="shared" si="51"/>
        <v>-320000</v>
      </c>
      <c r="P133" s="222">
        <f t="shared" si="51"/>
        <v>-320000</v>
      </c>
      <c r="Q133" s="222">
        <f t="shared" si="51"/>
        <v>0</v>
      </c>
      <c r="R133" s="222">
        <f t="shared" si="51"/>
        <v>-670000</v>
      </c>
      <c r="S133" s="222">
        <f t="shared" si="51"/>
        <v>0</v>
      </c>
      <c r="T133" s="222">
        <f t="shared" si="51"/>
        <v>0</v>
      </c>
      <c r="U133" s="222">
        <f t="shared" si="51"/>
        <v>0</v>
      </c>
      <c r="V133" s="222">
        <f t="shared" si="51"/>
        <v>-3090000</v>
      </c>
      <c r="W133" s="222">
        <f t="shared" si="51"/>
        <v>0</v>
      </c>
      <c r="X133" s="222">
        <f t="shared" si="51"/>
        <v>0</v>
      </c>
      <c r="Y133" s="222">
        <f t="shared" si="51"/>
        <v>0</v>
      </c>
      <c r="Z133" s="222">
        <f t="shared" si="51"/>
        <v>-2000000</v>
      </c>
      <c r="AA133" s="222"/>
      <c r="AB133" s="222">
        <f>AA133+SUM(H133:Z133)</f>
        <v>-29850002</v>
      </c>
      <c r="AC133" s="238">
        <f>AB133/-SUM(H133:Z133)</f>
        <v>-1</v>
      </c>
      <c r="AD133" s="222"/>
      <c r="AE133" s="222"/>
      <c r="AF133" s="222"/>
      <c r="AG133" s="222"/>
      <c r="AH133" s="222"/>
      <c r="AI133" s="222"/>
      <c r="AJ133" s="222"/>
      <c r="AK133" s="222"/>
      <c r="AL133" s="222"/>
      <c r="AM133" s="222"/>
      <c r="AN133" s="222"/>
      <c r="AO133" s="238">
        <f>AC133/20*12</f>
        <v>-0.60000000000000009</v>
      </c>
      <c r="AP133" s="222"/>
      <c r="AQ133" s="222"/>
      <c r="AR133" s="222"/>
      <c r="AS133" s="222"/>
      <c r="AT133" s="222"/>
      <c r="AU133" s="222"/>
      <c r="AV133" s="222"/>
      <c r="AW133" s="222"/>
      <c r="AX133" s="222"/>
      <c r="AY133" s="222"/>
      <c r="AZ133" s="222"/>
      <c r="BA133" s="222"/>
      <c r="BB133" s="222"/>
      <c r="BC133" s="222"/>
      <c r="BD133" s="222"/>
      <c r="BE133" s="222"/>
      <c r="BF133" s="222"/>
      <c r="BG133" s="222"/>
      <c r="BH133" s="222"/>
      <c r="BI133" s="222"/>
      <c r="BJ133" s="222"/>
      <c r="BK133" s="222"/>
      <c r="BL133" s="222"/>
      <c r="BM133" s="222"/>
      <c r="BN133" s="222"/>
      <c r="BO133" s="222"/>
      <c r="BP133" s="222"/>
      <c r="BQ133" s="222"/>
      <c r="BR133" s="222"/>
      <c r="BS133" s="222"/>
      <c r="BT133" s="222"/>
      <c r="BU133" s="222"/>
      <c r="BV133" s="222"/>
      <c r="BW133" s="222"/>
      <c r="BX133" s="222"/>
      <c r="BY133" s="222"/>
      <c r="BZ133" s="222"/>
      <c r="CA133" s="222"/>
      <c r="CB133" s="222"/>
      <c r="CC133" s="222"/>
      <c r="CD133" s="222"/>
      <c r="CE133" s="222"/>
      <c r="CF133" s="222"/>
      <c r="CG133" s="222"/>
      <c r="CH133" s="222"/>
      <c r="CI133" s="222"/>
      <c r="CJ133" s="222"/>
      <c r="CK133" s="222"/>
      <c r="CL133" s="222"/>
      <c r="CM133" s="222"/>
      <c r="CN133" s="222"/>
      <c r="CO133" s="222"/>
      <c r="CP133" s="222"/>
      <c r="CQ133" s="222"/>
      <c r="CR133" s="222"/>
      <c r="CS133" s="222"/>
      <c r="CT133" s="222"/>
      <c r="CU133" s="222"/>
      <c r="CV133" s="222"/>
      <c r="CW133" s="222"/>
      <c r="CX133" s="222"/>
      <c r="CY133" s="222"/>
      <c r="CZ133" s="222"/>
      <c r="DA133" s="222"/>
      <c r="DB133" s="222"/>
      <c r="DC133" s="222"/>
      <c r="DD133" s="222"/>
      <c r="DE133" s="222"/>
      <c r="DF133" s="222"/>
      <c r="DG133" s="222"/>
      <c r="DH133" s="222"/>
      <c r="DI133" s="222"/>
      <c r="DJ133" s="222"/>
      <c r="DK133" s="222"/>
      <c r="DL133" s="222"/>
      <c r="DM133" s="222"/>
      <c r="DN133" s="222"/>
      <c r="DO133" s="222"/>
      <c r="DP133" s="222"/>
      <c r="DQ133" s="222"/>
      <c r="DR133" s="222"/>
      <c r="DS133" s="222"/>
      <c r="DT133" s="222"/>
      <c r="DU133" s="222"/>
      <c r="DV133" s="222"/>
      <c r="DW133" s="325"/>
      <c r="DX133" s="325"/>
      <c r="DY133" s="325"/>
      <c r="DZ133" s="325"/>
      <c r="EA133" s="325"/>
      <c r="EB133" s="325"/>
      <c r="EC133" s="325"/>
      <c r="ED133" s="325"/>
      <c r="EE133" s="325"/>
      <c r="EF133" s="325"/>
      <c r="EG133" s="325"/>
      <c r="EH133" s="325"/>
    </row>
    <row r="134" spans="1:138" hidden="1">
      <c r="A134" s="222"/>
      <c r="E134" s="222"/>
      <c r="F134" s="222"/>
      <c r="G134" s="238" t="e">
        <f>IRR(H133:AA133)*12</f>
        <v>#NUM!</v>
      </c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222"/>
      <c r="AF134" s="222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2"/>
      <c r="BN134" s="222"/>
      <c r="BO134" s="222"/>
      <c r="BP134" s="222"/>
      <c r="BQ134" s="222"/>
      <c r="BR134" s="222"/>
      <c r="BS134" s="222"/>
      <c r="BT134" s="222"/>
      <c r="BU134" s="222"/>
      <c r="BV134" s="222"/>
      <c r="BW134" s="222"/>
      <c r="BX134" s="222"/>
      <c r="BY134" s="222"/>
      <c r="BZ134" s="222"/>
      <c r="CA134" s="222"/>
      <c r="CB134" s="222"/>
      <c r="CC134" s="222"/>
      <c r="CD134" s="222"/>
      <c r="CE134" s="222"/>
      <c r="CF134" s="222"/>
      <c r="CG134" s="222"/>
      <c r="CH134" s="222"/>
      <c r="CI134" s="222"/>
      <c r="CJ134" s="222"/>
      <c r="CK134" s="222"/>
      <c r="CL134" s="222"/>
      <c r="CM134" s="222"/>
      <c r="CN134" s="222"/>
      <c r="CO134" s="222"/>
      <c r="CP134" s="222"/>
      <c r="CQ134" s="222"/>
      <c r="CR134" s="222"/>
      <c r="CS134" s="222"/>
      <c r="CT134" s="222"/>
      <c r="CU134" s="222"/>
      <c r="CV134" s="222"/>
      <c r="CW134" s="222"/>
      <c r="CX134" s="222"/>
      <c r="CY134" s="222"/>
      <c r="CZ134" s="222"/>
      <c r="DA134" s="222"/>
      <c r="DB134" s="222"/>
      <c r="DC134" s="222"/>
      <c r="DD134" s="222"/>
      <c r="DE134" s="222"/>
      <c r="DF134" s="222"/>
      <c r="DG134" s="222"/>
      <c r="DH134" s="222"/>
      <c r="DI134" s="222"/>
      <c r="DJ134" s="222"/>
      <c r="DK134" s="222"/>
      <c r="DL134" s="222"/>
      <c r="DM134" s="222"/>
      <c r="DN134" s="222"/>
      <c r="DO134" s="222"/>
      <c r="DP134" s="222"/>
      <c r="DQ134" s="222"/>
      <c r="DR134" s="222"/>
      <c r="DS134" s="222"/>
      <c r="DT134" s="222"/>
      <c r="DU134" s="222"/>
      <c r="DV134" s="222"/>
      <c r="DW134" s="325"/>
      <c r="DX134" s="325"/>
      <c r="DY134" s="325"/>
      <c r="DZ134" s="325"/>
      <c r="EA134" s="325"/>
      <c r="EB134" s="325"/>
      <c r="EC134" s="325"/>
      <c r="ED134" s="325"/>
      <c r="EE134" s="325"/>
      <c r="EF134" s="325"/>
      <c r="EG134" s="325"/>
      <c r="EH134" s="325"/>
    </row>
    <row r="135" spans="1:138" hidden="1">
      <c r="A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222"/>
      <c r="AF135" s="222"/>
      <c r="AG135" s="222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2"/>
      <c r="BN135" s="222"/>
      <c r="BO135" s="222"/>
      <c r="BP135" s="222"/>
      <c r="BQ135" s="222"/>
      <c r="BR135" s="222"/>
      <c r="BS135" s="222"/>
      <c r="BT135" s="222"/>
      <c r="BU135" s="222"/>
      <c r="BV135" s="222"/>
      <c r="BW135" s="222"/>
      <c r="BX135" s="222"/>
      <c r="BY135" s="222"/>
      <c r="BZ135" s="222"/>
      <c r="CA135" s="222"/>
      <c r="CB135" s="222"/>
      <c r="CC135" s="222"/>
      <c r="CD135" s="222"/>
      <c r="CE135" s="222"/>
      <c r="CF135" s="222"/>
      <c r="CG135" s="222"/>
      <c r="CH135" s="222"/>
      <c r="CI135" s="222"/>
      <c r="CJ135" s="222"/>
      <c r="CK135" s="222"/>
      <c r="CL135" s="222"/>
      <c r="CM135" s="222"/>
      <c r="CN135" s="222"/>
      <c r="CO135" s="222"/>
      <c r="CP135" s="222"/>
      <c r="CQ135" s="222"/>
      <c r="CR135" s="222"/>
      <c r="CS135" s="222"/>
      <c r="CT135" s="222"/>
      <c r="CU135" s="222"/>
      <c r="CV135" s="222"/>
      <c r="CW135" s="222"/>
      <c r="CX135" s="222"/>
      <c r="CY135" s="222"/>
      <c r="CZ135" s="222"/>
      <c r="DA135" s="222"/>
      <c r="DB135" s="222"/>
      <c r="DC135" s="222"/>
      <c r="DD135" s="222"/>
      <c r="DE135" s="222"/>
      <c r="DF135" s="222"/>
      <c r="DG135" s="222"/>
      <c r="DH135" s="222"/>
      <c r="DI135" s="222"/>
      <c r="DJ135" s="222"/>
      <c r="DK135" s="222"/>
      <c r="DL135" s="222"/>
      <c r="DM135" s="222"/>
      <c r="DN135" s="222"/>
      <c r="DO135" s="222"/>
      <c r="DP135" s="222"/>
      <c r="DQ135" s="222"/>
      <c r="DR135" s="222"/>
      <c r="DS135" s="222"/>
      <c r="DT135" s="222"/>
      <c r="DU135" s="222"/>
      <c r="DV135" s="222"/>
      <c r="DW135" s="325"/>
      <c r="DX135" s="325"/>
      <c r="DY135" s="325"/>
      <c r="DZ135" s="325"/>
      <c r="EA135" s="325"/>
      <c r="EB135" s="325"/>
      <c r="EC135" s="325"/>
      <c r="ED135" s="325"/>
      <c r="EE135" s="325"/>
      <c r="EF135" s="325"/>
      <c r="EG135" s="325"/>
      <c r="EH135" s="325"/>
    </row>
    <row r="136" spans="1:138" hidden="1">
      <c r="A136" s="222"/>
      <c r="B136" s="318"/>
      <c r="C136" s="310" t="s">
        <v>304</v>
      </c>
      <c r="D136" s="311"/>
      <c r="E136" s="311">
        <f t="shared" ref="E136:Z136" si="52">-(E6+E92)</f>
        <v>0</v>
      </c>
      <c r="F136" s="311">
        <f t="shared" si="52"/>
        <v>0</v>
      </c>
      <c r="G136" s="311">
        <f t="shared" si="52"/>
        <v>0</v>
      </c>
      <c r="H136" s="311">
        <f t="shared" si="52"/>
        <v>0</v>
      </c>
      <c r="I136" s="311">
        <f t="shared" si="52"/>
        <v>0</v>
      </c>
      <c r="J136" s="311">
        <f t="shared" si="52"/>
        <v>0</v>
      </c>
      <c r="K136" s="311">
        <f t="shared" si="52"/>
        <v>-885000</v>
      </c>
      <c r="L136" s="311">
        <f t="shared" si="52"/>
        <v>-1940000</v>
      </c>
      <c r="M136" s="311">
        <f t="shared" si="52"/>
        <v>-4260000</v>
      </c>
      <c r="N136" s="311">
        <f t="shared" si="52"/>
        <v>0</v>
      </c>
      <c r="O136" s="311">
        <f t="shared" si="52"/>
        <v>-320000</v>
      </c>
      <c r="P136" s="311">
        <f t="shared" si="52"/>
        <v>-320000</v>
      </c>
      <c r="Q136" s="311">
        <f t="shared" si="52"/>
        <v>0</v>
      </c>
      <c r="R136" s="311">
        <f t="shared" si="52"/>
        <v>-670000</v>
      </c>
      <c r="S136" s="311">
        <f t="shared" si="52"/>
        <v>0</v>
      </c>
      <c r="T136" s="311">
        <f t="shared" si="52"/>
        <v>0</v>
      </c>
      <c r="U136" s="311">
        <f t="shared" si="52"/>
        <v>0</v>
      </c>
      <c r="V136" s="311">
        <f t="shared" si="52"/>
        <v>-3090000</v>
      </c>
      <c r="W136" s="311">
        <f t="shared" si="52"/>
        <v>0</v>
      </c>
      <c r="X136" s="311">
        <f t="shared" si="52"/>
        <v>0</v>
      </c>
      <c r="Y136" s="311">
        <f t="shared" si="52"/>
        <v>0</v>
      </c>
      <c r="Z136" s="311">
        <f t="shared" si="52"/>
        <v>-2000000</v>
      </c>
      <c r="AA136" s="311"/>
      <c r="AB136" s="311">
        <f t="shared" ref="AB136:AE136" si="53">-(AB6+AB92)</f>
        <v>13485000</v>
      </c>
      <c r="AC136" s="311">
        <f t="shared" si="53"/>
        <v>0</v>
      </c>
      <c r="AD136" s="311">
        <f t="shared" si="53"/>
        <v>0</v>
      </c>
      <c r="AE136" s="311">
        <f t="shared" si="53"/>
        <v>0</v>
      </c>
      <c r="AF136" s="311"/>
      <c r="AG136" s="311"/>
      <c r="AH136" s="311"/>
      <c r="AI136" s="311"/>
      <c r="AJ136" s="311"/>
      <c r="AK136" s="311">
        <f t="shared" ref="AK136:BX136" si="54">-(AK6+AK92)</f>
        <v>0</v>
      </c>
      <c r="AL136" s="311">
        <f t="shared" si="54"/>
        <v>0</v>
      </c>
      <c r="AM136" s="311">
        <f t="shared" si="54"/>
        <v>0</v>
      </c>
      <c r="AN136" s="311">
        <f t="shared" si="54"/>
        <v>0</v>
      </c>
      <c r="AO136" s="311">
        <f t="shared" si="54"/>
        <v>0</v>
      </c>
      <c r="AP136" s="311">
        <f t="shared" si="54"/>
        <v>0</v>
      </c>
      <c r="AQ136" s="311">
        <f t="shared" si="54"/>
        <v>0</v>
      </c>
      <c r="AR136" s="311">
        <f t="shared" si="54"/>
        <v>0</v>
      </c>
      <c r="AS136" s="311">
        <f t="shared" si="54"/>
        <v>0</v>
      </c>
      <c r="AT136" s="311">
        <f t="shared" si="54"/>
        <v>0</v>
      </c>
      <c r="AU136" s="311">
        <f t="shared" si="54"/>
        <v>0</v>
      </c>
      <c r="AV136" s="311">
        <f t="shared" si="54"/>
        <v>0</v>
      </c>
      <c r="AW136" s="311">
        <f t="shared" si="54"/>
        <v>0</v>
      </c>
      <c r="AX136" s="311">
        <f t="shared" si="54"/>
        <v>0</v>
      </c>
      <c r="AY136" s="311">
        <f t="shared" si="54"/>
        <v>0</v>
      </c>
      <c r="AZ136" s="311">
        <f t="shared" si="54"/>
        <v>0</v>
      </c>
      <c r="BA136" s="311">
        <f t="shared" si="54"/>
        <v>0</v>
      </c>
      <c r="BB136" s="311">
        <f t="shared" si="54"/>
        <v>0</v>
      </c>
      <c r="BC136" s="311">
        <f t="shared" si="54"/>
        <v>0</v>
      </c>
      <c r="BD136" s="311">
        <f t="shared" si="54"/>
        <v>0</v>
      </c>
      <c r="BE136" s="311">
        <f t="shared" si="54"/>
        <v>0</v>
      </c>
      <c r="BF136" s="311">
        <f t="shared" si="54"/>
        <v>0</v>
      </c>
      <c r="BG136" s="311">
        <f t="shared" si="54"/>
        <v>0</v>
      </c>
      <c r="BH136" s="311">
        <f t="shared" si="54"/>
        <v>0</v>
      </c>
      <c r="BI136" s="311">
        <f t="shared" si="54"/>
        <v>0</v>
      </c>
      <c r="BJ136" s="311">
        <f t="shared" si="54"/>
        <v>0</v>
      </c>
      <c r="BK136" s="311">
        <f t="shared" si="54"/>
        <v>0</v>
      </c>
      <c r="BL136" s="311">
        <f t="shared" si="54"/>
        <v>0</v>
      </c>
      <c r="BM136" s="311">
        <f t="shared" si="54"/>
        <v>0</v>
      </c>
      <c r="BN136" s="311">
        <f t="shared" si="54"/>
        <v>0</v>
      </c>
      <c r="BO136" s="311">
        <f t="shared" si="54"/>
        <v>0</v>
      </c>
      <c r="BP136" s="311">
        <f t="shared" si="54"/>
        <v>0</v>
      </c>
      <c r="BQ136" s="311">
        <f t="shared" si="54"/>
        <v>0</v>
      </c>
      <c r="BR136" s="311">
        <f t="shared" si="54"/>
        <v>0</v>
      </c>
      <c r="BS136" s="311">
        <f t="shared" si="54"/>
        <v>0</v>
      </c>
      <c r="BT136" s="311">
        <f t="shared" si="54"/>
        <v>0</v>
      </c>
      <c r="BU136" s="311">
        <f t="shared" si="54"/>
        <v>0</v>
      </c>
      <c r="BV136" s="311">
        <f t="shared" si="54"/>
        <v>0</v>
      </c>
      <c r="BW136" s="311">
        <f t="shared" si="54"/>
        <v>0</v>
      </c>
      <c r="BX136" s="311">
        <f t="shared" si="54"/>
        <v>0</v>
      </c>
      <c r="BY136" s="222"/>
      <c r="BZ136" s="222"/>
      <c r="CA136" s="222"/>
      <c r="CB136" s="222"/>
      <c r="CC136" s="222"/>
      <c r="CD136" s="222"/>
      <c r="CE136" s="222"/>
      <c r="CF136" s="222"/>
      <c r="CG136" s="222"/>
      <c r="CH136" s="222"/>
      <c r="CI136" s="222"/>
      <c r="CJ136" s="222"/>
      <c r="CK136" s="222"/>
      <c r="CL136" s="222"/>
      <c r="CM136" s="222"/>
      <c r="CN136" s="222"/>
      <c r="CO136" s="222"/>
      <c r="CP136" s="222"/>
      <c r="CQ136" s="222"/>
      <c r="CR136" s="222"/>
      <c r="CS136" s="222"/>
      <c r="CT136" s="222"/>
      <c r="CU136" s="222"/>
      <c r="CV136" s="222"/>
      <c r="CW136" s="222"/>
      <c r="CX136" s="222"/>
      <c r="CY136" s="222"/>
      <c r="CZ136" s="222"/>
      <c r="DA136" s="222"/>
      <c r="DB136" s="222"/>
      <c r="DC136" s="222"/>
      <c r="DD136" s="222"/>
      <c r="DE136" s="222"/>
      <c r="DF136" s="222"/>
      <c r="DG136" s="222"/>
      <c r="DH136" s="222"/>
      <c r="DI136" s="222"/>
      <c r="DJ136" s="222"/>
      <c r="DK136" s="222"/>
      <c r="DL136" s="222"/>
      <c r="DM136" s="222"/>
      <c r="DN136" s="222"/>
      <c r="DO136" s="222"/>
      <c r="DP136" s="222"/>
      <c r="DQ136" s="222"/>
      <c r="DR136" s="222"/>
      <c r="DS136" s="222"/>
      <c r="DT136" s="222"/>
      <c r="DU136" s="222"/>
      <c r="DV136" s="222"/>
      <c r="DW136" s="325"/>
      <c r="DX136" s="325"/>
      <c r="DY136" s="325"/>
      <c r="DZ136" s="325"/>
      <c r="EA136" s="325"/>
      <c r="EB136" s="325"/>
      <c r="EC136" s="325"/>
      <c r="ED136" s="325"/>
      <c r="EE136" s="325"/>
      <c r="EF136" s="325"/>
      <c r="EG136" s="325"/>
      <c r="EH136" s="325"/>
    </row>
    <row r="137" spans="1:138" hidden="1">
      <c r="A137" s="222"/>
      <c r="B137" s="318"/>
      <c r="C137" s="310" t="s">
        <v>305</v>
      </c>
      <c r="D137" s="319"/>
      <c r="E137" s="311"/>
      <c r="F137" s="311"/>
      <c r="G137" s="311"/>
      <c r="H137" s="311"/>
      <c r="I137" s="311"/>
      <c r="J137" s="311"/>
      <c r="K137" s="311"/>
      <c r="L137" s="311"/>
      <c r="M137" s="311"/>
      <c r="N137" s="311"/>
      <c r="O137" s="311"/>
      <c r="P137" s="311"/>
      <c r="Q137" s="311"/>
      <c r="R137" s="311"/>
      <c r="S137" s="311"/>
      <c r="T137" s="311"/>
      <c r="U137" s="311"/>
      <c r="V137" s="311"/>
      <c r="W137" s="311"/>
      <c r="X137" s="311"/>
      <c r="Y137" s="311"/>
      <c r="Z137" s="311"/>
      <c r="AA137" s="311"/>
      <c r="AB137" s="311"/>
      <c r="AC137" s="311"/>
      <c r="AD137" s="311"/>
      <c r="AE137" s="311"/>
      <c r="AF137" s="311"/>
      <c r="AG137" s="311"/>
      <c r="AH137" s="311"/>
      <c r="AI137" s="311"/>
      <c r="AJ137" s="311"/>
      <c r="AK137" s="311"/>
      <c r="AL137" s="311"/>
      <c r="AM137" s="311"/>
      <c r="AN137" s="311"/>
      <c r="AO137" s="311"/>
      <c r="AP137" s="311"/>
      <c r="AQ137" s="311"/>
      <c r="AR137" s="311"/>
      <c r="AS137" s="311"/>
      <c r="AT137" s="311"/>
      <c r="AU137" s="311"/>
      <c r="AV137" s="311"/>
      <c r="AW137" s="311"/>
      <c r="AX137" s="311"/>
      <c r="AY137" s="311"/>
      <c r="AZ137" s="311"/>
      <c r="BA137" s="311"/>
      <c r="BB137" s="311"/>
      <c r="BC137" s="311"/>
      <c r="BD137" s="311"/>
      <c r="BE137" s="311"/>
      <c r="BF137" s="311"/>
      <c r="BG137" s="311"/>
      <c r="BH137" s="311"/>
      <c r="BI137" s="311"/>
      <c r="BJ137" s="311"/>
      <c r="BK137" s="311"/>
      <c r="BL137" s="311"/>
      <c r="BM137" s="311"/>
      <c r="BN137" s="311"/>
      <c r="BO137" s="311"/>
      <c r="BP137" s="311"/>
      <c r="BQ137" s="311"/>
      <c r="BR137" s="311"/>
      <c r="BS137" s="311"/>
      <c r="BT137" s="311"/>
      <c r="BU137" s="311"/>
      <c r="BV137" s="311"/>
      <c r="BW137" s="311"/>
      <c r="BX137" s="311"/>
      <c r="BY137" s="222"/>
      <c r="BZ137" s="222"/>
      <c r="CA137" s="222"/>
      <c r="CB137" s="222"/>
      <c r="CC137" s="222"/>
      <c r="CD137" s="222"/>
      <c r="CE137" s="222"/>
      <c r="CF137" s="222"/>
      <c r="CG137" s="222"/>
      <c r="CH137" s="222"/>
      <c r="CI137" s="222"/>
      <c r="CJ137" s="222"/>
      <c r="CK137" s="222"/>
      <c r="CL137" s="222"/>
      <c r="CM137" s="222"/>
      <c r="CN137" s="222"/>
      <c r="CO137" s="222"/>
      <c r="CP137" s="222"/>
      <c r="CQ137" s="222"/>
      <c r="CR137" s="222"/>
      <c r="CS137" s="222"/>
      <c r="CT137" s="222"/>
      <c r="CU137" s="222"/>
      <c r="CV137" s="222"/>
      <c r="CW137" s="222"/>
      <c r="CX137" s="222"/>
      <c r="CY137" s="222"/>
      <c r="CZ137" s="222"/>
      <c r="DA137" s="222"/>
      <c r="DB137" s="222"/>
      <c r="DC137" s="222"/>
      <c r="DD137" s="222"/>
      <c r="DE137" s="222"/>
      <c r="DF137" s="222"/>
      <c r="DG137" s="222"/>
      <c r="DH137" s="222"/>
      <c r="DI137" s="222"/>
      <c r="DJ137" s="222"/>
      <c r="DK137" s="222"/>
      <c r="DL137" s="222"/>
      <c r="DM137" s="222"/>
      <c r="DN137" s="222"/>
      <c r="DO137" s="222"/>
      <c r="DP137" s="222"/>
      <c r="DQ137" s="222"/>
      <c r="DR137" s="222"/>
      <c r="DS137" s="222"/>
      <c r="DT137" s="222"/>
      <c r="DU137" s="222"/>
      <c r="DV137" s="222"/>
      <c r="DW137" s="325"/>
      <c r="DX137" s="325"/>
      <c r="DY137" s="325"/>
      <c r="DZ137" s="325"/>
      <c r="EA137" s="325"/>
      <c r="EB137" s="325"/>
      <c r="EC137" s="325"/>
      <c r="ED137" s="325"/>
      <c r="EE137" s="325"/>
      <c r="EF137" s="325"/>
      <c r="EG137" s="325"/>
      <c r="EH137" s="325"/>
    </row>
    <row r="138" spans="1:138" hidden="1">
      <c r="A138" s="222"/>
      <c r="B138" s="318"/>
      <c r="C138" s="310" t="s">
        <v>296</v>
      </c>
      <c r="D138" s="319"/>
      <c r="E138" s="311">
        <f t="shared" ref="E138:Z138" si="55">-E57</f>
        <v>0</v>
      </c>
      <c r="F138" s="311">
        <f t="shared" si="55"/>
        <v>0</v>
      </c>
      <c r="G138" s="311">
        <f t="shared" si="55"/>
        <v>0</v>
      </c>
      <c r="H138" s="311">
        <f t="shared" si="55"/>
        <v>0</v>
      </c>
      <c r="I138" s="311">
        <f t="shared" si="55"/>
        <v>0</v>
      </c>
      <c r="J138" s="311">
        <f t="shared" si="55"/>
        <v>0</v>
      </c>
      <c r="K138" s="311">
        <f t="shared" si="55"/>
        <v>0</v>
      </c>
      <c r="L138" s="311">
        <f t="shared" si="55"/>
        <v>0</v>
      </c>
      <c r="M138" s="311">
        <f t="shared" si="55"/>
        <v>0</v>
      </c>
      <c r="N138" s="311">
        <f t="shared" si="55"/>
        <v>0</v>
      </c>
      <c r="O138" s="311">
        <f t="shared" si="55"/>
        <v>0</v>
      </c>
      <c r="P138" s="311">
        <f t="shared" si="55"/>
        <v>0</v>
      </c>
      <c r="Q138" s="311">
        <f t="shared" si="55"/>
        <v>0</v>
      </c>
      <c r="R138" s="311">
        <f t="shared" si="55"/>
        <v>0</v>
      </c>
      <c r="S138" s="311">
        <f t="shared" si="55"/>
        <v>0</v>
      </c>
      <c r="T138" s="311">
        <f t="shared" si="55"/>
        <v>0</v>
      </c>
      <c r="U138" s="311">
        <f t="shared" si="55"/>
        <v>0</v>
      </c>
      <c r="V138" s="311">
        <f t="shared" si="55"/>
        <v>0</v>
      </c>
      <c r="W138" s="311">
        <f t="shared" si="55"/>
        <v>0</v>
      </c>
      <c r="X138" s="311">
        <f t="shared" si="55"/>
        <v>0</v>
      </c>
      <c r="Y138" s="311">
        <f t="shared" si="55"/>
        <v>0</v>
      </c>
      <c r="Z138" s="311">
        <f t="shared" si="55"/>
        <v>0</v>
      </c>
      <c r="AA138" s="311"/>
      <c r="AB138" s="311">
        <f t="shared" ref="AB138:AE138" si="56">-AB57</f>
        <v>1473174.9999999998</v>
      </c>
      <c r="AC138" s="311">
        <f t="shared" si="56"/>
        <v>0</v>
      </c>
      <c r="AD138" s="311">
        <f t="shared" si="56"/>
        <v>0</v>
      </c>
      <c r="AE138" s="311">
        <f t="shared" si="56"/>
        <v>0</v>
      </c>
      <c r="AF138" s="311"/>
      <c r="AG138" s="311"/>
      <c r="AH138" s="311"/>
      <c r="AI138" s="311"/>
      <c r="AJ138" s="311"/>
      <c r="AK138" s="311">
        <f t="shared" ref="AK138:BX138" si="57">-AK57</f>
        <v>0</v>
      </c>
      <c r="AL138" s="311">
        <f t="shared" si="57"/>
        <v>0</v>
      </c>
      <c r="AM138" s="311">
        <f t="shared" si="57"/>
        <v>0</v>
      </c>
      <c r="AN138" s="311">
        <f t="shared" si="57"/>
        <v>0</v>
      </c>
      <c r="AO138" s="311">
        <f t="shared" si="57"/>
        <v>0</v>
      </c>
      <c r="AP138" s="311">
        <f t="shared" si="57"/>
        <v>0</v>
      </c>
      <c r="AQ138" s="311">
        <f t="shared" si="57"/>
        <v>0</v>
      </c>
      <c r="AR138" s="311">
        <f t="shared" si="57"/>
        <v>0</v>
      </c>
      <c r="AS138" s="311">
        <f t="shared" si="57"/>
        <v>0</v>
      </c>
      <c r="AT138" s="311">
        <f t="shared" si="57"/>
        <v>0</v>
      </c>
      <c r="AU138" s="311">
        <f t="shared" si="57"/>
        <v>0</v>
      </c>
      <c r="AV138" s="311">
        <f t="shared" si="57"/>
        <v>0</v>
      </c>
      <c r="AW138" s="311">
        <f t="shared" si="57"/>
        <v>0</v>
      </c>
      <c r="AX138" s="311">
        <f t="shared" si="57"/>
        <v>0</v>
      </c>
      <c r="AY138" s="311">
        <f t="shared" si="57"/>
        <v>0</v>
      </c>
      <c r="AZ138" s="311">
        <f t="shared" si="57"/>
        <v>0</v>
      </c>
      <c r="BA138" s="311">
        <f t="shared" si="57"/>
        <v>0</v>
      </c>
      <c r="BB138" s="311">
        <f t="shared" si="57"/>
        <v>0</v>
      </c>
      <c r="BC138" s="311">
        <f t="shared" si="57"/>
        <v>0</v>
      </c>
      <c r="BD138" s="311">
        <f t="shared" si="57"/>
        <v>0</v>
      </c>
      <c r="BE138" s="311">
        <f t="shared" si="57"/>
        <v>0</v>
      </c>
      <c r="BF138" s="311">
        <f t="shared" si="57"/>
        <v>0</v>
      </c>
      <c r="BG138" s="311">
        <f t="shared" si="57"/>
        <v>0</v>
      </c>
      <c r="BH138" s="311">
        <f t="shared" si="57"/>
        <v>0</v>
      </c>
      <c r="BI138" s="311">
        <f t="shared" si="57"/>
        <v>0</v>
      </c>
      <c r="BJ138" s="311">
        <f t="shared" si="57"/>
        <v>0</v>
      </c>
      <c r="BK138" s="311">
        <f t="shared" si="57"/>
        <v>0</v>
      </c>
      <c r="BL138" s="311">
        <f t="shared" si="57"/>
        <v>0</v>
      </c>
      <c r="BM138" s="311">
        <f t="shared" si="57"/>
        <v>0</v>
      </c>
      <c r="BN138" s="311">
        <f t="shared" si="57"/>
        <v>0</v>
      </c>
      <c r="BO138" s="311">
        <f t="shared" si="57"/>
        <v>0</v>
      </c>
      <c r="BP138" s="311">
        <f t="shared" si="57"/>
        <v>0</v>
      </c>
      <c r="BQ138" s="311">
        <f t="shared" si="57"/>
        <v>0</v>
      </c>
      <c r="BR138" s="311">
        <f t="shared" si="57"/>
        <v>0</v>
      </c>
      <c r="BS138" s="311">
        <f t="shared" si="57"/>
        <v>0</v>
      </c>
      <c r="BT138" s="311">
        <f t="shared" si="57"/>
        <v>0</v>
      </c>
      <c r="BU138" s="311">
        <f t="shared" si="57"/>
        <v>0</v>
      </c>
      <c r="BV138" s="311">
        <f t="shared" si="57"/>
        <v>0</v>
      </c>
      <c r="BW138" s="311">
        <f t="shared" si="57"/>
        <v>0</v>
      </c>
      <c r="BX138" s="311">
        <f t="shared" si="57"/>
        <v>0</v>
      </c>
      <c r="BY138" s="222"/>
      <c r="BZ138" s="222"/>
      <c r="CA138" s="222"/>
      <c r="CB138" s="222"/>
      <c r="CC138" s="222"/>
      <c r="CD138" s="222"/>
      <c r="CE138" s="222"/>
      <c r="CF138" s="222"/>
      <c r="CG138" s="222"/>
      <c r="CH138" s="222"/>
      <c r="CI138" s="222"/>
      <c r="CJ138" s="222"/>
      <c r="CK138" s="222"/>
      <c r="CL138" s="222"/>
      <c r="CM138" s="222"/>
      <c r="CN138" s="222"/>
      <c r="CO138" s="222"/>
      <c r="CP138" s="222"/>
      <c r="CQ138" s="222"/>
      <c r="CR138" s="222"/>
      <c r="CS138" s="222"/>
      <c r="CT138" s="222"/>
      <c r="CU138" s="222"/>
      <c r="CV138" s="222"/>
      <c r="CW138" s="222"/>
      <c r="CX138" s="222"/>
      <c r="CY138" s="222"/>
      <c r="CZ138" s="222"/>
      <c r="DA138" s="222"/>
      <c r="DB138" s="222"/>
      <c r="DC138" s="222"/>
      <c r="DD138" s="222"/>
      <c r="DE138" s="222"/>
      <c r="DF138" s="222"/>
      <c r="DG138" s="222"/>
      <c r="DH138" s="222"/>
      <c r="DI138" s="222"/>
      <c r="DJ138" s="222"/>
      <c r="DK138" s="222"/>
      <c r="DL138" s="222"/>
      <c r="DM138" s="222"/>
      <c r="DN138" s="222"/>
      <c r="DO138" s="222"/>
      <c r="DP138" s="222"/>
      <c r="DQ138" s="222"/>
      <c r="DR138" s="222"/>
      <c r="DS138" s="222"/>
      <c r="DT138" s="222"/>
      <c r="DU138" s="222"/>
      <c r="DV138" s="222"/>
      <c r="DW138" s="325"/>
      <c r="DX138" s="325"/>
      <c r="DY138" s="325"/>
      <c r="DZ138" s="325"/>
      <c r="EA138" s="325"/>
      <c r="EB138" s="325"/>
      <c r="EC138" s="325"/>
      <c r="ED138" s="325"/>
      <c r="EE138" s="325"/>
      <c r="EF138" s="325"/>
      <c r="EG138" s="325"/>
      <c r="EH138" s="325"/>
    </row>
    <row r="139" spans="1:138" hidden="1">
      <c r="A139" s="222"/>
      <c r="B139" s="318"/>
      <c r="C139" s="310" t="s">
        <v>297</v>
      </c>
      <c r="D139" s="319"/>
      <c r="E139" s="311"/>
      <c r="F139" s="311"/>
      <c r="G139" s="311"/>
      <c r="H139" s="311"/>
      <c r="I139" s="311"/>
      <c r="J139" s="311"/>
      <c r="K139" s="311"/>
      <c r="L139" s="311"/>
      <c r="M139" s="311"/>
      <c r="N139" s="311"/>
      <c r="O139" s="311"/>
      <c r="P139" s="311"/>
      <c r="Q139" s="311"/>
      <c r="R139" s="311"/>
      <c r="S139" s="311"/>
      <c r="T139" s="311">
        <f>T101-T155-T171-T187</f>
        <v>-9112509.463999996</v>
      </c>
      <c r="U139" s="311"/>
      <c r="V139" s="311"/>
      <c r="W139" s="311"/>
      <c r="X139" s="311"/>
      <c r="Y139" s="311"/>
      <c r="Z139" s="311"/>
      <c r="AA139" s="311"/>
      <c r="AB139" s="311"/>
      <c r="AC139" s="311"/>
      <c r="AD139" s="311"/>
      <c r="AE139" s="311"/>
      <c r="AF139" s="311"/>
      <c r="AG139" s="311"/>
      <c r="AH139" s="311"/>
      <c r="AI139" s="311"/>
      <c r="AJ139" s="311"/>
      <c r="AK139" s="311"/>
      <c r="AL139" s="311"/>
      <c r="AM139" s="311"/>
      <c r="AN139" s="311"/>
      <c r="AO139" s="311"/>
      <c r="AP139" s="311"/>
      <c r="AQ139" s="311"/>
      <c r="AR139" s="311"/>
      <c r="AS139" s="311"/>
      <c r="AT139" s="311"/>
      <c r="AU139" s="311"/>
      <c r="AV139" s="311"/>
      <c r="AW139" s="311"/>
      <c r="AX139" s="311"/>
      <c r="AY139" s="311"/>
      <c r="AZ139" s="311"/>
      <c r="BA139" s="311"/>
      <c r="BB139" s="311"/>
      <c r="BC139" s="311"/>
      <c r="BD139" s="311"/>
      <c r="BE139" s="311"/>
      <c r="BF139" s="311"/>
      <c r="BG139" s="311"/>
      <c r="BH139" s="311"/>
      <c r="BI139" s="311"/>
      <c r="BJ139" s="311"/>
      <c r="BK139" s="311"/>
      <c r="BL139" s="311"/>
      <c r="BM139" s="311"/>
      <c r="BN139" s="311"/>
      <c r="BO139" s="311"/>
      <c r="BP139" s="311"/>
      <c r="BQ139" s="311"/>
      <c r="BR139" s="311"/>
      <c r="BS139" s="311"/>
      <c r="BT139" s="311"/>
      <c r="BU139" s="311"/>
      <c r="BV139" s="311"/>
      <c r="BW139" s="311"/>
      <c r="BX139" s="311">
        <f>IF(D111&gt;0.25,(BX101-BX114)*D140,BX101*D140)</f>
        <v>0</v>
      </c>
      <c r="BY139" s="222"/>
      <c r="BZ139" s="222"/>
      <c r="CA139" s="222"/>
      <c r="CB139" s="222"/>
      <c r="CC139" s="222"/>
      <c r="CD139" s="222"/>
      <c r="CE139" s="222"/>
      <c r="CF139" s="222"/>
      <c r="CG139" s="222"/>
      <c r="CH139" s="222"/>
      <c r="CI139" s="222"/>
      <c r="CJ139" s="222"/>
      <c r="CK139" s="222"/>
      <c r="CL139" s="222"/>
      <c r="CM139" s="222"/>
      <c r="CN139" s="222"/>
      <c r="CO139" s="222"/>
      <c r="CP139" s="222"/>
      <c r="CQ139" s="222"/>
      <c r="CR139" s="222"/>
      <c r="CS139" s="222"/>
      <c r="CT139" s="222"/>
      <c r="CU139" s="222"/>
      <c r="CV139" s="222"/>
      <c r="CW139" s="222"/>
      <c r="CX139" s="222"/>
      <c r="CY139" s="222"/>
      <c r="CZ139" s="222"/>
      <c r="DA139" s="222"/>
      <c r="DB139" s="222"/>
      <c r="DC139" s="222"/>
      <c r="DD139" s="222"/>
      <c r="DE139" s="222"/>
      <c r="DF139" s="222"/>
      <c r="DG139" s="222"/>
      <c r="DH139" s="222"/>
      <c r="DI139" s="222"/>
      <c r="DJ139" s="222"/>
      <c r="DK139" s="222"/>
      <c r="DL139" s="222"/>
      <c r="DM139" s="222"/>
      <c r="DN139" s="222"/>
      <c r="DO139" s="222"/>
      <c r="DP139" s="222"/>
      <c r="DQ139" s="222"/>
      <c r="DR139" s="222"/>
      <c r="DS139" s="222"/>
      <c r="DT139" s="222"/>
      <c r="DU139" s="222"/>
      <c r="DV139" s="222"/>
      <c r="DW139" s="325"/>
      <c r="DX139" s="325"/>
      <c r="DY139" s="325"/>
      <c r="DZ139" s="325"/>
      <c r="EA139" s="325"/>
      <c r="EB139" s="325"/>
      <c r="EC139" s="325"/>
      <c r="ED139" s="325"/>
      <c r="EE139" s="325"/>
      <c r="EF139" s="325"/>
      <c r="EG139" s="325"/>
      <c r="EH139" s="325"/>
    </row>
    <row r="140" spans="1:138" hidden="1">
      <c r="A140" s="222"/>
      <c r="B140" s="318"/>
      <c r="C140" s="313" t="s">
        <v>298</v>
      </c>
      <c r="D140" s="319">
        <v>0</v>
      </c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K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22"/>
      <c r="BZ140" s="222"/>
      <c r="CA140" s="222"/>
      <c r="CB140" s="222"/>
      <c r="CC140" s="222"/>
      <c r="CD140" s="222"/>
      <c r="CE140" s="222"/>
      <c r="CF140" s="222"/>
      <c r="CG140" s="222"/>
      <c r="CH140" s="222"/>
      <c r="CI140" s="222"/>
      <c r="CJ140" s="222"/>
      <c r="CK140" s="222"/>
      <c r="CL140" s="222"/>
      <c r="CM140" s="222"/>
      <c r="CN140" s="222"/>
      <c r="CO140" s="222"/>
      <c r="CP140" s="222"/>
      <c r="CQ140" s="222"/>
      <c r="CR140" s="222"/>
      <c r="CS140" s="222"/>
      <c r="CT140" s="222"/>
      <c r="CU140" s="222"/>
      <c r="CV140" s="222"/>
      <c r="CW140" s="222"/>
      <c r="CX140" s="222"/>
      <c r="CY140" s="222"/>
      <c r="CZ140" s="222"/>
      <c r="DA140" s="222"/>
      <c r="DB140" s="222"/>
      <c r="DC140" s="222"/>
      <c r="DD140" s="222"/>
      <c r="DE140" s="222"/>
      <c r="DF140" s="222"/>
      <c r="DG140" s="222"/>
      <c r="DH140" s="222"/>
      <c r="DI140" s="222"/>
      <c r="DJ140" s="222"/>
      <c r="DK140" s="222"/>
      <c r="DL140" s="222"/>
      <c r="DM140" s="222"/>
      <c r="DN140" s="222"/>
      <c r="DO140" s="222"/>
      <c r="DP140" s="222"/>
      <c r="DQ140" s="222"/>
      <c r="DR140" s="222"/>
      <c r="DS140" s="222"/>
      <c r="DT140" s="222"/>
      <c r="DU140" s="222"/>
      <c r="DV140" s="222"/>
      <c r="DW140" s="325"/>
      <c r="DX140" s="325"/>
      <c r="DY140" s="325"/>
      <c r="DZ140" s="325"/>
      <c r="EA140" s="325"/>
      <c r="EB140" s="325"/>
      <c r="EC140" s="325"/>
      <c r="ED140" s="325"/>
      <c r="EE140" s="325"/>
      <c r="EF140" s="325"/>
      <c r="EG140" s="325"/>
      <c r="EH140" s="325"/>
    </row>
    <row r="141" spans="1:138" hidden="1">
      <c r="A141" s="222"/>
      <c r="B141" s="318"/>
      <c r="C141" s="310" t="s">
        <v>299</v>
      </c>
      <c r="D141" s="311"/>
      <c r="E141" s="321">
        <f t="shared" ref="E141:Z141" si="58">E136+E137+E138+E139+E140</f>
        <v>0</v>
      </c>
      <c r="F141" s="321">
        <f t="shared" si="58"/>
        <v>0</v>
      </c>
      <c r="G141" s="321">
        <f t="shared" si="58"/>
        <v>0</v>
      </c>
      <c r="H141" s="321">
        <f t="shared" si="58"/>
        <v>0</v>
      </c>
      <c r="I141" s="321">
        <f t="shared" si="58"/>
        <v>0</v>
      </c>
      <c r="J141" s="321">
        <f t="shared" si="58"/>
        <v>0</v>
      </c>
      <c r="K141" s="321">
        <f t="shared" si="58"/>
        <v>-885000</v>
      </c>
      <c r="L141" s="321">
        <f t="shared" si="58"/>
        <v>-1940000</v>
      </c>
      <c r="M141" s="321">
        <f t="shared" si="58"/>
        <v>-4260000</v>
      </c>
      <c r="N141" s="321">
        <f t="shared" si="58"/>
        <v>0</v>
      </c>
      <c r="O141" s="321">
        <f t="shared" si="58"/>
        <v>-320000</v>
      </c>
      <c r="P141" s="321">
        <f t="shared" si="58"/>
        <v>-320000</v>
      </c>
      <c r="Q141" s="321">
        <f t="shared" si="58"/>
        <v>0</v>
      </c>
      <c r="R141" s="321">
        <f t="shared" si="58"/>
        <v>-670000</v>
      </c>
      <c r="S141" s="321">
        <f t="shared" si="58"/>
        <v>0</v>
      </c>
      <c r="T141" s="321">
        <f t="shared" si="58"/>
        <v>-9112509.463999996</v>
      </c>
      <c r="U141" s="321">
        <f t="shared" si="58"/>
        <v>0</v>
      </c>
      <c r="V141" s="321">
        <f t="shared" si="58"/>
        <v>-3090000</v>
      </c>
      <c r="W141" s="321">
        <f t="shared" si="58"/>
        <v>0</v>
      </c>
      <c r="X141" s="321">
        <f t="shared" si="58"/>
        <v>0</v>
      </c>
      <c r="Y141" s="321">
        <f t="shared" si="58"/>
        <v>0</v>
      </c>
      <c r="Z141" s="321">
        <f t="shared" si="58"/>
        <v>-2000000</v>
      </c>
      <c r="AA141" s="321"/>
      <c r="AB141" s="321">
        <f t="shared" ref="AB141:AE141" si="59">AB136+AB137+AB138+AB139+AB140</f>
        <v>14958175</v>
      </c>
      <c r="AC141" s="321">
        <f t="shared" si="59"/>
        <v>0</v>
      </c>
      <c r="AD141" s="321">
        <f t="shared" si="59"/>
        <v>0</v>
      </c>
      <c r="AE141" s="321">
        <f t="shared" si="59"/>
        <v>0</v>
      </c>
      <c r="AF141" s="321"/>
      <c r="AG141" s="321"/>
      <c r="AH141" s="321"/>
      <c r="AI141" s="321"/>
      <c r="AJ141" s="321"/>
      <c r="AK141" s="321">
        <f t="shared" ref="AK141:BX141" si="60">AK136+AK137+AK138+AK139+AK140</f>
        <v>0</v>
      </c>
      <c r="AL141" s="321">
        <f t="shared" si="60"/>
        <v>0</v>
      </c>
      <c r="AM141" s="321">
        <f t="shared" si="60"/>
        <v>0</v>
      </c>
      <c r="AN141" s="321">
        <f t="shared" si="60"/>
        <v>0</v>
      </c>
      <c r="AO141" s="321">
        <f t="shared" si="60"/>
        <v>0</v>
      </c>
      <c r="AP141" s="321">
        <f t="shared" si="60"/>
        <v>0</v>
      </c>
      <c r="AQ141" s="321">
        <f t="shared" si="60"/>
        <v>0</v>
      </c>
      <c r="AR141" s="321">
        <f t="shared" si="60"/>
        <v>0</v>
      </c>
      <c r="AS141" s="321">
        <f t="shared" si="60"/>
        <v>0</v>
      </c>
      <c r="AT141" s="321">
        <f t="shared" si="60"/>
        <v>0</v>
      </c>
      <c r="AU141" s="321">
        <f t="shared" si="60"/>
        <v>0</v>
      </c>
      <c r="AV141" s="321">
        <f t="shared" si="60"/>
        <v>0</v>
      </c>
      <c r="AW141" s="321">
        <f t="shared" si="60"/>
        <v>0</v>
      </c>
      <c r="AX141" s="321">
        <f t="shared" si="60"/>
        <v>0</v>
      </c>
      <c r="AY141" s="321">
        <f t="shared" si="60"/>
        <v>0</v>
      </c>
      <c r="AZ141" s="321">
        <f t="shared" si="60"/>
        <v>0</v>
      </c>
      <c r="BA141" s="321">
        <f t="shared" si="60"/>
        <v>0</v>
      </c>
      <c r="BB141" s="321">
        <f t="shared" si="60"/>
        <v>0</v>
      </c>
      <c r="BC141" s="321">
        <f t="shared" si="60"/>
        <v>0</v>
      </c>
      <c r="BD141" s="321">
        <f t="shared" si="60"/>
        <v>0</v>
      </c>
      <c r="BE141" s="321">
        <f t="shared" si="60"/>
        <v>0</v>
      </c>
      <c r="BF141" s="321">
        <f t="shared" si="60"/>
        <v>0</v>
      </c>
      <c r="BG141" s="321">
        <f t="shared" si="60"/>
        <v>0</v>
      </c>
      <c r="BH141" s="321">
        <f t="shared" si="60"/>
        <v>0</v>
      </c>
      <c r="BI141" s="321">
        <f t="shared" si="60"/>
        <v>0</v>
      </c>
      <c r="BJ141" s="321">
        <f t="shared" si="60"/>
        <v>0</v>
      </c>
      <c r="BK141" s="321">
        <f t="shared" si="60"/>
        <v>0</v>
      </c>
      <c r="BL141" s="321">
        <f t="shared" si="60"/>
        <v>0</v>
      </c>
      <c r="BM141" s="321">
        <f t="shared" si="60"/>
        <v>0</v>
      </c>
      <c r="BN141" s="321">
        <f t="shared" si="60"/>
        <v>0</v>
      </c>
      <c r="BO141" s="321">
        <f t="shared" si="60"/>
        <v>0</v>
      </c>
      <c r="BP141" s="321">
        <f t="shared" si="60"/>
        <v>0</v>
      </c>
      <c r="BQ141" s="321">
        <f t="shared" si="60"/>
        <v>0</v>
      </c>
      <c r="BR141" s="321">
        <f t="shared" si="60"/>
        <v>0</v>
      </c>
      <c r="BS141" s="321">
        <f t="shared" si="60"/>
        <v>0</v>
      </c>
      <c r="BT141" s="321">
        <f t="shared" si="60"/>
        <v>0</v>
      </c>
      <c r="BU141" s="321">
        <f t="shared" si="60"/>
        <v>0</v>
      </c>
      <c r="BV141" s="321">
        <f t="shared" si="60"/>
        <v>0</v>
      </c>
      <c r="BW141" s="321">
        <f t="shared" si="60"/>
        <v>0</v>
      </c>
      <c r="BX141" s="321">
        <f t="shared" si="60"/>
        <v>0</v>
      </c>
      <c r="BY141" s="222"/>
      <c r="BZ141" s="222"/>
      <c r="CA141" s="222"/>
      <c r="CB141" s="222"/>
      <c r="CC141" s="222"/>
      <c r="CD141" s="222"/>
      <c r="CE141" s="222"/>
      <c r="CF141" s="222"/>
      <c r="CG141" s="222"/>
      <c r="CH141" s="222"/>
      <c r="CI141" s="222"/>
      <c r="CJ141" s="222"/>
      <c r="CK141" s="222"/>
      <c r="CL141" s="222"/>
      <c r="CM141" s="222"/>
      <c r="CN141" s="222"/>
      <c r="CO141" s="222"/>
      <c r="CP141" s="222"/>
      <c r="CQ141" s="222"/>
      <c r="CR141" s="222"/>
      <c r="CS141" s="222"/>
      <c r="CT141" s="222"/>
      <c r="CU141" s="222"/>
      <c r="CV141" s="222"/>
      <c r="CW141" s="222"/>
      <c r="CX141" s="222"/>
      <c r="CY141" s="222"/>
      <c r="CZ141" s="222"/>
      <c r="DA141" s="222"/>
      <c r="DB141" s="222"/>
      <c r="DC141" s="222"/>
      <c r="DD141" s="222"/>
      <c r="DE141" s="222"/>
      <c r="DF141" s="222"/>
      <c r="DG141" s="222"/>
      <c r="DH141" s="222"/>
      <c r="DI141" s="222"/>
      <c r="DJ141" s="222"/>
      <c r="DK141" s="222"/>
      <c r="DL141" s="222"/>
      <c r="DM141" s="222"/>
      <c r="DN141" s="222"/>
      <c r="DO141" s="222"/>
      <c r="DP141" s="222"/>
      <c r="DQ141" s="222"/>
      <c r="DR141" s="222"/>
      <c r="DS141" s="222"/>
      <c r="DT141" s="222"/>
      <c r="DU141" s="222"/>
      <c r="DV141" s="222"/>
      <c r="DW141" s="325"/>
      <c r="DX141" s="325"/>
      <c r="DY141" s="325"/>
      <c r="DZ141" s="325"/>
      <c r="EA141" s="325"/>
      <c r="EB141" s="325"/>
      <c r="EC141" s="325"/>
      <c r="ED141" s="325"/>
      <c r="EE141" s="325"/>
      <c r="EF141" s="325"/>
      <c r="EG141" s="325"/>
      <c r="EH141" s="325"/>
    </row>
    <row r="142" spans="1:138" hidden="1">
      <c r="A142" s="222"/>
      <c r="B142" s="318"/>
      <c r="C142" s="314"/>
      <c r="D142" s="322" t="s">
        <v>306</v>
      </c>
      <c r="E142" s="327">
        <f>E141</f>
        <v>0</v>
      </c>
      <c r="F142" s="327">
        <f t="shared" ref="F142:Z142" si="61">E142+F141</f>
        <v>0</v>
      </c>
      <c r="G142" s="327">
        <f t="shared" si="61"/>
        <v>0</v>
      </c>
      <c r="H142" s="327">
        <f t="shared" si="61"/>
        <v>0</v>
      </c>
      <c r="I142" s="327">
        <f t="shared" si="61"/>
        <v>0</v>
      </c>
      <c r="J142" s="327">
        <f t="shared" si="61"/>
        <v>0</v>
      </c>
      <c r="K142" s="327">
        <f t="shared" si="61"/>
        <v>-885000</v>
      </c>
      <c r="L142" s="327">
        <f t="shared" si="61"/>
        <v>-2825000</v>
      </c>
      <c r="M142" s="327">
        <f t="shared" si="61"/>
        <v>-7085000</v>
      </c>
      <c r="N142" s="327">
        <f t="shared" si="61"/>
        <v>-7085000</v>
      </c>
      <c r="O142" s="327">
        <f t="shared" si="61"/>
        <v>-7405000</v>
      </c>
      <c r="P142" s="327">
        <f t="shared" si="61"/>
        <v>-7725000</v>
      </c>
      <c r="Q142" s="327">
        <f t="shared" si="61"/>
        <v>-7725000</v>
      </c>
      <c r="R142" s="327">
        <f t="shared" si="61"/>
        <v>-8395000</v>
      </c>
      <c r="S142" s="327">
        <f t="shared" si="61"/>
        <v>-8395000</v>
      </c>
      <c r="T142" s="327">
        <f t="shared" si="61"/>
        <v>-17507509.463999994</v>
      </c>
      <c r="U142" s="327">
        <f t="shared" si="61"/>
        <v>-17507509.463999994</v>
      </c>
      <c r="V142" s="327">
        <f t="shared" si="61"/>
        <v>-20597509.463999994</v>
      </c>
      <c r="W142" s="327">
        <f t="shared" si="61"/>
        <v>-20597509.463999994</v>
      </c>
      <c r="X142" s="327">
        <f t="shared" si="61"/>
        <v>-20597509.463999994</v>
      </c>
      <c r="Y142" s="327">
        <f t="shared" si="61"/>
        <v>-20597509.463999994</v>
      </c>
      <c r="Z142" s="327">
        <f t="shared" si="61"/>
        <v>-22597509.463999994</v>
      </c>
      <c r="AA142" s="327"/>
      <c r="AB142" s="327">
        <f t="shared" ref="AB142:AE142" si="62">AA142+AB141</f>
        <v>14958175</v>
      </c>
      <c r="AC142" s="327">
        <f t="shared" si="62"/>
        <v>14958175</v>
      </c>
      <c r="AD142" s="327">
        <f t="shared" si="62"/>
        <v>14958175</v>
      </c>
      <c r="AE142" s="327">
        <f t="shared" si="62"/>
        <v>14958175</v>
      </c>
      <c r="AF142" s="327"/>
      <c r="AG142" s="327"/>
      <c r="AH142" s="327"/>
      <c r="AI142" s="327"/>
      <c r="AJ142" s="327"/>
      <c r="AK142" s="327">
        <f t="shared" ref="AK142:BX142" si="63">AJ142+AK141</f>
        <v>0</v>
      </c>
      <c r="AL142" s="327">
        <f t="shared" si="63"/>
        <v>0</v>
      </c>
      <c r="AM142" s="327">
        <f t="shared" si="63"/>
        <v>0</v>
      </c>
      <c r="AN142" s="327">
        <f t="shared" si="63"/>
        <v>0</v>
      </c>
      <c r="AO142" s="327">
        <f t="shared" si="63"/>
        <v>0</v>
      </c>
      <c r="AP142" s="327">
        <f t="shared" si="63"/>
        <v>0</v>
      </c>
      <c r="AQ142" s="327">
        <f t="shared" si="63"/>
        <v>0</v>
      </c>
      <c r="AR142" s="327">
        <f t="shared" si="63"/>
        <v>0</v>
      </c>
      <c r="AS142" s="327">
        <f t="shared" si="63"/>
        <v>0</v>
      </c>
      <c r="AT142" s="327">
        <f t="shared" si="63"/>
        <v>0</v>
      </c>
      <c r="AU142" s="327">
        <f t="shared" si="63"/>
        <v>0</v>
      </c>
      <c r="AV142" s="327">
        <f t="shared" si="63"/>
        <v>0</v>
      </c>
      <c r="AW142" s="327">
        <f t="shared" si="63"/>
        <v>0</v>
      </c>
      <c r="AX142" s="327">
        <f t="shared" si="63"/>
        <v>0</v>
      </c>
      <c r="AY142" s="327">
        <f t="shared" si="63"/>
        <v>0</v>
      </c>
      <c r="AZ142" s="327">
        <f t="shared" si="63"/>
        <v>0</v>
      </c>
      <c r="BA142" s="327">
        <f t="shared" si="63"/>
        <v>0</v>
      </c>
      <c r="BB142" s="327">
        <f t="shared" si="63"/>
        <v>0</v>
      </c>
      <c r="BC142" s="327">
        <f t="shared" si="63"/>
        <v>0</v>
      </c>
      <c r="BD142" s="327">
        <f t="shared" si="63"/>
        <v>0</v>
      </c>
      <c r="BE142" s="327">
        <f t="shared" si="63"/>
        <v>0</v>
      </c>
      <c r="BF142" s="327">
        <f t="shared" si="63"/>
        <v>0</v>
      </c>
      <c r="BG142" s="327">
        <f t="shared" si="63"/>
        <v>0</v>
      </c>
      <c r="BH142" s="327">
        <f t="shared" si="63"/>
        <v>0</v>
      </c>
      <c r="BI142" s="327">
        <f t="shared" si="63"/>
        <v>0</v>
      </c>
      <c r="BJ142" s="327">
        <f t="shared" si="63"/>
        <v>0</v>
      </c>
      <c r="BK142" s="327">
        <f t="shared" si="63"/>
        <v>0</v>
      </c>
      <c r="BL142" s="327">
        <f t="shared" si="63"/>
        <v>0</v>
      </c>
      <c r="BM142" s="327">
        <f t="shared" si="63"/>
        <v>0</v>
      </c>
      <c r="BN142" s="327">
        <f t="shared" si="63"/>
        <v>0</v>
      </c>
      <c r="BO142" s="327">
        <f t="shared" si="63"/>
        <v>0</v>
      </c>
      <c r="BP142" s="327">
        <f t="shared" si="63"/>
        <v>0</v>
      </c>
      <c r="BQ142" s="327">
        <f t="shared" si="63"/>
        <v>0</v>
      </c>
      <c r="BR142" s="327">
        <f t="shared" si="63"/>
        <v>0</v>
      </c>
      <c r="BS142" s="327">
        <f t="shared" si="63"/>
        <v>0</v>
      </c>
      <c r="BT142" s="327">
        <f t="shared" si="63"/>
        <v>0</v>
      </c>
      <c r="BU142" s="327">
        <f t="shared" si="63"/>
        <v>0</v>
      </c>
      <c r="BV142" s="327">
        <f t="shared" si="63"/>
        <v>0</v>
      </c>
      <c r="BW142" s="327">
        <f t="shared" si="63"/>
        <v>0</v>
      </c>
      <c r="BX142" s="327">
        <f t="shared" si="63"/>
        <v>0</v>
      </c>
      <c r="BY142" s="222"/>
      <c r="BZ142" s="222"/>
      <c r="CA142" s="222"/>
      <c r="CB142" s="222"/>
      <c r="CC142" s="222"/>
      <c r="CD142" s="222"/>
      <c r="CE142" s="222"/>
      <c r="CF142" s="222"/>
      <c r="CG142" s="222"/>
      <c r="CH142" s="222"/>
      <c r="CI142" s="222"/>
      <c r="CJ142" s="222"/>
      <c r="CK142" s="222"/>
      <c r="CL142" s="222"/>
      <c r="CM142" s="222"/>
      <c r="CN142" s="222"/>
      <c r="CO142" s="222"/>
      <c r="CP142" s="222"/>
      <c r="CQ142" s="222"/>
      <c r="CR142" s="222"/>
      <c r="CS142" s="222"/>
      <c r="CT142" s="222"/>
      <c r="CU142" s="222"/>
      <c r="CV142" s="222"/>
      <c r="CW142" s="222"/>
      <c r="CX142" s="222"/>
      <c r="CY142" s="222"/>
      <c r="CZ142" s="222"/>
      <c r="DA142" s="222"/>
      <c r="DB142" s="222"/>
      <c r="DC142" s="222"/>
      <c r="DD142" s="222"/>
      <c r="DE142" s="222"/>
      <c r="DF142" s="222"/>
      <c r="DG142" s="222"/>
      <c r="DH142" s="222"/>
      <c r="DI142" s="222"/>
      <c r="DJ142" s="222"/>
      <c r="DK142" s="222"/>
      <c r="DL142" s="222"/>
      <c r="DM142" s="222"/>
      <c r="DN142" s="222"/>
      <c r="DO142" s="222"/>
      <c r="DP142" s="222"/>
      <c r="DQ142" s="222"/>
      <c r="DR142" s="222"/>
      <c r="DS142" s="222"/>
      <c r="DT142" s="222"/>
      <c r="DU142" s="222"/>
      <c r="DV142" s="222"/>
      <c r="DW142" s="325"/>
      <c r="DX142" s="325"/>
      <c r="DY142" s="325"/>
      <c r="DZ142" s="325"/>
      <c r="EA142" s="325"/>
      <c r="EB142" s="325"/>
      <c r="EC142" s="325"/>
      <c r="ED142" s="325"/>
      <c r="EE142" s="325"/>
      <c r="EF142" s="325"/>
      <c r="EG142" s="325"/>
      <c r="EH142" s="325"/>
    </row>
    <row r="143" spans="1:138" hidden="1">
      <c r="A143" s="222"/>
      <c r="B143" s="318"/>
      <c r="C143" s="313" t="s">
        <v>292</v>
      </c>
      <c r="D143" s="322">
        <f>IRR(E141:BX141)*12</f>
        <v>-0.58419101649977456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  <c r="BB143" s="222"/>
      <c r="BC143" s="222"/>
      <c r="BD143" s="222"/>
      <c r="BE143" s="222"/>
      <c r="BF143" s="222"/>
      <c r="BG143" s="222"/>
      <c r="BH143" s="222"/>
      <c r="BI143" s="222"/>
      <c r="BJ143" s="222"/>
      <c r="BK143" s="222"/>
      <c r="BL143" s="222"/>
      <c r="BM143" s="222"/>
      <c r="BN143" s="222"/>
      <c r="BO143" s="222"/>
      <c r="BP143" s="222"/>
      <c r="BQ143" s="222"/>
      <c r="BR143" s="222"/>
      <c r="BS143" s="222"/>
      <c r="BT143" s="222"/>
      <c r="BU143" s="222"/>
      <c r="BV143" s="222"/>
      <c r="BW143" s="222"/>
      <c r="BX143" s="222"/>
      <c r="BY143" s="222"/>
      <c r="BZ143" s="222"/>
      <c r="CA143" s="222"/>
      <c r="CB143" s="222"/>
      <c r="CC143" s="222"/>
      <c r="CD143" s="222"/>
      <c r="CE143" s="222"/>
      <c r="CF143" s="222"/>
      <c r="CG143" s="222"/>
      <c r="CH143" s="222"/>
      <c r="CI143" s="222"/>
      <c r="CJ143" s="222"/>
      <c r="CK143" s="222"/>
      <c r="CL143" s="222"/>
      <c r="CM143" s="222"/>
      <c r="CN143" s="222"/>
      <c r="CO143" s="222"/>
      <c r="CP143" s="222"/>
      <c r="CQ143" s="222"/>
      <c r="CR143" s="222"/>
      <c r="CS143" s="222"/>
      <c r="CT143" s="222"/>
      <c r="CU143" s="222"/>
      <c r="CV143" s="222"/>
      <c r="CW143" s="222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2"/>
      <c r="DI143" s="222"/>
      <c r="DJ143" s="222"/>
      <c r="DK143" s="222"/>
      <c r="DL143" s="222"/>
      <c r="DM143" s="222"/>
      <c r="DN143" s="222"/>
      <c r="DO143" s="222"/>
      <c r="DP143" s="222"/>
      <c r="DQ143" s="222"/>
      <c r="DR143" s="222"/>
      <c r="DS143" s="222"/>
      <c r="DT143" s="222"/>
      <c r="DU143" s="222"/>
      <c r="DV143" s="222"/>
      <c r="DW143" s="325"/>
      <c r="DX143" s="325"/>
      <c r="DY143" s="325"/>
      <c r="DZ143" s="325"/>
      <c r="EA143" s="325"/>
      <c r="EB143" s="325"/>
      <c r="EC143" s="325"/>
      <c r="ED143" s="325"/>
      <c r="EE143" s="325"/>
      <c r="EF143" s="325"/>
      <c r="EG143" s="325"/>
      <c r="EH143" s="325"/>
    </row>
    <row r="144" spans="1:138" hidden="1">
      <c r="A144" s="222"/>
      <c r="B144" s="318"/>
      <c r="C144" s="323" t="s">
        <v>300</v>
      </c>
      <c r="D144" s="324">
        <f>-MIN(E136:BL136)</f>
        <v>4260000</v>
      </c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AT144" s="222"/>
      <c r="AU144" s="222"/>
      <c r="AV144" s="222"/>
      <c r="AW144" s="222"/>
      <c r="AX144" s="222"/>
      <c r="AY144" s="222"/>
      <c r="AZ144" s="222"/>
      <c r="BA144" s="222"/>
      <c r="BB144" s="222"/>
      <c r="BC144" s="222"/>
      <c r="BD144" s="222"/>
      <c r="BE144" s="222"/>
      <c r="BF144" s="222"/>
      <c r="BG144" s="222"/>
      <c r="BH144" s="222"/>
      <c r="BI144" s="222"/>
      <c r="BJ144" s="222"/>
      <c r="BK144" s="222"/>
      <c r="BL144" s="222"/>
      <c r="BM144" s="222"/>
      <c r="BN144" s="222"/>
      <c r="BO144" s="222"/>
      <c r="BP144" s="222"/>
      <c r="BQ144" s="222"/>
      <c r="BR144" s="222"/>
      <c r="BS144" s="222"/>
      <c r="BT144" s="222"/>
      <c r="BU144" s="222"/>
      <c r="BV144" s="222"/>
      <c r="BW144" s="222"/>
      <c r="BX144" s="222"/>
      <c r="BY144" s="222"/>
      <c r="BZ144" s="222"/>
      <c r="CA144" s="222"/>
      <c r="CB144" s="222"/>
      <c r="CC144" s="222"/>
      <c r="CD144" s="222"/>
      <c r="CE144" s="222"/>
      <c r="CF144" s="222"/>
      <c r="CG144" s="222"/>
      <c r="CH144" s="222"/>
      <c r="CI144" s="222"/>
      <c r="CJ144" s="222"/>
      <c r="CK144" s="222"/>
      <c r="CL144" s="222"/>
      <c r="CM144" s="222"/>
      <c r="CN144" s="222"/>
      <c r="CO144" s="222"/>
      <c r="CP144" s="222"/>
      <c r="CQ144" s="222"/>
      <c r="CR144" s="222"/>
      <c r="CS144" s="222"/>
      <c r="CT144" s="222"/>
      <c r="CU144" s="222"/>
      <c r="CV144" s="222"/>
      <c r="CW144" s="222"/>
      <c r="CX144" s="222"/>
      <c r="CY144" s="222"/>
      <c r="CZ144" s="222"/>
      <c r="DA144" s="222"/>
      <c r="DB144" s="222"/>
      <c r="DC144" s="222"/>
      <c r="DD144" s="222"/>
      <c r="DE144" s="222"/>
      <c r="DF144" s="222"/>
      <c r="DG144" s="222"/>
      <c r="DH144" s="222"/>
      <c r="DI144" s="222"/>
      <c r="DJ144" s="222"/>
      <c r="DK144" s="222"/>
      <c r="DL144" s="222"/>
      <c r="DM144" s="222"/>
      <c r="DN144" s="222"/>
      <c r="DO144" s="222"/>
      <c r="DP144" s="222"/>
      <c r="DQ144" s="222"/>
      <c r="DR144" s="222"/>
      <c r="DS144" s="222"/>
      <c r="DT144" s="222"/>
      <c r="DU144" s="222"/>
      <c r="DV144" s="222"/>
      <c r="DW144" s="325"/>
      <c r="DX144" s="325"/>
      <c r="DY144" s="325"/>
      <c r="DZ144" s="325"/>
      <c r="EA144" s="325"/>
      <c r="EB144" s="325"/>
      <c r="EC144" s="325"/>
      <c r="ED144" s="325"/>
      <c r="EE144" s="325"/>
      <c r="EF144" s="325"/>
      <c r="EG144" s="325"/>
      <c r="EH144" s="325"/>
    </row>
    <row r="145" spans="1:138" hidden="1">
      <c r="A145" s="222"/>
      <c r="B145" s="318"/>
      <c r="C145" s="323" t="s">
        <v>301</v>
      </c>
      <c r="D145" s="324">
        <f>-SUM(M140:BB140)</f>
        <v>0</v>
      </c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222"/>
      <c r="AF145" s="222"/>
      <c r="AG145" s="222"/>
      <c r="AH145" s="222"/>
      <c r="AI145" s="222"/>
      <c r="AJ145" s="222"/>
      <c r="AK145" s="222"/>
      <c r="AL145" s="222"/>
      <c r="AM145" s="222"/>
      <c r="AN145" s="222"/>
      <c r="AO145" s="222"/>
      <c r="AP145" s="222"/>
      <c r="AQ145" s="222"/>
      <c r="AR145" s="222"/>
      <c r="AS145" s="222"/>
      <c r="AT145" s="222"/>
      <c r="AU145" s="222"/>
      <c r="AV145" s="222"/>
      <c r="AW145" s="222"/>
      <c r="AX145" s="222"/>
      <c r="AY145" s="222"/>
      <c r="AZ145" s="222"/>
      <c r="BA145" s="222"/>
      <c r="BB145" s="222"/>
      <c r="BC145" s="222"/>
      <c r="BD145" s="222"/>
      <c r="BE145" s="222"/>
      <c r="BF145" s="222"/>
      <c r="BG145" s="222"/>
      <c r="BH145" s="222"/>
      <c r="BI145" s="222"/>
      <c r="BJ145" s="222"/>
      <c r="BK145" s="222"/>
      <c r="BL145" s="222"/>
      <c r="BM145" s="222"/>
      <c r="BN145" s="222"/>
      <c r="BO145" s="222"/>
      <c r="BP145" s="222"/>
      <c r="BQ145" s="222"/>
      <c r="BR145" s="222"/>
      <c r="BS145" s="222"/>
      <c r="BT145" s="222"/>
      <c r="BU145" s="222"/>
      <c r="BV145" s="222"/>
      <c r="BW145" s="222"/>
      <c r="BX145" s="222"/>
      <c r="BY145" s="222"/>
      <c r="BZ145" s="222"/>
      <c r="CA145" s="222"/>
      <c r="CB145" s="222"/>
      <c r="CC145" s="222"/>
      <c r="CD145" s="222"/>
      <c r="CE145" s="222"/>
      <c r="CF145" s="222"/>
      <c r="CG145" s="222"/>
      <c r="CH145" s="222"/>
      <c r="CI145" s="222"/>
      <c r="CJ145" s="222"/>
      <c r="CK145" s="222"/>
      <c r="CL145" s="222"/>
      <c r="CM145" s="222"/>
      <c r="CN145" s="222"/>
      <c r="CO145" s="222"/>
      <c r="CP145" s="222"/>
      <c r="CQ145" s="222"/>
      <c r="CR145" s="222"/>
      <c r="CS145" s="222"/>
      <c r="CT145" s="222"/>
      <c r="CU145" s="222"/>
      <c r="CV145" s="222"/>
      <c r="CW145" s="222"/>
      <c r="CX145" s="222"/>
      <c r="CY145" s="222"/>
      <c r="CZ145" s="222"/>
      <c r="DA145" s="222"/>
      <c r="DB145" s="222"/>
      <c r="DC145" s="222"/>
      <c r="DD145" s="222"/>
      <c r="DE145" s="222"/>
      <c r="DF145" s="222"/>
      <c r="DG145" s="222"/>
      <c r="DH145" s="222"/>
      <c r="DI145" s="222"/>
      <c r="DJ145" s="222"/>
      <c r="DK145" s="222"/>
      <c r="DL145" s="222"/>
      <c r="DM145" s="222"/>
      <c r="DN145" s="222"/>
      <c r="DO145" s="222"/>
      <c r="DP145" s="222"/>
      <c r="DQ145" s="222"/>
      <c r="DR145" s="222"/>
      <c r="DS145" s="222"/>
      <c r="DT145" s="222"/>
      <c r="DU145" s="222"/>
      <c r="DV145" s="222"/>
      <c r="DW145" s="325"/>
      <c r="DX145" s="325"/>
      <c r="DY145" s="325"/>
      <c r="DZ145" s="325"/>
      <c r="EA145" s="325"/>
      <c r="EB145" s="325"/>
      <c r="EC145" s="325"/>
      <c r="ED145" s="325"/>
      <c r="EE145" s="325"/>
      <c r="EF145" s="325"/>
      <c r="EG145" s="325"/>
      <c r="EH145" s="325"/>
    </row>
    <row r="146" spans="1:138" hidden="1">
      <c r="A146" s="222"/>
      <c r="B146" s="318"/>
      <c r="C146" s="313" t="s">
        <v>302</v>
      </c>
      <c r="D146" s="326">
        <f>D145+D144</f>
        <v>4260000</v>
      </c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2"/>
      <c r="BN146" s="222"/>
      <c r="BO146" s="222"/>
      <c r="BP146" s="222"/>
      <c r="BQ146" s="222"/>
      <c r="BR146" s="222"/>
      <c r="BS146" s="222"/>
      <c r="BT146" s="222"/>
      <c r="BU146" s="222"/>
      <c r="BV146" s="222"/>
      <c r="BW146" s="222"/>
      <c r="BX146" s="222"/>
      <c r="BY146" s="222"/>
      <c r="BZ146" s="222"/>
      <c r="CA146" s="222"/>
      <c r="CB146" s="222"/>
      <c r="CC146" s="222"/>
      <c r="CD146" s="222"/>
      <c r="CE146" s="222"/>
      <c r="CF146" s="222"/>
      <c r="CG146" s="222"/>
      <c r="CH146" s="222"/>
      <c r="CI146" s="222"/>
      <c r="CJ146" s="222"/>
      <c r="CK146" s="222"/>
      <c r="CL146" s="222"/>
      <c r="CM146" s="222"/>
      <c r="CN146" s="222"/>
      <c r="CO146" s="222"/>
      <c r="CP146" s="222"/>
      <c r="CQ146" s="222"/>
      <c r="CR146" s="222"/>
      <c r="CS146" s="222"/>
      <c r="CT146" s="222"/>
      <c r="CU146" s="222"/>
      <c r="CV146" s="222"/>
      <c r="CW146" s="222"/>
      <c r="CX146" s="222"/>
      <c r="CY146" s="222"/>
      <c r="CZ146" s="222"/>
      <c r="DA146" s="222"/>
      <c r="DB146" s="222"/>
      <c r="DC146" s="222"/>
      <c r="DD146" s="222"/>
      <c r="DE146" s="222"/>
      <c r="DF146" s="222"/>
      <c r="DG146" s="222"/>
      <c r="DH146" s="222"/>
      <c r="DI146" s="222"/>
      <c r="DJ146" s="222"/>
      <c r="DK146" s="222"/>
      <c r="DL146" s="222"/>
      <c r="DM146" s="222"/>
      <c r="DN146" s="222"/>
      <c r="DO146" s="222"/>
      <c r="DP146" s="222"/>
      <c r="DQ146" s="222"/>
      <c r="DR146" s="222"/>
      <c r="DS146" s="222"/>
      <c r="DT146" s="222"/>
      <c r="DU146" s="222"/>
      <c r="DV146" s="222"/>
      <c r="DW146" s="325"/>
      <c r="DX146" s="325"/>
      <c r="DY146" s="325"/>
      <c r="DZ146" s="325"/>
      <c r="EA146" s="325"/>
      <c r="EB146" s="325"/>
      <c r="EC146" s="325"/>
      <c r="ED146" s="325"/>
      <c r="EE146" s="325"/>
      <c r="EF146" s="325"/>
      <c r="EG146" s="325"/>
      <c r="EH146" s="325"/>
    </row>
    <row r="147" spans="1:138" hidden="1">
      <c r="A147" s="222"/>
      <c r="B147" s="318"/>
      <c r="C147" s="313" t="s">
        <v>303</v>
      </c>
      <c r="D147" s="326">
        <f>BX138+BX139</f>
        <v>0</v>
      </c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31">
        <v>1500000</v>
      </c>
      <c r="T147" s="231">
        <v>500000</v>
      </c>
      <c r="U147" s="231">
        <v>6750000</v>
      </c>
      <c r="V147" s="231">
        <v>4000000</v>
      </c>
      <c r="W147" s="231">
        <v>2000000</v>
      </c>
      <c r="X147" s="231"/>
      <c r="Y147" s="231"/>
      <c r="Z147" s="231"/>
      <c r="AA147" s="231"/>
      <c r="AB147" s="222"/>
      <c r="AC147" s="222"/>
      <c r="AD147" s="222"/>
      <c r="AE147" s="222"/>
      <c r="AF147" s="222"/>
      <c r="AG147" s="222"/>
      <c r="AH147" s="222"/>
      <c r="AI147" s="222"/>
      <c r="AJ147" s="222"/>
      <c r="AK147" s="222"/>
      <c r="AL147" s="222"/>
      <c r="AM147" s="222"/>
      <c r="AN147" s="222"/>
      <c r="AO147" s="222"/>
      <c r="AP147" s="222"/>
      <c r="AQ147" s="222"/>
      <c r="AR147" s="222"/>
      <c r="AS147" s="222"/>
      <c r="AT147" s="222"/>
      <c r="AU147" s="222"/>
      <c r="AV147" s="222"/>
      <c r="AW147" s="222"/>
      <c r="AX147" s="222"/>
      <c r="AY147" s="222"/>
      <c r="AZ147" s="222"/>
      <c r="BA147" s="222"/>
      <c r="BB147" s="222"/>
      <c r="BC147" s="222"/>
      <c r="BD147" s="222"/>
      <c r="BE147" s="222"/>
      <c r="BF147" s="222"/>
      <c r="BG147" s="222"/>
      <c r="BH147" s="222"/>
      <c r="BI147" s="222"/>
      <c r="BJ147" s="222"/>
      <c r="BK147" s="222"/>
      <c r="BL147" s="222"/>
      <c r="BM147" s="222"/>
      <c r="BN147" s="222"/>
      <c r="BO147" s="222"/>
      <c r="BP147" s="222"/>
      <c r="BQ147" s="222"/>
      <c r="BR147" s="222"/>
      <c r="BS147" s="222"/>
      <c r="BT147" s="222"/>
      <c r="BU147" s="222"/>
      <c r="BV147" s="222"/>
      <c r="BW147" s="222"/>
      <c r="BX147" s="222"/>
      <c r="BY147" s="222"/>
      <c r="BZ147" s="222"/>
      <c r="CA147" s="222"/>
      <c r="CB147" s="222"/>
      <c r="CC147" s="222"/>
      <c r="CD147" s="222"/>
      <c r="CE147" s="222"/>
      <c r="CF147" s="222"/>
      <c r="CG147" s="222"/>
      <c r="CH147" s="222"/>
      <c r="CI147" s="222"/>
      <c r="CJ147" s="222"/>
      <c r="CK147" s="222"/>
      <c r="CL147" s="222"/>
      <c r="CM147" s="222"/>
      <c r="CN147" s="222"/>
      <c r="CO147" s="222"/>
      <c r="CP147" s="222"/>
      <c r="CQ147" s="222"/>
      <c r="CR147" s="222"/>
      <c r="CS147" s="222"/>
      <c r="CT147" s="222"/>
      <c r="CU147" s="222"/>
      <c r="CV147" s="222"/>
      <c r="CW147" s="222"/>
      <c r="CX147" s="222"/>
      <c r="CY147" s="222"/>
      <c r="CZ147" s="222"/>
      <c r="DA147" s="222"/>
      <c r="DB147" s="222"/>
      <c r="DC147" s="222"/>
      <c r="DD147" s="222"/>
      <c r="DE147" s="222"/>
      <c r="DF147" s="222"/>
      <c r="DG147" s="222"/>
      <c r="DH147" s="222"/>
      <c r="DI147" s="222"/>
      <c r="DJ147" s="222"/>
      <c r="DK147" s="222"/>
      <c r="DL147" s="222"/>
      <c r="DM147" s="222"/>
      <c r="DN147" s="222"/>
      <c r="DO147" s="222"/>
      <c r="DP147" s="222"/>
      <c r="DQ147" s="222"/>
      <c r="DR147" s="222"/>
      <c r="DS147" s="222"/>
      <c r="DT147" s="222"/>
      <c r="DU147" s="222"/>
      <c r="DV147" s="222"/>
      <c r="DW147" s="325"/>
      <c r="DX147" s="325"/>
      <c r="DY147" s="325"/>
      <c r="DZ147" s="325"/>
      <c r="EA147" s="325"/>
      <c r="EB147" s="325"/>
      <c r="EC147" s="325"/>
      <c r="ED147" s="325"/>
      <c r="EE147" s="325"/>
      <c r="EF147" s="325"/>
      <c r="EG147" s="325"/>
      <c r="EH147" s="325"/>
    </row>
    <row r="148" spans="1:138" hidden="1">
      <c r="A148" s="222"/>
      <c r="B148" s="318"/>
      <c r="C148" s="313" t="s">
        <v>147</v>
      </c>
      <c r="D148" s="322">
        <f>(D147-D145)/D146</f>
        <v>0</v>
      </c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222"/>
      <c r="AF148" s="222"/>
      <c r="AG148" s="222"/>
      <c r="AH148" s="222"/>
      <c r="AI148" s="222"/>
      <c r="AJ148" s="222"/>
      <c r="AK148" s="222"/>
      <c r="AL148" s="222"/>
      <c r="AM148" s="222"/>
      <c r="AN148" s="222"/>
      <c r="AO148" s="222"/>
      <c r="AP148" s="222"/>
      <c r="AQ148" s="222"/>
      <c r="AR148" s="222"/>
      <c r="AS148" s="222"/>
      <c r="AT148" s="222"/>
      <c r="AU148" s="222"/>
      <c r="AV148" s="222"/>
      <c r="AW148" s="222"/>
      <c r="AX148" s="222"/>
      <c r="AY148" s="222"/>
      <c r="AZ148" s="222"/>
      <c r="BA148" s="222"/>
      <c r="BB148" s="222"/>
      <c r="BC148" s="222"/>
      <c r="BD148" s="222"/>
      <c r="BE148" s="222"/>
      <c r="BF148" s="222"/>
      <c r="BG148" s="222"/>
      <c r="BH148" s="222"/>
      <c r="BI148" s="222"/>
      <c r="BJ148" s="222"/>
      <c r="BK148" s="222"/>
      <c r="BL148" s="222"/>
      <c r="BM148" s="222"/>
      <c r="BN148" s="222"/>
      <c r="BO148" s="222"/>
      <c r="BP148" s="222"/>
      <c r="BQ148" s="222"/>
      <c r="BR148" s="222"/>
      <c r="BS148" s="222"/>
      <c r="BT148" s="222"/>
      <c r="BU148" s="222"/>
      <c r="BV148" s="222"/>
      <c r="BW148" s="222"/>
      <c r="BX148" s="222"/>
      <c r="BY148" s="222"/>
      <c r="BZ148" s="222"/>
      <c r="CA148" s="222"/>
      <c r="CB148" s="222"/>
      <c r="CC148" s="222"/>
      <c r="CD148" s="222"/>
      <c r="CE148" s="222"/>
      <c r="CF148" s="222"/>
      <c r="CG148" s="222"/>
      <c r="CH148" s="222"/>
      <c r="CI148" s="222"/>
      <c r="CJ148" s="222"/>
      <c r="CK148" s="222"/>
      <c r="CL148" s="222"/>
      <c r="CM148" s="222"/>
      <c r="CN148" s="222"/>
      <c r="CO148" s="222"/>
      <c r="CP148" s="222"/>
      <c r="CQ148" s="222"/>
      <c r="CR148" s="222"/>
      <c r="CS148" s="222"/>
      <c r="CT148" s="222"/>
      <c r="CU148" s="222"/>
      <c r="CV148" s="222"/>
      <c r="CW148" s="222"/>
      <c r="CX148" s="222"/>
      <c r="CY148" s="222"/>
      <c r="CZ148" s="222"/>
      <c r="DA148" s="222"/>
      <c r="DB148" s="222"/>
      <c r="DC148" s="222"/>
      <c r="DD148" s="222"/>
      <c r="DE148" s="222"/>
      <c r="DF148" s="222"/>
      <c r="DG148" s="222"/>
      <c r="DH148" s="222"/>
      <c r="DI148" s="222"/>
      <c r="DJ148" s="222"/>
      <c r="DK148" s="222"/>
      <c r="DL148" s="222"/>
      <c r="DM148" s="222"/>
      <c r="DN148" s="222"/>
      <c r="DO148" s="222"/>
      <c r="DP148" s="222"/>
      <c r="DQ148" s="222"/>
      <c r="DR148" s="222"/>
      <c r="DS148" s="222"/>
      <c r="DT148" s="222"/>
      <c r="DU148" s="222"/>
      <c r="DV148" s="222"/>
      <c r="DW148" s="325"/>
      <c r="DX148" s="325"/>
      <c r="DY148" s="325"/>
      <c r="DZ148" s="325"/>
      <c r="EA148" s="325"/>
      <c r="EB148" s="325"/>
      <c r="EC148" s="325"/>
      <c r="ED148" s="325"/>
      <c r="EE148" s="325"/>
      <c r="EF148" s="325"/>
      <c r="EG148" s="325"/>
      <c r="EH148" s="325"/>
    </row>
    <row r="149" spans="1:138" hidden="1">
      <c r="A149" s="222"/>
      <c r="B149" s="318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222"/>
      <c r="AF149" s="222"/>
      <c r="AG149" s="222"/>
      <c r="AH149" s="222"/>
      <c r="AI149" s="222"/>
      <c r="AJ149" s="222"/>
      <c r="AK149" s="222"/>
      <c r="AL149" s="222"/>
      <c r="AM149" s="222"/>
      <c r="AN149" s="222"/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  <c r="BL149" s="222"/>
      <c r="BM149" s="222"/>
      <c r="BN149" s="222"/>
      <c r="BO149" s="222"/>
      <c r="BP149" s="222"/>
      <c r="BQ149" s="222"/>
      <c r="BR149" s="222"/>
      <c r="BS149" s="222"/>
      <c r="BT149" s="222"/>
      <c r="BU149" s="222"/>
      <c r="BV149" s="222"/>
      <c r="BW149" s="222"/>
      <c r="BX149" s="222"/>
      <c r="BY149" s="222"/>
      <c r="BZ149" s="222"/>
      <c r="CA149" s="222"/>
      <c r="CB149" s="222"/>
      <c r="CC149" s="222"/>
      <c r="CD149" s="222"/>
      <c r="CE149" s="222"/>
      <c r="CF149" s="222"/>
      <c r="CG149" s="222"/>
      <c r="CH149" s="222"/>
      <c r="CI149" s="222"/>
      <c r="CJ149" s="222"/>
      <c r="CK149" s="222"/>
      <c r="CL149" s="222"/>
      <c r="CM149" s="222"/>
      <c r="CN149" s="222"/>
      <c r="CO149" s="222"/>
      <c r="CP149" s="222"/>
      <c r="CQ149" s="222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222"/>
      <c r="DC149" s="222"/>
      <c r="DD149" s="222"/>
      <c r="DE149" s="222"/>
      <c r="DF149" s="222"/>
      <c r="DG149" s="222"/>
      <c r="DH149" s="222"/>
      <c r="DI149" s="222"/>
      <c r="DJ149" s="222"/>
      <c r="DK149" s="222"/>
      <c r="DL149" s="222"/>
      <c r="DM149" s="222"/>
      <c r="DN149" s="222"/>
      <c r="DO149" s="222"/>
      <c r="DP149" s="222"/>
      <c r="DQ149" s="222"/>
      <c r="DR149" s="222"/>
      <c r="DS149" s="222"/>
      <c r="DT149" s="222"/>
      <c r="DU149" s="222"/>
      <c r="DV149" s="222"/>
      <c r="DW149" s="325"/>
      <c r="DX149" s="325"/>
      <c r="DY149" s="325"/>
      <c r="DZ149" s="325"/>
      <c r="EA149" s="325"/>
      <c r="EB149" s="325"/>
      <c r="EC149" s="325"/>
      <c r="ED149" s="325"/>
      <c r="EE149" s="325"/>
      <c r="EF149" s="325"/>
      <c r="EG149" s="325"/>
      <c r="EH149" s="325"/>
    </row>
    <row r="150" spans="1:138" hidden="1">
      <c r="A150" s="222"/>
      <c r="B150" s="318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22"/>
      <c r="AD150" s="222"/>
      <c r="AE150" s="222"/>
      <c r="AF150" s="222"/>
      <c r="AG150" s="222"/>
      <c r="AH150" s="222"/>
      <c r="AI150" s="222"/>
      <c r="AJ150" s="222"/>
      <c r="AK150" s="222"/>
      <c r="AL150" s="222"/>
      <c r="AM150" s="222"/>
      <c r="AN150" s="222"/>
      <c r="AO150" s="222"/>
      <c r="AP150" s="222"/>
      <c r="AQ150" s="222"/>
      <c r="AR150" s="222"/>
      <c r="AS150" s="222"/>
      <c r="AT150" s="222"/>
      <c r="AU150" s="222"/>
      <c r="AV150" s="222"/>
      <c r="AW150" s="222"/>
      <c r="AX150" s="222"/>
      <c r="AY150" s="222"/>
      <c r="AZ150" s="222"/>
      <c r="BA150" s="222"/>
      <c r="BB150" s="222"/>
      <c r="BC150" s="222"/>
      <c r="BD150" s="222"/>
      <c r="BE150" s="222"/>
      <c r="BF150" s="222"/>
      <c r="BG150" s="222"/>
      <c r="BH150" s="222"/>
      <c r="BI150" s="222"/>
      <c r="BJ150" s="222"/>
      <c r="BK150" s="222"/>
      <c r="BL150" s="222"/>
      <c r="BM150" s="222"/>
      <c r="BN150" s="222"/>
      <c r="BO150" s="222"/>
      <c r="BP150" s="222"/>
      <c r="BQ150" s="222"/>
      <c r="BR150" s="222"/>
      <c r="BS150" s="222"/>
      <c r="BT150" s="222"/>
      <c r="BU150" s="222"/>
      <c r="BV150" s="222"/>
      <c r="BW150" s="222"/>
      <c r="BX150" s="222"/>
      <c r="BY150" s="222"/>
      <c r="BZ150" s="222"/>
      <c r="CA150" s="222"/>
      <c r="CB150" s="222"/>
      <c r="CC150" s="222"/>
      <c r="CD150" s="222"/>
      <c r="CE150" s="222"/>
      <c r="CF150" s="222"/>
      <c r="CG150" s="222"/>
      <c r="CH150" s="222"/>
      <c r="CI150" s="222"/>
      <c r="CJ150" s="222"/>
      <c r="CK150" s="222"/>
      <c r="CL150" s="222"/>
      <c r="CM150" s="222"/>
      <c r="CN150" s="222"/>
      <c r="CO150" s="222"/>
      <c r="CP150" s="222"/>
      <c r="CQ150" s="222"/>
      <c r="CR150" s="222"/>
      <c r="CS150" s="222"/>
      <c r="CT150" s="222"/>
      <c r="CU150" s="222"/>
      <c r="CV150" s="222"/>
      <c r="CW150" s="222"/>
      <c r="CX150" s="222"/>
      <c r="CY150" s="222"/>
      <c r="CZ150" s="222"/>
      <c r="DA150" s="222"/>
      <c r="DB150" s="222"/>
      <c r="DC150" s="222"/>
      <c r="DD150" s="222"/>
      <c r="DE150" s="222"/>
      <c r="DF150" s="222"/>
      <c r="DG150" s="222"/>
      <c r="DH150" s="222"/>
      <c r="DI150" s="222"/>
      <c r="DJ150" s="222"/>
      <c r="DK150" s="222"/>
      <c r="DL150" s="222"/>
      <c r="DM150" s="222"/>
      <c r="DN150" s="222"/>
      <c r="DO150" s="222"/>
      <c r="DP150" s="222"/>
      <c r="DQ150" s="222"/>
      <c r="DR150" s="222"/>
      <c r="DS150" s="222"/>
      <c r="DT150" s="222"/>
      <c r="DU150" s="222"/>
      <c r="DV150" s="222"/>
      <c r="DW150" s="325"/>
      <c r="DX150" s="325"/>
      <c r="DY150" s="325"/>
      <c r="DZ150" s="325"/>
      <c r="EA150" s="325"/>
      <c r="EB150" s="325"/>
      <c r="EC150" s="325"/>
      <c r="ED150" s="325"/>
      <c r="EE150" s="325"/>
      <c r="EF150" s="325"/>
      <c r="EG150" s="325"/>
      <c r="EH150" s="325"/>
    </row>
    <row r="151" spans="1:138" hidden="1">
      <c r="A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22"/>
      <c r="AD151" s="222"/>
      <c r="AE151" s="222"/>
      <c r="AF151" s="222"/>
      <c r="AG151" s="222"/>
      <c r="AH151" s="222"/>
      <c r="AI151" s="222"/>
      <c r="AJ151" s="222"/>
      <c r="AK151" s="222"/>
      <c r="AL151" s="222"/>
      <c r="AM151" s="222"/>
      <c r="AN151" s="222"/>
      <c r="AO151" s="222"/>
      <c r="AP151" s="222"/>
      <c r="AQ151" s="222"/>
      <c r="AR151" s="222"/>
      <c r="AS151" s="222"/>
      <c r="AT151" s="222"/>
      <c r="AU151" s="222"/>
      <c r="AV151" s="222"/>
      <c r="AW151" s="222"/>
      <c r="AX151" s="222"/>
      <c r="AY151" s="222"/>
      <c r="AZ151" s="222"/>
      <c r="BA151" s="222"/>
      <c r="BB151" s="222"/>
      <c r="BC151" s="222"/>
      <c r="BD151" s="222"/>
      <c r="BE151" s="222"/>
      <c r="BF151" s="222"/>
      <c r="BG151" s="222"/>
      <c r="BH151" s="222"/>
      <c r="BI151" s="222"/>
      <c r="BJ151" s="222"/>
      <c r="BK151" s="222"/>
      <c r="BL151" s="222"/>
      <c r="BM151" s="222"/>
      <c r="BN151" s="222"/>
      <c r="BO151" s="222"/>
      <c r="BP151" s="222"/>
      <c r="BQ151" s="222"/>
      <c r="BR151" s="222"/>
      <c r="BS151" s="222"/>
      <c r="BT151" s="222"/>
      <c r="BU151" s="222"/>
      <c r="BV151" s="222"/>
      <c r="BW151" s="222"/>
      <c r="BX151" s="222"/>
      <c r="BY151" s="222"/>
      <c r="BZ151" s="222"/>
      <c r="CA151" s="222"/>
      <c r="CB151" s="222"/>
      <c r="CC151" s="222"/>
      <c r="CD151" s="222"/>
      <c r="CE151" s="222"/>
      <c r="CF151" s="222"/>
      <c r="CG151" s="222"/>
      <c r="CH151" s="222"/>
      <c r="CI151" s="222"/>
      <c r="CJ151" s="222"/>
      <c r="CK151" s="222"/>
      <c r="CL151" s="222"/>
      <c r="CM151" s="222"/>
      <c r="CN151" s="222"/>
      <c r="CO151" s="222"/>
      <c r="CP151" s="222"/>
      <c r="CQ151" s="222"/>
      <c r="CR151" s="222"/>
      <c r="CS151" s="222"/>
      <c r="CT151" s="222"/>
      <c r="CU151" s="222"/>
      <c r="CV151" s="222"/>
      <c r="CW151" s="222"/>
      <c r="CX151" s="222"/>
      <c r="CY151" s="222"/>
      <c r="CZ151" s="222"/>
      <c r="DA151" s="222"/>
      <c r="DB151" s="222"/>
      <c r="DC151" s="222"/>
      <c r="DD151" s="222"/>
      <c r="DE151" s="222"/>
      <c r="DF151" s="222"/>
      <c r="DG151" s="222"/>
      <c r="DH151" s="222"/>
      <c r="DI151" s="222"/>
      <c r="DJ151" s="222"/>
      <c r="DK151" s="222"/>
      <c r="DL151" s="222"/>
      <c r="DM151" s="222"/>
      <c r="DN151" s="222"/>
      <c r="DO151" s="222"/>
      <c r="DP151" s="222"/>
      <c r="DQ151" s="222"/>
      <c r="DR151" s="222"/>
      <c r="DS151" s="222"/>
      <c r="DT151" s="222"/>
      <c r="DU151" s="222"/>
      <c r="DV151" s="222"/>
      <c r="DW151" s="325"/>
      <c r="DX151" s="325"/>
      <c r="DY151" s="325"/>
      <c r="DZ151" s="325"/>
      <c r="EA151" s="325"/>
      <c r="EB151" s="325"/>
      <c r="EC151" s="325"/>
      <c r="ED151" s="325"/>
      <c r="EE151" s="325"/>
      <c r="EF151" s="325"/>
      <c r="EG151" s="325"/>
      <c r="EH151" s="325"/>
    </row>
    <row r="152" spans="1:138" hidden="1">
      <c r="A152" s="222"/>
      <c r="B152" s="318"/>
      <c r="C152" s="310" t="s">
        <v>307</v>
      </c>
      <c r="D152" s="311"/>
      <c r="E152" s="312">
        <f t="shared" ref="E152:G152" si="64">-(E24+E116)</f>
        <v>0</v>
      </c>
      <c r="F152" s="312">
        <f t="shared" si="64"/>
        <v>0</v>
      </c>
      <c r="G152" s="312">
        <f t="shared" si="64"/>
        <v>0</v>
      </c>
      <c r="H152" s="312">
        <f>-10682501</f>
        <v>-10682501</v>
      </c>
      <c r="I152" s="312">
        <v>0</v>
      </c>
      <c r="J152" s="312">
        <f>-(J24+J116)</f>
        <v>0</v>
      </c>
      <c r="K152" s="312">
        <v>0</v>
      </c>
      <c r="L152" s="312">
        <f t="shared" ref="L152:S152" si="65">-(L24+L116)</f>
        <v>15913.92</v>
      </c>
      <c r="M152" s="312">
        <f t="shared" si="65"/>
        <v>0</v>
      </c>
      <c r="N152" s="312">
        <f t="shared" si="65"/>
        <v>0</v>
      </c>
      <c r="O152" s="312">
        <f t="shared" si="65"/>
        <v>0</v>
      </c>
      <c r="P152" s="312">
        <f t="shared" si="65"/>
        <v>0</v>
      </c>
      <c r="Q152" s="312">
        <f t="shared" si="65"/>
        <v>36051</v>
      </c>
      <c r="R152" s="312">
        <f t="shared" si="65"/>
        <v>314600</v>
      </c>
      <c r="S152" s="312">
        <f t="shared" si="65"/>
        <v>0</v>
      </c>
      <c r="T152" s="312">
        <f>-H152</f>
        <v>10682501</v>
      </c>
      <c r="U152" s="312">
        <f t="shared" ref="U152:Z152" si="66">-(U24+U116)</f>
        <v>471900</v>
      </c>
      <c r="V152" s="312">
        <f t="shared" si="66"/>
        <v>0</v>
      </c>
      <c r="W152" s="312">
        <f t="shared" si="66"/>
        <v>0</v>
      </c>
      <c r="X152" s="312">
        <f t="shared" si="66"/>
        <v>0</v>
      </c>
      <c r="Y152" s="312">
        <f t="shared" si="66"/>
        <v>0</v>
      </c>
      <c r="Z152" s="312">
        <f t="shared" si="66"/>
        <v>0</v>
      </c>
      <c r="AA152" s="312"/>
      <c r="AB152" s="312">
        <f t="shared" ref="AB152:AE152" si="67">-(AB24+AB116)</f>
        <v>0</v>
      </c>
      <c r="AC152" s="312">
        <f t="shared" si="67"/>
        <v>0</v>
      </c>
      <c r="AD152" s="312">
        <f t="shared" si="67"/>
        <v>0</v>
      </c>
      <c r="AE152" s="312">
        <f t="shared" si="67"/>
        <v>0</v>
      </c>
      <c r="AF152" s="312"/>
      <c r="AG152" s="312"/>
      <c r="AH152" s="312"/>
      <c r="AI152" s="312"/>
      <c r="AJ152" s="312"/>
      <c r="AK152" s="312">
        <f t="shared" ref="AK152:BX152" si="68">-(AK24+AK116)</f>
        <v>0</v>
      </c>
      <c r="AL152" s="312">
        <f t="shared" si="68"/>
        <v>0</v>
      </c>
      <c r="AM152" s="312">
        <f t="shared" si="68"/>
        <v>0</v>
      </c>
      <c r="AN152" s="312">
        <f t="shared" si="68"/>
        <v>0</v>
      </c>
      <c r="AO152" s="312">
        <f t="shared" si="68"/>
        <v>0</v>
      </c>
      <c r="AP152" s="312">
        <f t="shared" si="68"/>
        <v>0</v>
      </c>
      <c r="AQ152" s="312">
        <f t="shared" si="68"/>
        <v>0</v>
      </c>
      <c r="AR152" s="312">
        <f t="shared" si="68"/>
        <v>0</v>
      </c>
      <c r="AS152" s="312">
        <f t="shared" si="68"/>
        <v>0</v>
      </c>
      <c r="AT152" s="312">
        <f t="shared" si="68"/>
        <v>0</v>
      </c>
      <c r="AU152" s="312">
        <f t="shared" si="68"/>
        <v>0</v>
      </c>
      <c r="AV152" s="312">
        <f t="shared" si="68"/>
        <v>0</v>
      </c>
      <c r="AW152" s="312">
        <f t="shared" si="68"/>
        <v>0</v>
      </c>
      <c r="AX152" s="312">
        <f t="shared" si="68"/>
        <v>0</v>
      </c>
      <c r="AY152" s="312">
        <f t="shared" si="68"/>
        <v>0</v>
      </c>
      <c r="AZ152" s="312">
        <f t="shared" si="68"/>
        <v>0</v>
      </c>
      <c r="BA152" s="312">
        <f t="shared" si="68"/>
        <v>0</v>
      </c>
      <c r="BB152" s="312">
        <f t="shared" si="68"/>
        <v>0</v>
      </c>
      <c r="BC152" s="312">
        <f t="shared" si="68"/>
        <v>0</v>
      </c>
      <c r="BD152" s="312">
        <f t="shared" si="68"/>
        <v>0</v>
      </c>
      <c r="BE152" s="312">
        <f t="shared" si="68"/>
        <v>0</v>
      </c>
      <c r="BF152" s="312">
        <f t="shared" si="68"/>
        <v>0</v>
      </c>
      <c r="BG152" s="312">
        <f t="shared" si="68"/>
        <v>0</v>
      </c>
      <c r="BH152" s="312">
        <f t="shared" si="68"/>
        <v>0</v>
      </c>
      <c r="BI152" s="312">
        <f t="shared" si="68"/>
        <v>0</v>
      </c>
      <c r="BJ152" s="312">
        <f t="shared" si="68"/>
        <v>0</v>
      </c>
      <c r="BK152" s="312">
        <f t="shared" si="68"/>
        <v>0</v>
      </c>
      <c r="BL152" s="312">
        <f t="shared" si="68"/>
        <v>0</v>
      </c>
      <c r="BM152" s="312">
        <f t="shared" si="68"/>
        <v>0</v>
      </c>
      <c r="BN152" s="312">
        <f t="shared" si="68"/>
        <v>0</v>
      </c>
      <c r="BO152" s="312">
        <f t="shared" si="68"/>
        <v>0</v>
      </c>
      <c r="BP152" s="312">
        <f t="shared" si="68"/>
        <v>0</v>
      </c>
      <c r="BQ152" s="312">
        <f t="shared" si="68"/>
        <v>0</v>
      </c>
      <c r="BR152" s="312">
        <f t="shared" si="68"/>
        <v>0</v>
      </c>
      <c r="BS152" s="312">
        <f t="shared" si="68"/>
        <v>0</v>
      </c>
      <c r="BT152" s="312">
        <f t="shared" si="68"/>
        <v>0</v>
      </c>
      <c r="BU152" s="312">
        <f t="shared" si="68"/>
        <v>0</v>
      </c>
      <c r="BV152" s="312">
        <f t="shared" si="68"/>
        <v>0</v>
      </c>
      <c r="BW152" s="312">
        <f t="shared" si="68"/>
        <v>0</v>
      </c>
      <c r="BX152" s="312">
        <f t="shared" si="68"/>
        <v>0</v>
      </c>
      <c r="BY152" s="222"/>
      <c r="BZ152" s="222"/>
      <c r="CA152" s="222"/>
      <c r="CB152" s="222"/>
      <c r="CC152" s="222"/>
      <c r="CD152" s="222"/>
      <c r="CE152" s="222"/>
      <c r="CF152" s="222"/>
      <c r="CG152" s="222"/>
      <c r="CH152" s="222"/>
      <c r="CI152" s="222"/>
      <c r="CJ152" s="222"/>
      <c r="CK152" s="222"/>
      <c r="CL152" s="222"/>
      <c r="CM152" s="222"/>
      <c r="CN152" s="222"/>
      <c r="CO152" s="222"/>
      <c r="CP152" s="222"/>
      <c r="CQ152" s="222"/>
      <c r="CR152" s="222"/>
      <c r="CS152" s="222"/>
      <c r="CT152" s="222"/>
      <c r="CU152" s="222"/>
      <c r="CV152" s="222"/>
      <c r="CW152" s="222"/>
      <c r="CX152" s="222"/>
      <c r="CY152" s="222"/>
      <c r="CZ152" s="222"/>
      <c r="DA152" s="222"/>
      <c r="DB152" s="222"/>
      <c r="DC152" s="222"/>
      <c r="DD152" s="222"/>
      <c r="DE152" s="222"/>
      <c r="DF152" s="222"/>
      <c r="DG152" s="222"/>
      <c r="DH152" s="222"/>
      <c r="DI152" s="222"/>
      <c r="DJ152" s="222"/>
      <c r="DK152" s="222"/>
      <c r="DL152" s="222"/>
      <c r="DM152" s="222"/>
      <c r="DN152" s="222"/>
      <c r="DO152" s="222"/>
      <c r="DP152" s="222"/>
      <c r="DQ152" s="222"/>
      <c r="DR152" s="222"/>
      <c r="DS152" s="222"/>
      <c r="DT152" s="222"/>
      <c r="DU152" s="222"/>
      <c r="DV152" s="222"/>
      <c r="DW152" s="222"/>
      <c r="DX152" s="222"/>
      <c r="DY152" s="222"/>
      <c r="DZ152" s="222"/>
      <c r="EA152" s="222"/>
      <c r="EB152" s="222"/>
      <c r="EC152" s="222"/>
      <c r="ED152" s="222"/>
      <c r="EE152" s="222"/>
      <c r="EF152" s="222"/>
      <c r="EG152" s="222"/>
      <c r="EH152" s="222"/>
    </row>
    <row r="153" spans="1:138" hidden="1">
      <c r="A153" s="222"/>
      <c r="B153" s="318"/>
      <c r="C153" s="310" t="s">
        <v>305</v>
      </c>
      <c r="D153" s="319"/>
      <c r="E153" s="311"/>
      <c r="F153" s="311"/>
      <c r="G153" s="311"/>
      <c r="H153" s="311"/>
      <c r="I153" s="311"/>
      <c r="J153" s="311"/>
      <c r="K153" s="311"/>
      <c r="L153" s="311"/>
      <c r="M153" s="311"/>
      <c r="N153" s="311"/>
      <c r="O153" s="311"/>
      <c r="P153" s="311"/>
      <c r="Q153" s="311"/>
      <c r="R153" s="311"/>
      <c r="S153" s="311"/>
      <c r="T153" s="311"/>
      <c r="U153" s="311"/>
      <c r="V153" s="311"/>
      <c r="W153" s="311"/>
      <c r="X153" s="311"/>
      <c r="Y153" s="311"/>
      <c r="Z153" s="311"/>
      <c r="AA153" s="311"/>
      <c r="AB153" s="311"/>
      <c r="AC153" s="311"/>
      <c r="AD153" s="311"/>
      <c r="AE153" s="311"/>
      <c r="AF153" s="311"/>
      <c r="AG153" s="311"/>
      <c r="AH153" s="311"/>
      <c r="AI153" s="311"/>
      <c r="AJ153" s="311"/>
      <c r="AK153" s="311"/>
      <c r="AL153" s="311"/>
      <c r="AM153" s="311"/>
      <c r="AN153" s="311"/>
      <c r="AO153" s="311"/>
      <c r="AP153" s="311"/>
      <c r="AQ153" s="311"/>
      <c r="AR153" s="311"/>
      <c r="AS153" s="311"/>
      <c r="AT153" s="311"/>
      <c r="AU153" s="311"/>
      <c r="AV153" s="311"/>
      <c r="AW153" s="311"/>
      <c r="AX153" s="311"/>
      <c r="AY153" s="311"/>
      <c r="AZ153" s="311"/>
      <c r="BA153" s="311"/>
      <c r="BB153" s="311"/>
      <c r="BC153" s="312"/>
      <c r="BD153" s="311"/>
      <c r="BE153" s="311"/>
      <c r="BF153" s="311"/>
      <c r="BG153" s="311"/>
      <c r="BH153" s="311"/>
      <c r="BI153" s="311"/>
      <c r="BJ153" s="311"/>
      <c r="BK153" s="311"/>
      <c r="BL153" s="311"/>
      <c r="BM153" s="311"/>
      <c r="BN153" s="311"/>
      <c r="BO153" s="311"/>
      <c r="BP153" s="311"/>
      <c r="BQ153" s="311"/>
      <c r="BR153" s="311"/>
      <c r="BS153" s="311"/>
      <c r="BT153" s="311"/>
      <c r="BU153" s="311"/>
      <c r="BV153" s="311"/>
      <c r="BW153" s="311"/>
      <c r="BX153" s="311"/>
      <c r="BY153" s="307"/>
      <c r="BZ153" s="307"/>
      <c r="CA153" s="222"/>
      <c r="CB153" s="222"/>
      <c r="CC153" s="222"/>
      <c r="CD153" s="222"/>
      <c r="CE153" s="222"/>
      <c r="CF153" s="222"/>
      <c r="CG153" s="222"/>
      <c r="CH153" s="222"/>
      <c r="CI153" s="222"/>
      <c r="CJ153" s="222"/>
      <c r="CK153" s="222"/>
      <c r="CL153" s="222"/>
      <c r="CM153" s="222"/>
      <c r="CN153" s="222"/>
      <c r="CO153" s="222"/>
      <c r="CP153" s="222"/>
      <c r="CQ153" s="222"/>
      <c r="CR153" s="222"/>
      <c r="CS153" s="222"/>
      <c r="CT153" s="222"/>
      <c r="CU153" s="222"/>
      <c r="CV153" s="222"/>
      <c r="CW153" s="222"/>
      <c r="CX153" s="222"/>
      <c r="CY153" s="222"/>
      <c r="CZ153" s="222"/>
      <c r="DA153" s="222"/>
      <c r="DB153" s="222"/>
      <c r="DC153" s="222"/>
      <c r="DD153" s="222"/>
      <c r="DE153" s="222"/>
      <c r="DF153" s="222"/>
      <c r="DG153" s="222"/>
      <c r="DH153" s="222"/>
      <c r="DI153" s="222"/>
      <c r="DJ153" s="222"/>
      <c r="DK153" s="222"/>
      <c r="DL153" s="222"/>
      <c r="DM153" s="222"/>
      <c r="DN153" s="222"/>
      <c r="DO153" s="222"/>
      <c r="DP153" s="222"/>
      <c r="DQ153" s="222"/>
      <c r="DR153" s="222"/>
      <c r="DS153" s="222"/>
      <c r="DT153" s="222"/>
      <c r="DU153" s="222"/>
      <c r="DV153" s="222"/>
      <c r="DW153" s="222"/>
      <c r="DX153" s="222"/>
      <c r="DY153" s="222"/>
      <c r="DZ153" s="222"/>
      <c r="EA153" s="222"/>
      <c r="EB153" s="222"/>
      <c r="EC153" s="222"/>
      <c r="ED153" s="222"/>
      <c r="EE153" s="222"/>
      <c r="EF153" s="222"/>
      <c r="EG153" s="222"/>
      <c r="EH153" s="222"/>
    </row>
    <row r="154" spans="1:138" hidden="1">
      <c r="A154" s="222"/>
      <c r="B154" s="318"/>
      <c r="C154" s="310" t="s">
        <v>296</v>
      </c>
      <c r="D154" s="319"/>
      <c r="E154" s="311">
        <f t="shared" ref="E154:Z154" si="69">-E75</f>
        <v>0</v>
      </c>
      <c r="F154" s="311">
        <f t="shared" si="69"/>
        <v>0</v>
      </c>
      <c r="G154" s="311">
        <f t="shared" si="69"/>
        <v>0</v>
      </c>
      <c r="H154" s="311">
        <f t="shared" si="69"/>
        <v>0</v>
      </c>
      <c r="I154" s="311">
        <f t="shared" si="69"/>
        <v>0</v>
      </c>
      <c r="J154" s="311">
        <f t="shared" si="69"/>
        <v>0</v>
      </c>
      <c r="K154" s="311">
        <f t="shared" si="69"/>
        <v>0</v>
      </c>
      <c r="L154" s="311">
        <f t="shared" si="69"/>
        <v>0</v>
      </c>
      <c r="M154" s="311">
        <f t="shared" si="69"/>
        <v>0</v>
      </c>
      <c r="N154" s="311">
        <f t="shared" si="69"/>
        <v>0</v>
      </c>
      <c r="O154" s="311">
        <f t="shared" si="69"/>
        <v>0</v>
      </c>
      <c r="P154" s="311">
        <f t="shared" si="69"/>
        <v>0</v>
      </c>
      <c r="Q154" s="311">
        <f t="shared" si="69"/>
        <v>0</v>
      </c>
      <c r="R154" s="311">
        <f t="shared" si="69"/>
        <v>0</v>
      </c>
      <c r="S154" s="311">
        <f t="shared" si="69"/>
        <v>0</v>
      </c>
      <c r="T154" s="311">
        <f t="shared" si="69"/>
        <v>0</v>
      </c>
      <c r="U154" s="311">
        <f t="shared" si="69"/>
        <v>0</v>
      </c>
      <c r="V154" s="311">
        <f t="shared" si="69"/>
        <v>0</v>
      </c>
      <c r="W154" s="311">
        <f t="shared" si="69"/>
        <v>0</v>
      </c>
      <c r="X154" s="311">
        <f t="shared" si="69"/>
        <v>0</v>
      </c>
      <c r="Y154" s="311">
        <f t="shared" si="69"/>
        <v>0</v>
      </c>
      <c r="Z154" s="311">
        <f t="shared" si="69"/>
        <v>0</v>
      </c>
      <c r="AA154" s="311"/>
      <c r="AB154" s="311">
        <f t="shared" ref="AB154:AE154" si="70">-AB75</f>
        <v>0</v>
      </c>
      <c r="AC154" s="311">
        <f t="shared" si="70"/>
        <v>0</v>
      </c>
      <c r="AD154" s="311">
        <f t="shared" si="70"/>
        <v>0</v>
      </c>
      <c r="AE154" s="311">
        <f t="shared" si="70"/>
        <v>0</v>
      </c>
      <c r="AF154" s="311"/>
      <c r="AG154" s="311"/>
      <c r="AH154" s="311"/>
      <c r="AI154" s="311"/>
      <c r="AJ154" s="311"/>
      <c r="AK154" s="311">
        <f t="shared" ref="AK154:BX154" si="71">-AK75</f>
        <v>0</v>
      </c>
      <c r="AL154" s="311">
        <f t="shared" si="71"/>
        <v>0</v>
      </c>
      <c r="AM154" s="311">
        <f t="shared" si="71"/>
        <v>0</v>
      </c>
      <c r="AN154" s="311">
        <f t="shared" si="71"/>
        <v>0</v>
      </c>
      <c r="AO154" s="311">
        <f t="shared" si="71"/>
        <v>0</v>
      </c>
      <c r="AP154" s="311">
        <f t="shared" si="71"/>
        <v>0</v>
      </c>
      <c r="AQ154" s="311">
        <f t="shared" si="71"/>
        <v>0</v>
      </c>
      <c r="AR154" s="311">
        <f t="shared" si="71"/>
        <v>0</v>
      </c>
      <c r="AS154" s="311">
        <f t="shared" si="71"/>
        <v>0</v>
      </c>
      <c r="AT154" s="311">
        <f t="shared" si="71"/>
        <v>0</v>
      </c>
      <c r="AU154" s="311">
        <f t="shared" si="71"/>
        <v>0</v>
      </c>
      <c r="AV154" s="311">
        <f t="shared" si="71"/>
        <v>0</v>
      </c>
      <c r="AW154" s="311">
        <f t="shared" si="71"/>
        <v>0</v>
      </c>
      <c r="AX154" s="311">
        <f t="shared" si="71"/>
        <v>0</v>
      </c>
      <c r="AY154" s="311">
        <f t="shared" si="71"/>
        <v>0</v>
      </c>
      <c r="AZ154" s="311">
        <f t="shared" si="71"/>
        <v>0</v>
      </c>
      <c r="BA154" s="311">
        <f t="shared" si="71"/>
        <v>0</v>
      </c>
      <c r="BB154" s="311">
        <f t="shared" si="71"/>
        <v>0</v>
      </c>
      <c r="BC154" s="311">
        <f t="shared" si="71"/>
        <v>0</v>
      </c>
      <c r="BD154" s="311">
        <f t="shared" si="71"/>
        <v>0</v>
      </c>
      <c r="BE154" s="311">
        <f t="shared" si="71"/>
        <v>0</v>
      </c>
      <c r="BF154" s="311">
        <f t="shared" si="71"/>
        <v>0</v>
      </c>
      <c r="BG154" s="311">
        <f t="shared" si="71"/>
        <v>0</v>
      </c>
      <c r="BH154" s="311">
        <f t="shared" si="71"/>
        <v>0</v>
      </c>
      <c r="BI154" s="311">
        <f t="shared" si="71"/>
        <v>0</v>
      </c>
      <c r="BJ154" s="311">
        <f t="shared" si="71"/>
        <v>0</v>
      </c>
      <c r="BK154" s="311">
        <f t="shared" si="71"/>
        <v>0</v>
      </c>
      <c r="BL154" s="311">
        <f t="shared" si="71"/>
        <v>0</v>
      </c>
      <c r="BM154" s="311">
        <f t="shared" si="71"/>
        <v>0</v>
      </c>
      <c r="BN154" s="311">
        <f t="shared" si="71"/>
        <v>0</v>
      </c>
      <c r="BO154" s="311">
        <f t="shared" si="71"/>
        <v>0</v>
      </c>
      <c r="BP154" s="311">
        <f t="shared" si="71"/>
        <v>0</v>
      </c>
      <c r="BQ154" s="311">
        <f t="shared" si="71"/>
        <v>0</v>
      </c>
      <c r="BR154" s="311">
        <f t="shared" si="71"/>
        <v>0</v>
      </c>
      <c r="BS154" s="311">
        <f t="shared" si="71"/>
        <v>0</v>
      </c>
      <c r="BT154" s="311">
        <f t="shared" si="71"/>
        <v>0</v>
      </c>
      <c r="BU154" s="311">
        <f t="shared" si="71"/>
        <v>0</v>
      </c>
      <c r="BV154" s="311">
        <f t="shared" si="71"/>
        <v>0</v>
      </c>
      <c r="BW154" s="311">
        <f t="shared" si="71"/>
        <v>0</v>
      </c>
      <c r="BX154" s="311">
        <f t="shared" si="71"/>
        <v>0</v>
      </c>
      <c r="BY154" s="307"/>
      <c r="BZ154" s="307"/>
      <c r="CA154" s="222"/>
      <c r="CB154" s="222"/>
      <c r="CC154" s="222"/>
      <c r="CD154" s="222"/>
      <c r="CE154" s="222"/>
      <c r="CF154" s="222"/>
      <c r="CG154" s="222"/>
      <c r="CH154" s="222"/>
      <c r="CI154" s="222"/>
      <c r="CJ154" s="222"/>
      <c r="CK154" s="222"/>
      <c r="CL154" s="222"/>
      <c r="CM154" s="222"/>
      <c r="CN154" s="222"/>
      <c r="CO154" s="222"/>
      <c r="CP154" s="222"/>
      <c r="CQ154" s="222"/>
      <c r="CR154" s="222"/>
      <c r="CS154" s="222"/>
      <c r="CT154" s="222"/>
      <c r="CU154" s="222"/>
      <c r="CV154" s="222"/>
      <c r="CW154" s="222"/>
      <c r="CX154" s="222"/>
      <c r="CY154" s="222"/>
      <c r="CZ154" s="222"/>
      <c r="DA154" s="222"/>
      <c r="DB154" s="222"/>
      <c r="DC154" s="222"/>
      <c r="DD154" s="222"/>
      <c r="DE154" s="222"/>
      <c r="DF154" s="222"/>
      <c r="DG154" s="222"/>
      <c r="DH154" s="222"/>
      <c r="DI154" s="222"/>
      <c r="DJ154" s="222"/>
      <c r="DK154" s="222"/>
      <c r="DL154" s="222"/>
      <c r="DM154" s="222"/>
      <c r="DN154" s="222"/>
      <c r="DO154" s="222"/>
      <c r="DP154" s="222"/>
      <c r="DQ154" s="222"/>
      <c r="DR154" s="222"/>
      <c r="DS154" s="222"/>
      <c r="DT154" s="222"/>
      <c r="DU154" s="222"/>
      <c r="DV154" s="222"/>
      <c r="DW154" s="222"/>
      <c r="DX154" s="222"/>
      <c r="DY154" s="222"/>
      <c r="DZ154" s="222"/>
      <c r="EA154" s="222"/>
      <c r="EB154" s="222"/>
      <c r="EC154" s="222"/>
      <c r="ED154" s="222"/>
      <c r="EE154" s="222"/>
      <c r="EF154" s="222"/>
      <c r="EG154" s="222"/>
      <c r="EH154" s="222"/>
    </row>
    <row r="155" spans="1:138" hidden="1">
      <c r="A155" s="222"/>
      <c r="B155" s="318"/>
      <c r="C155" s="310" t="s">
        <v>297</v>
      </c>
      <c r="D155" s="319"/>
      <c r="E155" s="311"/>
      <c r="F155" s="311"/>
      <c r="G155" s="311"/>
      <c r="H155" s="311"/>
      <c r="I155" s="311"/>
      <c r="J155" s="311"/>
      <c r="K155" s="311"/>
      <c r="L155" s="311"/>
      <c r="M155" s="311"/>
      <c r="N155" s="311"/>
      <c r="O155" s="311"/>
      <c r="P155" s="311"/>
      <c r="Q155" s="311"/>
      <c r="R155" s="311"/>
      <c r="S155" s="311"/>
      <c r="T155" s="311">
        <f>5500000</f>
        <v>5500000</v>
      </c>
      <c r="U155" s="311"/>
      <c r="V155" s="311"/>
      <c r="W155" s="311"/>
      <c r="X155" s="311"/>
      <c r="Y155" s="311"/>
      <c r="Z155" s="311"/>
      <c r="AA155" s="311"/>
      <c r="AB155" s="311"/>
      <c r="AC155" s="311"/>
      <c r="AD155" s="311"/>
      <c r="AE155" s="311"/>
      <c r="AF155" s="311"/>
      <c r="AG155" s="311"/>
      <c r="AH155" s="311"/>
      <c r="AI155" s="311"/>
      <c r="AJ155" s="311"/>
      <c r="AK155" s="311"/>
      <c r="AL155" s="311"/>
      <c r="AM155" s="311"/>
      <c r="AN155" s="311"/>
      <c r="AO155" s="311"/>
      <c r="AP155" s="311"/>
      <c r="AQ155" s="311"/>
      <c r="AR155" s="311"/>
      <c r="AS155" s="311"/>
      <c r="AT155" s="311"/>
      <c r="AU155" s="311"/>
      <c r="AV155" s="311"/>
      <c r="AW155" s="311"/>
      <c r="AX155" s="311"/>
      <c r="AY155" s="311"/>
      <c r="AZ155" s="311"/>
      <c r="BA155" s="311"/>
      <c r="BB155" s="311"/>
      <c r="BC155" s="312"/>
      <c r="BD155" s="311"/>
      <c r="BE155" s="311"/>
      <c r="BF155" s="311"/>
      <c r="BG155" s="311"/>
      <c r="BH155" s="311"/>
      <c r="BI155" s="311"/>
      <c r="BJ155" s="311"/>
      <c r="BK155" s="311"/>
      <c r="BL155" s="311"/>
      <c r="BM155" s="311"/>
      <c r="BN155" s="311"/>
      <c r="BO155" s="311"/>
      <c r="BP155" s="311"/>
      <c r="BQ155" s="311"/>
      <c r="BR155" s="311"/>
      <c r="BS155" s="311"/>
      <c r="BT155" s="311"/>
      <c r="BU155" s="311"/>
      <c r="BV155" s="311"/>
      <c r="BW155" s="311"/>
      <c r="BX155" s="311">
        <f>IF(D127&gt;0.25,(BX122-BX130)*D156,BX122*D156)</f>
        <v>0</v>
      </c>
      <c r="BY155" s="307"/>
      <c r="BZ155" s="307"/>
      <c r="CA155" s="222"/>
      <c r="CB155" s="222"/>
      <c r="CC155" s="222"/>
      <c r="CD155" s="222"/>
      <c r="CE155" s="222"/>
      <c r="CF155" s="222"/>
      <c r="CG155" s="222"/>
      <c r="CH155" s="222"/>
      <c r="CI155" s="222"/>
      <c r="CJ155" s="222"/>
      <c r="CK155" s="222"/>
      <c r="CL155" s="222"/>
      <c r="CM155" s="222"/>
      <c r="CN155" s="222"/>
      <c r="CO155" s="222"/>
      <c r="CP155" s="222"/>
      <c r="CQ155" s="222"/>
      <c r="CR155" s="222"/>
      <c r="CS155" s="222"/>
      <c r="CT155" s="222"/>
      <c r="CU155" s="222"/>
      <c r="CV155" s="222"/>
      <c r="CW155" s="222"/>
      <c r="CX155" s="222"/>
      <c r="CY155" s="222"/>
      <c r="CZ155" s="222"/>
      <c r="DA155" s="222"/>
      <c r="DB155" s="222"/>
      <c r="DC155" s="222"/>
      <c r="DD155" s="222"/>
      <c r="DE155" s="222"/>
      <c r="DF155" s="222"/>
      <c r="DG155" s="222"/>
      <c r="DH155" s="222"/>
      <c r="DI155" s="222"/>
      <c r="DJ155" s="222"/>
      <c r="DK155" s="222"/>
      <c r="DL155" s="222"/>
      <c r="DM155" s="222"/>
      <c r="DN155" s="222"/>
      <c r="DO155" s="222"/>
      <c r="DP155" s="222"/>
      <c r="DQ155" s="222"/>
      <c r="DR155" s="222"/>
      <c r="DS155" s="222"/>
      <c r="DT155" s="222"/>
      <c r="DU155" s="222"/>
      <c r="DV155" s="222"/>
      <c r="DW155" s="222"/>
      <c r="DX155" s="222"/>
      <c r="DY155" s="222"/>
      <c r="DZ155" s="222"/>
      <c r="EA155" s="222"/>
      <c r="EB155" s="222"/>
      <c r="EC155" s="222"/>
      <c r="ED155" s="222"/>
      <c r="EE155" s="222"/>
      <c r="EF155" s="222"/>
      <c r="EG155" s="222"/>
      <c r="EH155" s="222"/>
    </row>
    <row r="156" spans="1:138" hidden="1">
      <c r="A156" s="222"/>
      <c r="B156" s="318"/>
      <c r="C156" s="313" t="s">
        <v>298</v>
      </c>
      <c r="D156" s="319">
        <v>0</v>
      </c>
      <c r="E156" s="311"/>
      <c r="F156" s="311"/>
      <c r="G156" s="311"/>
      <c r="H156" s="311"/>
      <c r="I156" s="311"/>
      <c r="J156" s="311"/>
      <c r="K156" s="311"/>
      <c r="L156" s="311"/>
      <c r="M156" s="311"/>
      <c r="N156" s="311"/>
      <c r="O156" s="311"/>
      <c r="P156" s="311"/>
      <c r="Q156" s="311"/>
      <c r="R156" s="311"/>
      <c r="S156" s="311"/>
      <c r="T156" s="311"/>
      <c r="U156" s="311"/>
      <c r="V156" s="311"/>
      <c r="W156" s="311"/>
      <c r="X156" s="311"/>
      <c r="Y156" s="311"/>
      <c r="Z156" s="311"/>
      <c r="AA156" s="311"/>
      <c r="AB156" s="311"/>
      <c r="AC156" s="311"/>
      <c r="AD156" s="311"/>
      <c r="AE156" s="311"/>
      <c r="AF156" s="311"/>
      <c r="AG156" s="311"/>
      <c r="AH156" s="311"/>
      <c r="AI156" s="311"/>
      <c r="AJ156" s="311"/>
      <c r="AK156" s="311"/>
      <c r="AL156" s="311"/>
      <c r="AM156" s="311"/>
      <c r="AN156" s="311"/>
      <c r="AO156" s="311"/>
      <c r="AP156" s="311"/>
      <c r="AQ156" s="311"/>
      <c r="AR156" s="311"/>
      <c r="AS156" s="311"/>
      <c r="AT156" s="311"/>
      <c r="AU156" s="311"/>
      <c r="AV156" s="311"/>
      <c r="AW156" s="311"/>
      <c r="AX156" s="311"/>
      <c r="AY156" s="311"/>
      <c r="AZ156" s="311"/>
      <c r="BA156" s="311"/>
      <c r="BB156" s="311"/>
      <c r="BC156" s="312"/>
      <c r="BD156" s="311"/>
      <c r="BE156" s="311"/>
      <c r="BF156" s="311"/>
      <c r="BG156" s="311"/>
      <c r="BH156" s="311"/>
      <c r="BI156" s="311"/>
      <c r="BJ156" s="311"/>
      <c r="BK156" s="311"/>
      <c r="BL156" s="311"/>
      <c r="BM156" s="311"/>
      <c r="BN156" s="311"/>
      <c r="BO156" s="311"/>
      <c r="BP156" s="311"/>
      <c r="BQ156" s="311"/>
      <c r="BR156" s="311"/>
      <c r="BS156" s="311"/>
      <c r="BT156" s="311"/>
      <c r="BU156" s="311"/>
      <c r="BV156" s="311"/>
      <c r="BW156" s="311"/>
      <c r="BX156" s="311"/>
      <c r="BY156" s="307"/>
      <c r="BZ156" s="307"/>
      <c r="CA156" s="222"/>
      <c r="CB156" s="222"/>
      <c r="CC156" s="222"/>
      <c r="CD156" s="222"/>
      <c r="CE156" s="222"/>
      <c r="CF156" s="222"/>
      <c r="CG156" s="222"/>
      <c r="CH156" s="222"/>
      <c r="CI156" s="222"/>
      <c r="CJ156" s="222"/>
      <c r="CK156" s="222"/>
      <c r="CL156" s="222"/>
      <c r="CM156" s="222"/>
      <c r="CN156" s="222"/>
      <c r="CO156" s="222"/>
      <c r="CP156" s="222"/>
      <c r="CQ156" s="222"/>
      <c r="CR156" s="222"/>
      <c r="CS156" s="222"/>
      <c r="CT156" s="222"/>
      <c r="CU156" s="222"/>
      <c r="CV156" s="222"/>
      <c r="CW156" s="222"/>
      <c r="CX156" s="222"/>
      <c r="CY156" s="222"/>
      <c r="CZ156" s="222"/>
      <c r="DA156" s="222"/>
      <c r="DB156" s="222"/>
      <c r="DC156" s="222"/>
      <c r="DD156" s="222"/>
      <c r="DE156" s="222"/>
      <c r="DF156" s="222"/>
      <c r="DG156" s="222"/>
      <c r="DH156" s="222"/>
      <c r="DI156" s="222"/>
      <c r="DJ156" s="222"/>
      <c r="DK156" s="222"/>
      <c r="DL156" s="222"/>
      <c r="DM156" s="222"/>
      <c r="DN156" s="222"/>
      <c r="DO156" s="222"/>
      <c r="DP156" s="222"/>
      <c r="DQ156" s="222"/>
      <c r="DR156" s="222"/>
      <c r="DS156" s="222"/>
      <c r="DT156" s="222"/>
      <c r="DU156" s="222"/>
      <c r="DV156" s="222"/>
      <c r="DW156" s="222"/>
      <c r="DX156" s="222"/>
      <c r="DY156" s="222"/>
      <c r="DZ156" s="222"/>
      <c r="EA156" s="222"/>
      <c r="EB156" s="222"/>
      <c r="EC156" s="222"/>
      <c r="ED156" s="222"/>
      <c r="EE156" s="222"/>
      <c r="EF156" s="222"/>
      <c r="EG156" s="222"/>
      <c r="EH156" s="222"/>
    </row>
    <row r="157" spans="1:138" hidden="1">
      <c r="A157" s="222"/>
      <c r="B157" s="318"/>
      <c r="C157" s="310" t="s">
        <v>299</v>
      </c>
      <c r="D157" s="311"/>
      <c r="E157" s="321">
        <f t="shared" ref="E157:Z157" si="72">E152+E153+E154+E155+E156</f>
        <v>0</v>
      </c>
      <c r="F157" s="321">
        <f t="shared" si="72"/>
        <v>0</v>
      </c>
      <c r="G157" s="321">
        <f t="shared" si="72"/>
        <v>0</v>
      </c>
      <c r="H157" s="321">
        <f t="shared" si="72"/>
        <v>-10682501</v>
      </c>
      <c r="I157" s="321">
        <f t="shared" si="72"/>
        <v>0</v>
      </c>
      <c r="J157" s="321">
        <f t="shared" si="72"/>
        <v>0</v>
      </c>
      <c r="K157" s="321">
        <f t="shared" si="72"/>
        <v>0</v>
      </c>
      <c r="L157" s="321">
        <f t="shared" si="72"/>
        <v>15913.92</v>
      </c>
      <c r="M157" s="321">
        <f t="shared" si="72"/>
        <v>0</v>
      </c>
      <c r="N157" s="321">
        <f t="shared" si="72"/>
        <v>0</v>
      </c>
      <c r="O157" s="321">
        <f t="shared" si="72"/>
        <v>0</v>
      </c>
      <c r="P157" s="321">
        <f t="shared" si="72"/>
        <v>0</v>
      </c>
      <c r="Q157" s="321">
        <f t="shared" si="72"/>
        <v>36051</v>
      </c>
      <c r="R157" s="321">
        <f t="shared" si="72"/>
        <v>314600</v>
      </c>
      <c r="S157" s="321">
        <f t="shared" si="72"/>
        <v>0</v>
      </c>
      <c r="T157" s="321">
        <f t="shared" si="72"/>
        <v>16182501</v>
      </c>
      <c r="U157" s="321">
        <f t="shared" si="72"/>
        <v>471900</v>
      </c>
      <c r="V157" s="321">
        <f t="shared" si="72"/>
        <v>0</v>
      </c>
      <c r="W157" s="321">
        <f t="shared" si="72"/>
        <v>0</v>
      </c>
      <c r="X157" s="321">
        <f t="shared" si="72"/>
        <v>0</v>
      </c>
      <c r="Y157" s="321">
        <f t="shared" si="72"/>
        <v>0</v>
      </c>
      <c r="Z157" s="321">
        <f t="shared" si="72"/>
        <v>0</v>
      </c>
      <c r="AA157" s="321"/>
      <c r="AB157" s="321">
        <f t="shared" ref="AB157:AE157" si="73">AB152+AB153+AB154+AB155+AB156</f>
        <v>0</v>
      </c>
      <c r="AC157" s="321">
        <f t="shared" si="73"/>
        <v>0</v>
      </c>
      <c r="AD157" s="321">
        <f t="shared" si="73"/>
        <v>0</v>
      </c>
      <c r="AE157" s="321">
        <f t="shared" si="73"/>
        <v>0</v>
      </c>
      <c r="AF157" s="321"/>
      <c r="AG157" s="321"/>
      <c r="AH157" s="321"/>
      <c r="AI157" s="321"/>
      <c r="AJ157" s="321"/>
      <c r="AK157" s="321">
        <f t="shared" ref="AK157:BX157" si="74">AK152+AK153+AK154+AK155+AK156</f>
        <v>0</v>
      </c>
      <c r="AL157" s="321">
        <f t="shared" si="74"/>
        <v>0</v>
      </c>
      <c r="AM157" s="321">
        <f t="shared" si="74"/>
        <v>0</v>
      </c>
      <c r="AN157" s="321">
        <f t="shared" si="74"/>
        <v>0</v>
      </c>
      <c r="AO157" s="321">
        <f t="shared" si="74"/>
        <v>0</v>
      </c>
      <c r="AP157" s="321">
        <f t="shared" si="74"/>
        <v>0</v>
      </c>
      <c r="AQ157" s="321">
        <f t="shared" si="74"/>
        <v>0</v>
      </c>
      <c r="AR157" s="321">
        <f t="shared" si="74"/>
        <v>0</v>
      </c>
      <c r="AS157" s="321">
        <f t="shared" si="74"/>
        <v>0</v>
      </c>
      <c r="AT157" s="321">
        <f t="shared" si="74"/>
        <v>0</v>
      </c>
      <c r="AU157" s="321">
        <f t="shared" si="74"/>
        <v>0</v>
      </c>
      <c r="AV157" s="321">
        <f t="shared" si="74"/>
        <v>0</v>
      </c>
      <c r="AW157" s="321">
        <f t="shared" si="74"/>
        <v>0</v>
      </c>
      <c r="AX157" s="321">
        <f t="shared" si="74"/>
        <v>0</v>
      </c>
      <c r="AY157" s="321">
        <f t="shared" si="74"/>
        <v>0</v>
      </c>
      <c r="AZ157" s="321">
        <f t="shared" si="74"/>
        <v>0</v>
      </c>
      <c r="BA157" s="321">
        <f t="shared" si="74"/>
        <v>0</v>
      </c>
      <c r="BB157" s="321">
        <f t="shared" si="74"/>
        <v>0</v>
      </c>
      <c r="BC157" s="321">
        <f t="shared" si="74"/>
        <v>0</v>
      </c>
      <c r="BD157" s="321">
        <f t="shared" si="74"/>
        <v>0</v>
      </c>
      <c r="BE157" s="321">
        <f t="shared" si="74"/>
        <v>0</v>
      </c>
      <c r="BF157" s="321">
        <f t="shared" si="74"/>
        <v>0</v>
      </c>
      <c r="BG157" s="321">
        <f t="shared" si="74"/>
        <v>0</v>
      </c>
      <c r="BH157" s="321">
        <f t="shared" si="74"/>
        <v>0</v>
      </c>
      <c r="BI157" s="321">
        <f t="shared" si="74"/>
        <v>0</v>
      </c>
      <c r="BJ157" s="321">
        <f t="shared" si="74"/>
        <v>0</v>
      </c>
      <c r="BK157" s="321">
        <f t="shared" si="74"/>
        <v>0</v>
      </c>
      <c r="BL157" s="321">
        <f t="shared" si="74"/>
        <v>0</v>
      </c>
      <c r="BM157" s="321">
        <f t="shared" si="74"/>
        <v>0</v>
      </c>
      <c r="BN157" s="321">
        <f t="shared" si="74"/>
        <v>0</v>
      </c>
      <c r="BO157" s="321">
        <f t="shared" si="74"/>
        <v>0</v>
      </c>
      <c r="BP157" s="321">
        <f t="shared" si="74"/>
        <v>0</v>
      </c>
      <c r="BQ157" s="321">
        <f t="shared" si="74"/>
        <v>0</v>
      </c>
      <c r="BR157" s="321">
        <f t="shared" si="74"/>
        <v>0</v>
      </c>
      <c r="BS157" s="321">
        <f t="shared" si="74"/>
        <v>0</v>
      </c>
      <c r="BT157" s="321">
        <f t="shared" si="74"/>
        <v>0</v>
      </c>
      <c r="BU157" s="321">
        <f t="shared" si="74"/>
        <v>0</v>
      </c>
      <c r="BV157" s="321">
        <f t="shared" si="74"/>
        <v>0</v>
      </c>
      <c r="BW157" s="321">
        <f t="shared" si="74"/>
        <v>0</v>
      </c>
      <c r="BX157" s="321">
        <f t="shared" si="74"/>
        <v>0</v>
      </c>
      <c r="BY157" s="222"/>
      <c r="BZ157" s="222"/>
      <c r="CA157" s="222"/>
      <c r="CB157" s="222"/>
      <c r="CC157" s="222"/>
      <c r="CD157" s="222"/>
      <c r="CE157" s="222"/>
      <c r="CF157" s="222"/>
      <c r="CG157" s="222"/>
      <c r="CH157" s="222"/>
      <c r="CI157" s="222"/>
      <c r="CJ157" s="222"/>
      <c r="CK157" s="222"/>
      <c r="CL157" s="222"/>
      <c r="CM157" s="222"/>
      <c r="CN157" s="222"/>
      <c r="CO157" s="222"/>
      <c r="CP157" s="222"/>
      <c r="CQ157" s="222"/>
      <c r="CR157" s="222"/>
      <c r="CS157" s="222"/>
      <c r="CT157" s="222"/>
      <c r="CU157" s="222"/>
      <c r="CV157" s="222"/>
      <c r="CW157" s="222"/>
      <c r="CX157" s="222"/>
      <c r="CY157" s="222"/>
      <c r="CZ157" s="222"/>
      <c r="DA157" s="222"/>
      <c r="DB157" s="222"/>
      <c r="DC157" s="222"/>
      <c r="DD157" s="222"/>
      <c r="DE157" s="222"/>
      <c r="DF157" s="222"/>
      <c r="DG157" s="222"/>
      <c r="DH157" s="222"/>
      <c r="DI157" s="222"/>
      <c r="DJ157" s="222"/>
      <c r="DK157" s="222"/>
      <c r="DL157" s="222"/>
      <c r="DM157" s="222"/>
      <c r="DN157" s="222"/>
      <c r="DO157" s="222"/>
      <c r="DP157" s="222"/>
      <c r="DQ157" s="222"/>
      <c r="DR157" s="222"/>
      <c r="DS157" s="222"/>
      <c r="DT157" s="222"/>
      <c r="DU157" s="222"/>
      <c r="DV157" s="222"/>
      <c r="DW157" s="222"/>
      <c r="DX157" s="222"/>
      <c r="DY157" s="222"/>
      <c r="DZ157" s="222"/>
      <c r="EA157" s="222"/>
      <c r="EB157" s="222"/>
      <c r="EC157" s="222"/>
      <c r="ED157" s="222"/>
      <c r="EE157" s="222"/>
      <c r="EF157" s="222"/>
      <c r="EG157" s="222"/>
      <c r="EH157" s="222"/>
    </row>
    <row r="158" spans="1:138" hidden="1">
      <c r="A158" s="222"/>
      <c r="B158" s="318"/>
      <c r="C158" s="314"/>
      <c r="D158" s="322" t="s">
        <v>306</v>
      </c>
      <c r="E158" s="327">
        <f>E157</f>
        <v>0</v>
      </c>
      <c r="F158" s="327">
        <f t="shared" ref="F158:Z158" si="75">E158+F157</f>
        <v>0</v>
      </c>
      <c r="G158" s="327">
        <f t="shared" si="75"/>
        <v>0</v>
      </c>
      <c r="H158" s="327">
        <f t="shared" si="75"/>
        <v>-10682501</v>
      </c>
      <c r="I158" s="327">
        <f t="shared" si="75"/>
        <v>-10682501</v>
      </c>
      <c r="J158" s="327">
        <f t="shared" si="75"/>
        <v>-10682501</v>
      </c>
      <c r="K158" s="327">
        <f t="shared" si="75"/>
        <v>-10682501</v>
      </c>
      <c r="L158" s="327">
        <f t="shared" si="75"/>
        <v>-10666587.08</v>
      </c>
      <c r="M158" s="327">
        <f t="shared" si="75"/>
        <v>-10666587.08</v>
      </c>
      <c r="N158" s="327">
        <f t="shared" si="75"/>
        <v>-10666587.08</v>
      </c>
      <c r="O158" s="327">
        <f t="shared" si="75"/>
        <v>-10666587.08</v>
      </c>
      <c r="P158" s="327">
        <f t="shared" si="75"/>
        <v>-10666587.08</v>
      </c>
      <c r="Q158" s="327">
        <f t="shared" si="75"/>
        <v>-10630536.08</v>
      </c>
      <c r="R158" s="327">
        <f t="shared" si="75"/>
        <v>-10315936.08</v>
      </c>
      <c r="S158" s="327">
        <f t="shared" si="75"/>
        <v>-10315936.08</v>
      </c>
      <c r="T158" s="327">
        <f t="shared" si="75"/>
        <v>5866564.9199999999</v>
      </c>
      <c r="U158" s="327">
        <f t="shared" si="75"/>
        <v>6338464.9199999999</v>
      </c>
      <c r="V158" s="328">
        <f t="shared" si="75"/>
        <v>6338464.9199999999</v>
      </c>
      <c r="W158" s="328">
        <f t="shared" si="75"/>
        <v>6338464.9199999999</v>
      </c>
      <c r="X158" s="328">
        <f t="shared" si="75"/>
        <v>6338464.9199999999</v>
      </c>
      <c r="Y158" s="328">
        <f t="shared" si="75"/>
        <v>6338464.9199999999</v>
      </c>
      <c r="Z158" s="328">
        <f t="shared" si="75"/>
        <v>6338464.9199999999</v>
      </c>
      <c r="AA158" s="328"/>
      <c r="AB158" s="328">
        <f t="shared" ref="AB158:AE158" si="76">AA158+AB157</f>
        <v>0</v>
      </c>
      <c r="AC158" s="328">
        <f t="shared" si="76"/>
        <v>0</v>
      </c>
      <c r="AD158" s="328">
        <f t="shared" si="76"/>
        <v>0</v>
      </c>
      <c r="AE158" s="328">
        <f t="shared" si="76"/>
        <v>0</v>
      </c>
      <c r="AF158" s="328"/>
      <c r="AG158" s="328"/>
      <c r="AH158" s="328"/>
      <c r="AI158" s="328"/>
      <c r="AJ158" s="328"/>
      <c r="AK158" s="328">
        <f t="shared" ref="AK158:BX158" si="77">AJ158+AK157</f>
        <v>0</v>
      </c>
      <c r="AL158" s="328">
        <f t="shared" si="77"/>
        <v>0</v>
      </c>
      <c r="AM158" s="328">
        <f t="shared" si="77"/>
        <v>0</v>
      </c>
      <c r="AN158" s="328">
        <f t="shared" si="77"/>
        <v>0</v>
      </c>
      <c r="AO158" s="328">
        <f t="shared" si="77"/>
        <v>0</v>
      </c>
      <c r="AP158" s="328">
        <f t="shared" si="77"/>
        <v>0</v>
      </c>
      <c r="AQ158" s="328">
        <f t="shared" si="77"/>
        <v>0</v>
      </c>
      <c r="AR158" s="328">
        <f t="shared" si="77"/>
        <v>0</v>
      </c>
      <c r="AS158" s="328">
        <f t="shared" si="77"/>
        <v>0</v>
      </c>
      <c r="AT158" s="328">
        <f t="shared" si="77"/>
        <v>0</v>
      </c>
      <c r="AU158" s="328">
        <f t="shared" si="77"/>
        <v>0</v>
      </c>
      <c r="AV158" s="328">
        <f t="shared" si="77"/>
        <v>0</v>
      </c>
      <c r="AW158" s="328">
        <f t="shared" si="77"/>
        <v>0</v>
      </c>
      <c r="AX158" s="328">
        <f t="shared" si="77"/>
        <v>0</v>
      </c>
      <c r="AY158" s="328">
        <f t="shared" si="77"/>
        <v>0</v>
      </c>
      <c r="AZ158" s="328">
        <f t="shared" si="77"/>
        <v>0</v>
      </c>
      <c r="BA158" s="328">
        <f t="shared" si="77"/>
        <v>0</v>
      </c>
      <c r="BB158" s="328">
        <f t="shared" si="77"/>
        <v>0</v>
      </c>
      <c r="BC158" s="327">
        <f t="shared" si="77"/>
        <v>0</v>
      </c>
      <c r="BD158" s="327">
        <f t="shared" si="77"/>
        <v>0</v>
      </c>
      <c r="BE158" s="327">
        <f t="shared" si="77"/>
        <v>0</v>
      </c>
      <c r="BF158" s="327">
        <f t="shared" si="77"/>
        <v>0</v>
      </c>
      <c r="BG158" s="327">
        <f t="shared" si="77"/>
        <v>0</v>
      </c>
      <c r="BH158" s="327">
        <f t="shared" si="77"/>
        <v>0</v>
      </c>
      <c r="BI158" s="327">
        <f t="shared" si="77"/>
        <v>0</v>
      </c>
      <c r="BJ158" s="327">
        <f t="shared" si="77"/>
        <v>0</v>
      </c>
      <c r="BK158" s="327">
        <f t="shared" si="77"/>
        <v>0</v>
      </c>
      <c r="BL158" s="327">
        <f t="shared" si="77"/>
        <v>0</v>
      </c>
      <c r="BM158" s="327">
        <f t="shared" si="77"/>
        <v>0</v>
      </c>
      <c r="BN158" s="327">
        <f t="shared" si="77"/>
        <v>0</v>
      </c>
      <c r="BO158" s="327">
        <f t="shared" si="77"/>
        <v>0</v>
      </c>
      <c r="BP158" s="327">
        <f t="shared" si="77"/>
        <v>0</v>
      </c>
      <c r="BQ158" s="327">
        <f t="shared" si="77"/>
        <v>0</v>
      </c>
      <c r="BR158" s="327">
        <f t="shared" si="77"/>
        <v>0</v>
      </c>
      <c r="BS158" s="327">
        <f t="shared" si="77"/>
        <v>0</v>
      </c>
      <c r="BT158" s="327">
        <f t="shared" si="77"/>
        <v>0</v>
      </c>
      <c r="BU158" s="327">
        <f t="shared" si="77"/>
        <v>0</v>
      </c>
      <c r="BV158" s="327">
        <f t="shared" si="77"/>
        <v>0</v>
      </c>
      <c r="BW158" s="327">
        <f t="shared" si="77"/>
        <v>0</v>
      </c>
      <c r="BX158" s="327">
        <f t="shared" si="77"/>
        <v>0</v>
      </c>
      <c r="BY158" s="222"/>
      <c r="BZ158" s="222"/>
      <c r="CA158" s="222"/>
      <c r="CB158" s="222"/>
      <c r="CC158" s="222"/>
      <c r="CD158" s="222"/>
      <c r="CE158" s="222"/>
      <c r="CF158" s="222"/>
      <c r="CG158" s="222"/>
      <c r="CH158" s="222"/>
      <c r="CI158" s="222"/>
      <c r="CJ158" s="222"/>
      <c r="CK158" s="222"/>
      <c r="CL158" s="222"/>
      <c r="CM158" s="222"/>
      <c r="CN158" s="222"/>
      <c r="CO158" s="222"/>
      <c r="CP158" s="222"/>
      <c r="CQ158" s="222"/>
      <c r="CR158" s="222"/>
      <c r="CS158" s="222"/>
      <c r="CT158" s="222"/>
      <c r="CU158" s="222"/>
      <c r="CV158" s="222"/>
      <c r="CW158" s="222"/>
      <c r="CX158" s="222"/>
      <c r="CY158" s="222"/>
      <c r="CZ158" s="222"/>
      <c r="DA158" s="222"/>
      <c r="DB158" s="222"/>
      <c r="DC158" s="222"/>
      <c r="DD158" s="222"/>
      <c r="DE158" s="222"/>
      <c r="DF158" s="222"/>
      <c r="DG158" s="222"/>
      <c r="DH158" s="222"/>
      <c r="DI158" s="222"/>
      <c r="DJ158" s="222"/>
      <c r="DK158" s="222"/>
      <c r="DL158" s="222"/>
      <c r="DM158" s="222"/>
      <c r="DN158" s="222"/>
      <c r="DO158" s="222"/>
      <c r="DP158" s="222"/>
      <c r="DQ158" s="222"/>
      <c r="DR158" s="222"/>
      <c r="DS158" s="222"/>
      <c r="DT158" s="222"/>
      <c r="DU158" s="222"/>
      <c r="DV158" s="222"/>
      <c r="DW158" s="222"/>
      <c r="DX158" s="222"/>
      <c r="DY158" s="222"/>
      <c r="DZ158" s="222"/>
      <c r="EA158" s="222"/>
      <c r="EB158" s="222"/>
      <c r="EC158" s="222"/>
      <c r="ED158" s="222"/>
      <c r="EE158" s="222"/>
      <c r="EF158" s="222"/>
      <c r="EG158" s="222"/>
      <c r="EH158" s="222"/>
    </row>
    <row r="159" spans="1:138" hidden="1">
      <c r="A159" s="222"/>
      <c r="B159" s="318"/>
      <c r="C159" s="313" t="s">
        <v>292</v>
      </c>
      <c r="D159" s="322">
        <f>IRR(H157:T157)*12</f>
        <v>0.44790369226741511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2"/>
      <c r="BA159" s="222"/>
      <c r="BB159" s="222"/>
      <c r="BC159" s="222"/>
      <c r="BD159" s="222"/>
      <c r="BE159" s="222"/>
      <c r="BF159" s="222"/>
      <c r="BG159" s="222"/>
      <c r="BH159" s="222"/>
      <c r="BI159" s="222"/>
      <c r="BJ159" s="222"/>
      <c r="BK159" s="222"/>
      <c r="BL159" s="222"/>
      <c r="BM159" s="222"/>
      <c r="BN159" s="222"/>
      <c r="BO159" s="222"/>
      <c r="BP159" s="222"/>
      <c r="BQ159" s="222"/>
      <c r="BR159" s="222"/>
      <c r="BS159" s="222"/>
      <c r="BT159" s="222"/>
      <c r="BU159" s="222"/>
      <c r="BV159" s="222"/>
      <c r="BW159" s="222"/>
      <c r="BX159" s="222"/>
      <c r="BY159" s="222"/>
      <c r="BZ159" s="222"/>
      <c r="CA159" s="222"/>
      <c r="CB159" s="222"/>
      <c r="CC159" s="222"/>
      <c r="CD159" s="222"/>
      <c r="CE159" s="222"/>
      <c r="CF159" s="222"/>
      <c r="CG159" s="222"/>
      <c r="CH159" s="222"/>
      <c r="CI159" s="222"/>
      <c r="CJ159" s="222"/>
      <c r="CK159" s="222"/>
      <c r="CL159" s="222"/>
      <c r="CM159" s="222"/>
      <c r="CN159" s="222"/>
      <c r="CO159" s="222"/>
      <c r="CP159" s="222"/>
      <c r="CQ159" s="222"/>
      <c r="CR159" s="222"/>
      <c r="CS159" s="222"/>
      <c r="CT159" s="222"/>
      <c r="CU159" s="222"/>
      <c r="CV159" s="222"/>
      <c r="CW159" s="222"/>
      <c r="CX159" s="222"/>
      <c r="CY159" s="222"/>
      <c r="CZ159" s="222"/>
      <c r="DA159" s="222"/>
      <c r="DB159" s="222"/>
      <c r="DC159" s="222"/>
      <c r="DD159" s="222"/>
      <c r="DE159" s="222"/>
      <c r="DF159" s="222"/>
      <c r="DG159" s="222"/>
      <c r="DH159" s="222"/>
      <c r="DI159" s="222"/>
      <c r="DJ159" s="222"/>
      <c r="DK159" s="222"/>
      <c r="DL159" s="222"/>
      <c r="DM159" s="222"/>
      <c r="DN159" s="222"/>
      <c r="DO159" s="222"/>
      <c r="DP159" s="222"/>
      <c r="DQ159" s="222"/>
      <c r="DR159" s="222"/>
      <c r="DS159" s="222"/>
      <c r="DT159" s="222"/>
      <c r="DU159" s="222"/>
      <c r="DV159" s="222"/>
      <c r="DW159" s="222"/>
      <c r="DX159" s="222"/>
      <c r="DY159" s="222"/>
      <c r="DZ159" s="222"/>
      <c r="EA159" s="222"/>
      <c r="EB159" s="222"/>
      <c r="EC159" s="222"/>
      <c r="ED159" s="222"/>
      <c r="EE159" s="222"/>
      <c r="EF159" s="222"/>
      <c r="EG159" s="222"/>
      <c r="EH159" s="222"/>
    </row>
    <row r="160" spans="1:138" hidden="1">
      <c r="A160" s="222"/>
      <c r="B160" s="318"/>
      <c r="C160" s="323" t="s">
        <v>300</v>
      </c>
      <c r="D160" s="324">
        <f>-MIN(M158:BL158)-D161</f>
        <v>10666587.08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22"/>
      <c r="AK160" s="222"/>
      <c r="AL160" s="222"/>
      <c r="AM160" s="222"/>
      <c r="AN160" s="222"/>
      <c r="AO160" s="222"/>
      <c r="AP160" s="222"/>
      <c r="AQ160" s="222"/>
      <c r="AR160" s="222"/>
      <c r="AS160" s="222"/>
      <c r="AT160" s="222"/>
      <c r="AU160" s="222"/>
      <c r="AV160" s="222"/>
      <c r="AW160" s="222"/>
      <c r="AX160" s="222"/>
      <c r="AY160" s="222"/>
      <c r="AZ160" s="222"/>
      <c r="BA160" s="222"/>
      <c r="BB160" s="222"/>
      <c r="BC160" s="222"/>
      <c r="BD160" s="222"/>
      <c r="BE160" s="222"/>
      <c r="BF160" s="222"/>
      <c r="BG160" s="222"/>
      <c r="BH160" s="222"/>
      <c r="BI160" s="222"/>
      <c r="BJ160" s="222"/>
      <c r="BK160" s="222"/>
      <c r="BL160" s="222"/>
      <c r="BM160" s="222"/>
      <c r="BN160" s="222"/>
      <c r="BO160" s="222"/>
      <c r="BP160" s="222"/>
      <c r="BQ160" s="222"/>
      <c r="BR160" s="222"/>
      <c r="BS160" s="222"/>
      <c r="BT160" s="222"/>
      <c r="BU160" s="222"/>
      <c r="BV160" s="222"/>
      <c r="BW160" s="222"/>
      <c r="BX160" s="222"/>
      <c r="BY160" s="222"/>
      <c r="BZ160" s="222"/>
      <c r="CA160" s="222"/>
      <c r="CB160" s="222"/>
      <c r="CC160" s="222"/>
      <c r="CD160" s="222"/>
      <c r="CE160" s="222"/>
      <c r="CF160" s="222"/>
      <c r="CG160" s="222"/>
      <c r="CH160" s="222"/>
      <c r="CI160" s="222"/>
      <c r="CJ160" s="222"/>
      <c r="CK160" s="222"/>
      <c r="CL160" s="222"/>
      <c r="CM160" s="222"/>
      <c r="CN160" s="222"/>
      <c r="CO160" s="222"/>
      <c r="CP160" s="222"/>
      <c r="CQ160" s="222"/>
      <c r="CR160" s="222"/>
      <c r="CS160" s="222"/>
      <c r="CT160" s="222"/>
      <c r="CU160" s="222"/>
      <c r="CV160" s="222"/>
      <c r="CW160" s="222"/>
      <c r="CX160" s="222"/>
      <c r="CY160" s="222"/>
      <c r="CZ160" s="222"/>
      <c r="DA160" s="222"/>
      <c r="DB160" s="222"/>
      <c r="DC160" s="222"/>
      <c r="DD160" s="222"/>
      <c r="DE160" s="222"/>
      <c r="DF160" s="222"/>
      <c r="DG160" s="222"/>
      <c r="DH160" s="222"/>
      <c r="DI160" s="222"/>
      <c r="DJ160" s="222"/>
      <c r="DK160" s="222"/>
      <c r="DL160" s="222"/>
      <c r="DM160" s="222"/>
      <c r="DN160" s="222"/>
      <c r="DO160" s="222"/>
      <c r="DP160" s="222"/>
      <c r="DQ160" s="222"/>
      <c r="DR160" s="222"/>
      <c r="DS160" s="222"/>
      <c r="DT160" s="222"/>
      <c r="DU160" s="222"/>
      <c r="DV160" s="222"/>
      <c r="DW160" s="222"/>
      <c r="DX160" s="222"/>
      <c r="DY160" s="222"/>
      <c r="DZ160" s="222"/>
      <c r="EA160" s="222"/>
      <c r="EB160" s="222"/>
      <c r="EC160" s="222"/>
      <c r="ED160" s="222"/>
      <c r="EE160" s="222"/>
      <c r="EF160" s="222"/>
      <c r="EG160" s="222"/>
      <c r="EH160" s="222"/>
    </row>
    <row r="161" spans="1:138" hidden="1">
      <c r="A161" s="222"/>
      <c r="B161" s="318"/>
      <c r="C161" s="323" t="s">
        <v>301</v>
      </c>
      <c r="D161" s="324">
        <f>-SUM(M156:BB156)</f>
        <v>0</v>
      </c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222"/>
      <c r="AF161" s="222"/>
      <c r="AG161" s="222"/>
      <c r="AH161" s="222"/>
      <c r="AI161" s="222"/>
      <c r="AJ161" s="222"/>
      <c r="AK161" s="222"/>
      <c r="AL161" s="222"/>
      <c r="AM161" s="222"/>
      <c r="AN161" s="222"/>
      <c r="AO161" s="222"/>
      <c r="AP161" s="222"/>
      <c r="AQ161" s="222"/>
      <c r="AR161" s="222"/>
      <c r="AS161" s="222"/>
      <c r="AT161" s="222"/>
      <c r="AU161" s="222"/>
      <c r="AV161" s="222"/>
      <c r="AW161" s="222"/>
      <c r="AX161" s="222"/>
      <c r="AY161" s="222"/>
      <c r="AZ161" s="222"/>
      <c r="BA161" s="222"/>
      <c r="BB161" s="222"/>
      <c r="BC161" s="222"/>
      <c r="BD161" s="222"/>
      <c r="BE161" s="222"/>
      <c r="BF161" s="222"/>
      <c r="BG161" s="222"/>
      <c r="BH161" s="222"/>
      <c r="BI161" s="222"/>
      <c r="BJ161" s="222"/>
      <c r="BK161" s="222"/>
      <c r="BL161" s="222"/>
      <c r="BM161" s="222"/>
      <c r="BN161" s="222"/>
      <c r="BO161" s="222"/>
      <c r="BP161" s="222"/>
      <c r="BQ161" s="222"/>
      <c r="BR161" s="222"/>
      <c r="BS161" s="222"/>
      <c r="BT161" s="222"/>
      <c r="BU161" s="222"/>
      <c r="BV161" s="222"/>
      <c r="BW161" s="222"/>
      <c r="BX161" s="222"/>
      <c r="BY161" s="222"/>
      <c r="BZ161" s="222"/>
      <c r="CA161" s="222"/>
      <c r="CB161" s="222"/>
      <c r="CC161" s="222"/>
      <c r="CD161" s="222"/>
      <c r="CE161" s="222"/>
      <c r="CF161" s="222"/>
      <c r="CG161" s="222"/>
      <c r="CH161" s="222"/>
      <c r="CI161" s="222"/>
      <c r="CJ161" s="222"/>
      <c r="CK161" s="222"/>
      <c r="CL161" s="222"/>
      <c r="CM161" s="222"/>
      <c r="CN161" s="222"/>
      <c r="CO161" s="222"/>
      <c r="CP161" s="222"/>
      <c r="CQ161" s="222"/>
      <c r="CR161" s="222"/>
      <c r="CS161" s="222"/>
      <c r="CT161" s="222"/>
      <c r="CU161" s="222"/>
      <c r="CV161" s="222"/>
      <c r="CW161" s="222"/>
      <c r="CX161" s="222"/>
      <c r="CY161" s="222"/>
      <c r="CZ161" s="222"/>
      <c r="DA161" s="222"/>
      <c r="DB161" s="222"/>
      <c r="DC161" s="222"/>
      <c r="DD161" s="222"/>
      <c r="DE161" s="222"/>
      <c r="DF161" s="222"/>
      <c r="DG161" s="222"/>
      <c r="DH161" s="222"/>
      <c r="DI161" s="222"/>
      <c r="DJ161" s="222"/>
      <c r="DK161" s="222"/>
      <c r="DL161" s="222"/>
      <c r="DM161" s="222"/>
      <c r="DN161" s="222"/>
      <c r="DO161" s="222"/>
      <c r="DP161" s="222"/>
      <c r="DQ161" s="222"/>
      <c r="DR161" s="222"/>
      <c r="DS161" s="222"/>
      <c r="DT161" s="222"/>
      <c r="DU161" s="222"/>
      <c r="DV161" s="222"/>
      <c r="DW161" s="222"/>
      <c r="DX161" s="222"/>
      <c r="DY161" s="222"/>
      <c r="DZ161" s="222"/>
      <c r="EA161" s="222"/>
      <c r="EB161" s="222"/>
      <c r="EC161" s="222"/>
      <c r="ED161" s="222"/>
      <c r="EE161" s="222"/>
      <c r="EF161" s="222"/>
      <c r="EG161" s="222"/>
      <c r="EH161" s="222"/>
    </row>
    <row r="162" spans="1:138" hidden="1">
      <c r="A162" s="222"/>
      <c r="B162" s="318"/>
      <c r="C162" s="313" t="s">
        <v>302</v>
      </c>
      <c r="D162" s="326">
        <f>D161+D160</f>
        <v>10666587.08</v>
      </c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222"/>
      <c r="AF162" s="222"/>
      <c r="AG162" s="222"/>
      <c r="AH162" s="222"/>
      <c r="AI162" s="222"/>
      <c r="AJ162" s="222"/>
      <c r="AK162" s="222"/>
      <c r="AL162" s="222"/>
      <c r="AM162" s="222"/>
      <c r="AN162" s="222"/>
      <c r="AO162" s="222"/>
      <c r="AP162" s="222"/>
      <c r="AQ162" s="222"/>
      <c r="AR162" s="222"/>
      <c r="AS162" s="222"/>
      <c r="AT162" s="222"/>
      <c r="AU162" s="222"/>
      <c r="AV162" s="222"/>
      <c r="AW162" s="222"/>
      <c r="AX162" s="222"/>
      <c r="AY162" s="222"/>
      <c r="AZ162" s="222"/>
      <c r="BA162" s="222"/>
      <c r="BB162" s="222"/>
      <c r="BC162" s="222"/>
      <c r="BD162" s="222"/>
      <c r="BE162" s="222"/>
      <c r="BF162" s="222"/>
      <c r="BG162" s="222"/>
      <c r="BH162" s="222"/>
      <c r="BI162" s="222"/>
      <c r="BJ162" s="222"/>
      <c r="BK162" s="222"/>
      <c r="BL162" s="222"/>
      <c r="BM162" s="222"/>
      <c r="BN162" s="222"/>
      <c r="BO162" s="222"/>
      <c r="BP162" s="222"/>
      <c r="BQ162" s="222"/>
      <c r="BR162" s="222"/>
      <c r="BS162" s="222"/>
      <c r="BT162" s="222"/>
      <c r="BU162" s="222"/>
      <c r="BV162" s="222"/>
      <c r="BW162" s="222"/>
      <c r="BX162" s="222"/>
      <c r="BY162" s="222"/>
      <c r="BZ162" s="222"/>
      <c r="CA162" s="222"/>
      <c r="CB162" s="222"/>
      <c r="CC162" s="222"/>
      <c r="CD162" s="222"/>
      <c r="CE162" s="222"/>
      <c r="CF162" s="222"/>
      <c r="CG162" s="222"/>
      <c r="CH162" s="222"/>
      <c r="CI162" s="222"/>
      <c r="CJ162" s="222"/>
      <c r="CK162" s="222"/>
      <c r="CL162" s="222"/>
      <c r="CM162" s="222"/>
      <c r="CN162" s="222"/>
      <c r="CO162" s="222"/>
      <c r="CP162" s="222"/>
      <c r="CQ162" s="222"/>
      <c r="CR162" s="222"/>
      <c r="CS162" s="222"/>
      <c r="CT162" s="222"/>
      <c r="CU162" s="222"/>
      <c r="CV162" s="222"/>
      <c r="CW162" s="222"/>
      <c r="CX162" s="222"/>
      <c r="CY162" s="222"/>
      <c r="CZ162" s="222"/>
      <c r="DA162" s="222"/>
      <c r="DB162" s="222"/>
      <c r="DC162" s="222"/>
      <c r="DD162" s="222"/>
      <c r="DE162" s="222"/>
      <c r="DF162" s="222"/>
      <c r="DG162" s="222"/>
      <c r="DH162" s="222"/>
      <c r="DI162" s="222"/>
      <c r="DJ162" s="222"/>
      <c r="DK162" s="222"/>
      <c r="DL162" s="222"/>
      <c r="DM162" s="222"/>
      <c r="DN162" s="222"/>
      <c r="DO162" s="222"/>
      <c r="DP162" s="222"/>
      <c r="DQ162" s="222"/>
      <c r="DR162" s="222"/>
      <c r="DS162" s="222"/>
      <c r="DT162" s="222"/>
      <c r="DU162" s="222"/>
      <c r="DV162" s="222"/>
      <c r="DW162" s="325"/>
      <c r="DX162" s="325"/>
      <c r="DY162" s="325"/>
      <c r="DZ162" s="325"/>
      <c r="EA162" s="325"/>
      <c r="EB162" s="325"/>
      <c r="EC162" s="325"/>
      <c r="ED162" s="325"/>
      <c r="EE162" s="325"/>
      <c r="EF162" s="325"/>
      <c r="EG162" s="325"/>
      <c r="EH162" s="325"/>
    </row>
    <row r="163" spans="1:138" hidden="1">
      <c r="A163" s="222"/>
      <c r="B163" s="318"/>
      <c r="C163" s="313" t="s">
        <v>303</v>
      </c>
      <c r="D163" s="326">
        <f>BX154+BX155</f>
        <v>0</v>
      </c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22"/>
      <c r="AD163" s="222"/>
      <c r="AE163" s="222"/>
      <c r="AF163" s="222"/>
      <c r="AG163" s="222"/>
      <c r="AH163" s="222"/>
      <c r="AI163" s="222"/>
      <c r="AJ163" s="222"/>
      <c r="AK163" s="222"/>
      <c r="AL163" s="222"/>
      <c r="AM163" s="222"/>
      <c r="AN163" s="222"/>
      <c r="AO163" s="222"/>
      <c r="AP163" s="222"/>
      <c r="AQ163" s="222"/>
      <c r="AR163" s="222"/>
      <c r="AS163" s="222"/>
      <c r="AT163" s="222"/>
      <c r="AU163" s="222"/>
      <c r="AV163" s="222"/>
      <c r="AW163" s="222"/>
      <c r="AX163" s="222"/>
      <c r="AY163" s="222"/>
      <c r="AZ163" s="222"/>
      <c r="BA163" s="222"/>
      <c r="BB163" s="222"/>
      <c r="BC163" s="222"/>
      <c r="BD163" s="222"/>
      <c r="BE163" s="222"/>
      <c r="BF163" s="222"/>
      <c r="BG163" s="222"/>
      <c r="BH163" s="222"/>
      <c r="BI163" s="222"/>
      <c r="BJ163" s="222"/>
      <c r="BK163" s="222"/>
      <c r="BL163" s="222"/>
      <c r="BM163" s="222"/>
      <c r="BN163" s="222"/>
      <c r="BO163" s="222"/>
      <c r="BP163" s="222"/>
      <c r="BQ163" s="222"/>
      <c r="BR163" s="222"/>
      <c r="BS163" s="222"/>
      <c r="BT163" s="222"/>
      <c r="BU163" s="222"/>
      <c r="BV163" s="222"/>
      <c r="BW163" s="222"/>
      <c r="BX163" s="222"/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  <c r="CJ163" s="222"/>
      <c r="CK163" s="222"/>
      <c r="CL163" s="222"/>
      <c r="CM163" s="222"/>
      <c r="CN163" s="222"/>
      <c r="CO163" s="222"/>
      <c r="CP163" s="222"/>
      <c r="CQ163" s="222"/>
      <c r="CR163" s="222"/>
      <c r="CS163" s="222"/>
      <c r="CT163" s="222"/>
      <c r="CU163" s="222"/>
      <c r="CV163" s="222"/>
      <c r="CW163" s="222"/>
      <c r="CX163" s="222"/>
      <c r="CY163" s="222"/>
      <c r="CZ163" s="222"/>
      <c r="DA163" s="222"/>
      <c r="DB163" s="222"/>
      <c r="DC163" s="222"/>
      <c r="DD163" s="222"/>
      <c r="DE163" s="222"/>
      <c r="DF163" s="222"/>
      <c r="DG163" s="222"/>
      <c r="DH163" s="222"/>
      <c r="DI163" s="222"/>
      <c r="DJ163" s="222"/>
      <c r="DK163" s="222"/>
      <c r="DL163" s="222"/>
      <c r="DM163" s="222"/>
      <c r="DN163" s="222"/>
      <c r="DO163" s="222"/>
      <c r="DP163" s="222"/>
      <c r="DQ163" s="222"/>
      <c r="DR163" s="222"/>
      <c r="DS163" s="222"/>
      <c r="DT163" s="222"/>
      <c r="DU163" s="222"/>
      <c r="DV163" s="222"/>
      <c r="DW163" s="325"/>
      <c r="DX163" s="325"/>
      <c r="DY163" s="325"/>
      <c r="DZ163" s="325"/>
      <c r="EA163" s="325"/>
      <c r="EB163" s="325"/>
      <c r="EC163" s="325"/>
      <c r="ED163" s="325"/>
      <c r="EE163" s="325"/>
      <c r="EF163" s="325"/>
      <c r="EG163" s="325"/>
      <c r="EH163" s="325"/>
    </row>
    <row r="164" spans="1:138" hidden="1">
      <c r="A164" s="222"/>
      <c r="B164" s="318"/>
      <c r="C164" s="313" t="s">
        <v>147</v>
      </c>
      <c r="D164" s="322">
        <f>T155/T152</f>
        <v>0.51486070537227191</v>
      </c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22"/>
      <c r="AD164" s="222"/>
      <c r="AE164" s="222"/>
      <c r="AF164" s="222"/>
      <c r="AG164" s="222"/>
      <c r="AH164" s="222"/>
      <c r="AI164" s="222"/>
      <c r="AJ164" s="222"/>
      <c r="AK164" s="222"/>
      <c r="AL164" s="222"/>
      <c r="AM164" s="222"/>
      <c r="AN164" s="222"/>
      <c r="AO164" s="222"/>
      <c r="AP164" s="222"/>
      <c r="AQ164" s="222"/>
      <c r="AR164" s="222"/>
      <c r="AS164" s="222"/>
      <c r="AT164" s="222"/>
      <c r="AU164" s="222"/>
      <c r="AV164" s="222"/>
      <c r="AW164" s="222"/>
      <c r="AX164" s="222"/>
      <c r="AY164" s="222"/>
      <c r="AZ164" s="222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2"/>
      <c r="BK164" s="222"/>
      <c r="BL164" s="222"/>
      <c r="BM164" s="222"/>
      <c r="BN164" s="222"/>
      <c r="BO164" s="222"/>
      <c r="BP164" s="222"/>
      <c r="BQ164" s="222"/>
      <c r="BR164" s="222"/>
      <c r="BS164" s="222"/>
      <c r="BT164" s="222"/>
      <c r="BU164" s="222"/>
      <c r="BV164" s="222"/>
      <c r="BW164" s="222"/>
      <c r="BX164" s="222"/>
      <c r="BY164" s="222"/>
      <c r="BZ164" s="222"/>
      <c r="CA164" s="222"/>
      <c r="CB164" s="222"/>
      <c r="CC164" s="222"/>
      <c r="CD164" s="222"/>
      <c r="CE164" s="222"/>
      <c r="CF164" s="222"/>
      <c r="CG164" s="222"/>
      <c r="CH164" s="222"/>
      <c r="CI164" s="222"/>
      <c r="CJ164" s="222"/>
      <c r="CK164" s="222"/>
      <c r="CL164" s="222"/>
      <c r="CM164" s="222"/>
      <c r="CN164" s="222"/>
      <c r="CO164" s="222"/>
      <c r="CP164" s="222"/>
      <c r="CQ164" s="222"/>
      <c r="CR164" s="222"/>
      <c r="CS164" s="222"/>
      <c r="CT164" s="222"/>
      <c r="CU164" s="222"/>
      <c r="CV164" s="222"/>
      <c r="CW164" s="222"/>
      <c r="CX164" s="222"/>
      <c r="CY164" s="222"/>
      <c r="CZ164" s="222"/>
      <c r="DA164" s="222"/>
      <c r="DB164" s="222"/>
      <c r="DC164" s="222"/>
      <c r="DD164" s="222"/>
      <c r="DE164" s="222"/>
      <c r="DF164" s="222"/>
      <c r="DG164" s="222"/>
      <c r="DH164" s="222"/>
      <c r="DI164" s="222"/>
      <c r="DJ164" s="222"/>
      <c r="DK164" s="222"/>
      <c r="DL164" s="222"/>
      <c r="DM164" s="222"/>
      <c r="DN164" s="222"/>
      <c r="DO164" s="222"/>
      <c r="DP164" s="222"/>
      <c r="DQ164" s="222"/>
      <c r="DR164" s="222"/>
      <c r="DS164" s="222"/>
      <c r="DT164" s="222"/>
      <c r="DU164" s="222"/>
      <c r="DV164" s="222"/>
      <c r="DW164" s="325"/>
      <c r="DX164" s="325"/>
      <c r="DY164" s="325"/>
      <c r="DZ164" s="325"/>
      <c r="EA164" s="325"/>
      <c r="EB164" s="325"/>
      <c r="EC164" s="325"/>
      <c r="ED164" s="325"/>
      <c r="EE164" s="325"/>
      <c r="EF164" s="325"/>
      <c r="EG164" s="325"/>
      <c r="EH164" s="325"/>
    </row>
    <row r="165" spans="1:138" ht="14.1" hidden="1"/>
    <row r="166" spans="1:138" ht="14.1" hidden="1"/>
    <row r="167" spans="1:138" hidden="1">
      <c r="A167" s="222"/>
      <c r="B167" s="318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222"/>
      <c r="AF167" s="222"/>
      <c r="AG167" s="222"/>
      <c r="AH167" s="222"/>
      <c r="AI167" s="222"/>
      <c r="AJ167" s="222"/>
      <c r="AK167" s="222"/>
      <c r="AL167" s="222"/>
      <c r="AM167" s="222"/>
      <c r="AN167" s="222"/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2"/>
      <c r="BN167" s="222"/>
      <c r="BO167" s="222"/>
      <c r="BP167" s="222"/>
      <c r="BQ167" s="222"/>
      <c r="BR167" s="222"/>
      <c r="BS167" s="222"/>
      <c r="BT167" s="222"/>
      <c r="BU167" s="222"/>
      <c r="BV167" s="222"/>
      <c r="BW167" s="222"/>
      <c r="BX167" s="222"/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  <c r="CJ167" s="222"/>
      <c r="CK167" s="222"/>
      <c r="CL167" s="222"/>
      <c r="CM167" s="222"/>
      <c r="CN167" s="222"/>
      <c r="CO167" s="222"/>
      <c r="CP167" s="222"/>
      <c r="CQ167" s="222"/>
      <c r="CR167" s="222"/>
      <c r="CS167" s="222"/>
      <c r="CT167" s="222"/>
      <c r="CU167" s="222"/>
      <c r="CV167" s="222"/>
      <c r="CW167" s="222"/>
      <c r="CX167" s="222"/>
      <c r="CY167" s="222"/>
      <c r="CZ167" s="222"/>
      <c r="DA167" s="222"/>
      <c r="DB167" s="222"/>
      <c r="DC167" s="222"/>
      <c r="DD167" s="222"/>
      <c r="DE167" s="222"/>
      <c r="DF167" s="222"/>
      <c r="DG167" s="222"/>
      <c r="DH167" s="222"/>
      <c r="DI167" s="222"/>
      <c r="DJ167" s="222"/>
      <c r="DK167" s="222"/>
      <c r="DL167" s="222"/>
      <c r="DM167" s="222"/>
      <c r="DN167" s="222"/>
      <c r="DO167" s="222"/>
      <c r="DP167" s="222"/>
      <c r="DQ167" s="222"/>
      <c r="DR167" s="222"/>
      <c r="DS167" s="222"/>
      <c r="DT167" s="222"/>
      <c r="DU167" s="222"/>
      <c r="DV167" s="222"/>
      <c r="DW167" s="325"/>
      <c r="DX167" s="325"/>
      <c r="DY167" s="325"/>
      <c r="DZ167" s="325"/>
      <c r="EA167" s="325"/>
      <c r="EB167" s="325"/>
      <c r="EC167" s="325"/>
      <c r="ED167" s="325"/>
      <c r="EE167" s="325"/>
      <c r="EF167" s="325"/>
      <c r="EG167" s="325"/>
      <c r="EH167" s="325"/>
    </row>
    <row r="168" spans="1:138" hidden="1">
      <c r="A168" s="222"/>
      <c r="B168" s="318"/>
      <c r="C168" s="310" t="s">
        <v>308</v>
      </c>
      <c r="D168" s="311"/>
      <c r="E168" s="311">
        <f t="shared" ref="E168:G168" si="78">-(E7+E93)</f>
        <v>0</v>
      </c>
      <c r="F168" s="311">
        <f t="shared" si="78"/>
        <v>0</v>
      </c>
      <c r="G168" s="311">
        <f t="shared" si="78"/>
        <v>0</v>
      </c>
      <c r="H168" s="311">
        <f>-5341205.5</f>
        <v>-5341205.5</v>
      </c>
      <c r="I168" s="311">
        <f t="shared" ref="I168:S168" si="79">-(I7+I93)</f>
        <v>0</v>
      </c>
      <c r="J168" s="311">
        <f t="shared" si="79"/>
        <v>0</v>
      </c>
      <c r="K168" s="311">
        <f t="shared" si="79"/>
        <v>0</v>
      </c>
      <c r="L168" s="311">
        <f t="shared" si="79"/>
        <v>0</v>
      </c>
      <c r="M168" s="311">
        <f t="shared" si="79"/>
        <v>0</v>
      </c>
      <c r="N168" s="311">
        <f t="shared" si="79"/>
        <v>0</v>
      </c>
      <c r="O168" s="311">
        <f t="shared" si="79"/>
        <v>0</v>
      </c>
      <c r="P168" s="311">
        <f t="shared" si="79"/>
        <v>0</v>
      </c>
      <c r="Q168" s="311">
        <f t="shared" si="79"/>
        <v>0</v>
      </c>
      <c r="R168" s="311">
        <f t="shared" si="79"/>
        <v>0</v>
      </c>
      <c r="S168" s="311">
        <f t="shared" si="79"/>
        <v>0</v>
      </c>
      <c r="T168" s="311">
        <f>5341205.5</f>
        <v>5341205.5</v>
      </c>
      <c r="U168" s="311">
        <f t="shared" ref="U168:Z168" si="80">-(U7+U93)</f>
        <v>0</v>
      </c>
      <c r="V168" s="311">
        <f t="shared" si="80"/>
        <v>0</v>
      </c>
      <c r="W168" s="311">
        <f t="shared" si="80"/>
        <v>0</v>
      </c>
      <c r="X168" s="311">
        <f t="shared" si="80"/>
        <v>0</v>
      </c>
      <c r="Y168" s="311">
        <f t="shared" si="80"/>
        <v>0</v>
      </c>
      <c r="Z168" s="311">
        <f t="shared" si="80"/>
        <v>0</v>
      </c>
      <c r="AA168" s="311"/>
      <c r="AB168" s="311">
        <f t="shared" ref="AB168:AE168" si="81">-(AB7+AB93)</f>
        <v>0</v>
      </c>
      <c r="AC168" s="311">
        <f t="shared" si="81"/>
        <v>0</v>
      </c>
      <c r="AD168" s="311">
        <f t="shared" si="81"/>
        <v>0</v>
      </c>
      <c r="AE168" s="311">
        <f t="shared" si="81"/>
        <v>0</v>
      </c>
      <c r="AF168" s="311"/>
      <c r="AG168" s="311"/>
      <c r="AH168" s="311"/>
      <c r="AI168" s="311"/>
      <c r="AJ168" s="311"/>
      <c r="AK168" s="311">
        <f t="shared" ref="AK168:BX168" si="82">-(AK7+AK93)</f>
        <v>0</v>
      </c>
      <c r="AL168" s="311">
        <f t="shared" si="82"/>
        <v>0</v>
      </c>
      <c r="AM168" s="311">
        <f t="shared" si="82"/>
        <v>0</v>
      </c>
      <c r="AN168" s="311">
        <f t="shared" si="82"/>
        <v>0</v>
      </c>
      <c r="AO168" s="311">
        <f t="shared" si="82"/>
        <v>0</v>
      </c>
      <c r="AP168" s="311">
        <f t="shared" si="82"/>
        <v>0</v>
      </c>
      <c r="AQ168" s="311">
        <f t="shared" si="82"/>
        <v>0</v>
      </c>
      <c r="AR168" s="311">
        <f t="shared" si="82"/>
        <v>0</v>
      </c>
      <c r="AS168" s="311">
        <f t="shared" si="82"/>
        <v>0</v>
      </c>
      <c r="AT168" s="311">
        <f t="shared" si="82"/>
        <v>0</v>
      </c>
      <c r="AU168" s="311">
        <f t="shared" si="82"/>
        <v>0</v>
      </c>
      <c r="AV168" s="311">
        <f t="shared" si="82"/>
        <v>0</v>
      </c>
      <c r="AW168" s="311">
        <f t="shared" si="82"/>
        <v>0</v>
      </c>
      <c r="AX168" s="311">
        <f t="shared" si="82"/>
        <v>0</v>
      </c>
      <c r="AY168" s="311">
        <f t="shared" si="82"/>
        <v>0</v>
      </c>
      <c r="AZ168" s="311">
        <f t="shared" si="82"/>
        <v>0</v>
      </c>
      <c r="BA168" s="311">
        <f t="shared" si="82"/>
        <v>0</v>
      </c>
      <c r="BB168" s="311">
        <f t="shared" si="82"/>
        <v>0</v>
      </c>
      <c r="BC168" s="311">
        <f t="shared" si="82"/>
        <v>0</v>
      </c>
      <c r="BD168" s="311">
        <f t="shared" si="82"/>
        <v>0</v>
      </c>
      <c r="BE168" s="311">
        <f t="shared" si="82"/>
        <v>0</v>
      </c>
      <c r="BF168" s="311">
        <f t="shared" si="82"/>
        <v>0</v>
      </c>
      <c r="BG168" s="311">
        <f t="shared" si="82"/>
        <v>0</v>
      </c>
      <c r="BH168" s="311">
        <f t="shared" si="82"/>
        <v>0</v>
      </c>
      <c r="BI168" s="311">
        <f t="shared" si="82"/>
        <v>0</v>
      </c>
      <c r="BJ168" s="311">
        <f t="shared" si="82"/>
        <v>0</v>
      </c>
      <c r="BK168" s="311">
        <f t="shared" si="82"/>
        <v>0</v>
      </c>
      <c r="BL168" s="311">
        <f t="shared" si="82"/>
        <v>0</v>
      </c>
      <c r="BM168" s="311">
        <f t="shared" si="82"/>
        <v>0</v>
      </c>
      <c r="BN168" s="311">
        <f t="shared" si="82"/>
        <v>0</v>
      </c>
      <c r="BO168" s="311">
        <f t="shared" si="82"/>
        <v>0</v>
      </c>
      <c r="BP168" s="311">
        <f t="shared" si="82"/>
        <v>0</v>
      </c>
      <c r="BQ168" s="311">
        <f t="shared" si="82"/>
        <v>0</v>
      </c>
      <c r="BR168" s="311">
        <f t="shared" si="82"/>
        <v>0</v>
      </c>
      <c r="BS168" s="311">
        <f t="shared" si="82"/>
        <v>0</v>
      </c>
      <c r="BT168" s="311">
        <f t="shared" si="82"/>
        <v>0</v>
      </c>
      <c r="BU168" s="311">
        <f t="shared" si="82"/>
        <v>0</v>
      </c>
      <c r="BV168" s="311">
        <f t="shared" si="82"/>
        <v>0</v>
      </c>
      <c r="BW168" s="311">
        <f t="shared" si="82"/>
        <v>0</v>
      </c>
      <c r="BX168" s="311">
        <f t="shared" si="82"/>
        <v>0</v>
      </c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  <c r="CJ168" s="222"/>
      <c r="CK168" s="222"/>
      <c r="CL168" s="222"/>
      <c r="CM168" s="222"/>
      <c r="CN168" s="222"/>
      <c r="CO168" s="222"/>
      <c r="CP168" s="222"/>
      <c r="CQ168" s="222"/>
      <c r="CR168" s="222"/>
      <c r="CS168" s="222"/>
      <c r="CT168" s="222"/>
      <c r="CU168" s="222"/>
      <c r="CV168" s="222"/>
      <c r="CW168" s="222"/>
      <c r="CX168" s="222"/>
      <c r="CY168" s="222"/>
      <c r="CZ168" s="222"/>
      <c r="DA168" s="222"/>
      <c r="DB168" s="222"/>
      <c r="DC168" s="222"/>
      <c r="DD168" s="222"/>
      <c r="DE168" s="222"/>
      <c r="DF168" s="222"/>
      <c r="DG168" s="222"/>
      <c r="DH168" s="222"/>
      <c r="DI168" s="222"/>
      <c r="DJ168" s="222"/>
      <c r="DK168" s="222"/>
      <c r="DL168" s="222"/>
      <c r="DM168" s="222"/>
      <c r="DN168" s="222"/>
      <c r="DO168" s="222"/>
      <c r="DP168" s="222"/>
      <c r="DQ168" s="222"/>
      <c r="DR168" s="222"/>
      <c r="DS168" s="222"/>
      <c r="DT168" s="222"/>
      <c r="DU168" s="222"/>
      <c r="DV168" s="222"/>
      <c r="DW168" s="325"/>
      <c r="DX168" s="325"/>
      <c r="DY168" s="325"/>
      <c r="DZ168" s="325"/>
      <c r="EA168" s="325"/>
      <c r="EB168" s="325"/>
      <c r="EC168" s="325"/>
      <c r="ED168" s="325"/>
      <c r="EE168" s="325"/>
      <c r="EF168" s="325"/>
      <c r="EG168" s="325"/>
      <c r="EH168" s="325"/>
    </row>
    <row r="169" spans="1:138" hidden="1">
      <c r="A169" s="222"/>
      <c r="B169" s="318"/>
      <c r="C169" s="310" t="s">
        <v>305</v>
      </c>
      <c r="D169" s="319"/>
      <c r="E169" s="311"/>
      <c r="F169" s="311"/>
      <c r="G169" s="311"/>
      <c r="H169" s="311"/>
      <c r="I169" s="311"/>
      <c r="J169" s="311"/>
      <c r="K169" s="311"/>
      <c r="L169" s="311"/>
      <c r="M169" s="311"/>
      <c r="N169" s="311"/>
      <c r="O169" s="311"/>
      <c r="P169" s="311"/>
      <c r="Q169" s="311"/>
      <c r="R169" s="311"/>
      <c r="S169" s="311"/>
      <c r="T169" s="311"/>
      <c r="U169" s="311"/>
      <c r="V169" s="311"/>
      <c r="W169" s="311"/>
      <c r="X169" s="311"/>
      <c r="Y169" s="311"/>
      <c r="Z169" s="311"/>
      <c r="AA169" s="311"/>
      <c r="AB169" s="311"/>
      <c r="AC169" s="311"/>
      <c r="AD169" s="311"/>
      <c r="AE169" s="311"/>
      <c r="AF169" s="311"/>
      <c r="AG169" s="311"/>
      <c r="AH169" s="311"/>
      <c r="AI169" s="311"/>
      <c r="AJ169" s="311"/>
      <c r="AK169" s="311"/>
      <c r="AL169" s="311"/>
      <c r="AM169" s="311"/>
      <c r="AN169" s="311"/>
      <c r="AO169" s="311"/>
      <c r="AP169" s="311"/>
      <c r="AQ169" s="311"/>
      <c r="AR169" s="311"/>
      <c r="AS169" s="311"/>
      <c r="AT169" s="311"/>
      <c r="AU169" s="311"/>
      <c r="AV169" s="311"/>
      <c r="AW169" s="311"/>
      <c r="AX169" s="311"/>
      <c r="AY169" s="311"/>
      <c r="AZ169" s="311"/>
      <c r="BA169" s="311"/>
      <c r="BB169" s="311"/>
      <c r="BC169" s="311"/>
      <c r="BD169" s="311"/>
      <c r="BE169" s="311"/>
      <c r="BF169" s="311"/>
      <c r="BG169" s="311"/>
      <c r="BH169" s="311"/>
      <c r="BI169" s="311"/>
      <c r="BJ169" s="311"/>
      <c r="BK169" s="311"/>
      <c r="BL169" s="311"/>
      <c r="BM169" s="311"/>
      <c r="BN169" s="311"/>
      <c r="BO169" s="311"/>
      <c r="BP169" s="311"/>
      <c r="BQ169" s="311"/>
      <c r="BR169" s="311"/>
      <c r="BS169" s="311"/>
      <c r="BT169" s="311"/>
      <c r="BU169" s="311"/>
      <c r="BV169" s="311"/>
      <c r="BW169" s="311"/>
      <c r="BX169" s="311"/>
      <c r="BY169" s="222"/>
      <c r="BZ169" s="222"/>
      <c r="CA169" s="222"/>
      <c r="CB169" s="222"/>
      <c r="CC169" s="222"/>
      <c r="CD169" s="222"/>
      <c r="CE169" s="222"/>
      <c r="CF169" s="222"/>
      <c r="CG169" s="222"/>
      <c r="CH169" s="222"/>
      <c r="CI169" s="222"/>
      <c r="CJ169" s="222"/>
      <c r="CK169" s="222"/>
      <c r="CL169" s="222"/>
      <c r="CM169" s="222"/>
      <c r="CN169" s="222"/>
      <c r="CO169" s="222"/>
      <c r="CP169" s="222"/>
      <c r="CQ169" s="222"/>
      <c r="CR169" s="222"/>
      <c r="CS169" s="222"/>
      <c r="CT169" s="222"/>
      <c r="CU169" s="222"/>
      <c r="CV169" s="222"/>
      <c r="CW169" s="222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2"/>
      <c r="DI169" s="222"/>
      <c r="DJ169" s="222"/>
      <c r="DK169" s="222"/>
      <c r="DL169" s="222"/>
      <c r="DM169" s="222"/>
      <c r="DN169" s="222"/>
      <c r="DO169" s="222"/>
      <c r="DP169" s="222"/>
      <c r="DQ169" s="222"/>
      <c r="DR169" s="222"/>
      <c r="DS169" s="222"/>
      <c r="DT169" s="222"/>
      <c r="DU169" s="222"/>
      <c r="DV169" s="222"/>
      <c r="DW169" s="325"/>
      <c r="DX169" s="325"/>
      <c r="DY169" s="325"/>
      <c r="DZ169" s="325"/>
      <c r="EA169" s="325"/>
      <c r="EB169" s="325"/>
      <c r="EC169" s="325"/>
      <c r="ED169" s="325"/>
      <c r="EE169" s="325"/>
      <c r="EF169" s="325"/>
      <c r="EG169" s="325"/>
      <c r="EH169" s="325"/>
    </row>
    <row r="170" spans="1:138" hidden="1">
      <c r="A170" s="222"/>
      <c r="B170" s="318"/>
      <c r="C170" s="310" t="s">
        <v>296</v>
      </c>
      <c r="D170" s="319"/>
      <c r="E170" s="311">
        <f t="shared" ref="E170:Z170" si="83">-E58</f>
        <v>0</v>
      </c>
      <c r="F170" s="311">
        <f t="shared" si="83"/>
        <v>0</v>
      </c>
      <c r="G170" s="311">
        <f t="shared" si="83"/>
        <v>0</v>
      </c>
      <c r="H170" s="311">
        <f t="shared" si="83"/>
        <v>0</v>
      </c>
      <c r="I170" s="311">
        <f t="shared" si="83"/>
        <v>0</v>
      </c>
      <c r="J170" s="311">
        <f t="shared" si="83"/>
        <v>0</v>
      </c>
      <c r="K170" s="311">
        <f t="shared" si="83"/>
        <v>0</v>
      </c>
      <c r="L170" s="311">
        <f t="shared" si="83"/>
        <v>0</v>
      </c>
      <c r="M170" s="311">
        <f t="shared" si="83"/>
        <v>0</v>
      </c>
      <c r="N170" s="311">
        <f t="shared" si="83"/>
        <v>0</v>
      </c>
      <c r="O170" s="311">
        <f t="shared" si="83"/>
        <v>0</v>
      </c>
      <c r="P170" s="311">
        <f t="shared" si="83"/>
        <v>0</v>
      </c>
      <c r="Q170" s="311">
        <f t="shared" si="83"/>
        <v>0</v>
      </c>
      <c r="R170" s="311">
        <f t="shared" si="83"/>
        <v>0</v>
      </c>
      <c r="S170" s="311">
        <f t="shared" si="83"/>
        <v>0</v>
      </c>
      <c r="T170" s="311">
        <f t="shared" si="83"/>
        <v>0</v>
      </c>
      <c r="U170" s="311">
        <f t="shared" si="83"/>
        <v>0</v>
      </c>
      <c r="V170" s="311">
        <f t="shared" si="83"/>
        <v>0</v>
      </c>
      <c r="W170" s="311">
        <f t="shared" si="83"/>
        <v>0</v>
      </c>
      <c r="X170" s="311">
        <f t="shared" si="83"/>
        <v>0</v>
      </c>
      <c r="Y170" s="311">
        <f t="shared" si="83"/>
        <v>0</v>
      </c>
      <c r="Z170" s="311">
        <f t="shared" si="83"/>
        <v>0</v>
      </c>
      <c r="AA170" s="311"/>
      <c r="AB170" s="311">
        <f t="shared" ref="AB170:AE170" si="84">-AB58</f>
        <v>0</v>
      </c>
      <c r="AC170" s="311">
        <f t="shared" si="84"/>
        <v>0</v>
      </c>
      <c r="AD170" s="311">
        <f t="shared" si="84"/>
        <v>0</v>
      </c>
      <c r="AE170" s="311">
        <f t="shared" si="84"/>
        <v>0</v>
      </c>
      <c r="AF170" s="311"/>
      <c r="AG170" s="311"/>
      <c r="AH170" s="311"/>
      <c r="AI170" s="311"/>
      <c r="AJ170" s="311"/>
      <c r="AK170" s="311">
        <f t="shared" ref="AK170:BX170" si="85">-AK58</f>
        <v>0</v>
      </c>
      <c r="AL170" s="311">
        <f t="shared" si="85"/>
        <v>0</v>
      </c>
      <c r="AM170" s="311">
        <f t="shared" si="85"/>
        <v>0</v>
      </c>
      <c r="AN170" s="311">
        <f t="shared" si="85"/>
        <v>0</v>
      </c>
      <c r="AO170" s="311">
        <f t="shared" si="85"/>
        <v>0</v>
      </c>
      <c r="AP170" s="311">
        <f t="shared" si="85"/>
        <v>0</v>
      </c>
      <c r="AQ170" s="311">
        <f t="shared" si="85"/>
        <v>0</v>
      </c>
      <c r="AR170" s="311">
        <f t="shared" si="85"/>
        <v>0</v>
      </c>
      <c r="AS170" s="311">
        <f t="shared" si="85"/>
        <v>0</v>
      </c>
      <c r="AT170" s="311">
        <f t="shared" si="85"/>
        <v>0</v>
      </c>
      <c r="AU170" s="311">
        <f t="shared" si="85"/>
        <v>0</v>
      </c>
      <c r="AV170" s="311">
        <f t="shared" si="85"/>
        <v>0</v>
      </c>
      <c r="AW170" s="311">
        <f t="shared" si="85"/>
        <v>0</v>
      </c>
      <c r="AX170" s="311">
        <f t="shared" si="85"/>
        <v>0</v>
      </c>
      <c r="AY170" s="311">
        <f t="shared" si="85"/>
        <v>0</v>
      </c>
      <c r="AZ170" s="311">
        <f t="shared" si="85"/>
        <v>0</v>
      </c>
      <c r="BA170" s="311">
        <f t="shared" si="85"/>
        <v>0</v>
      </c>
      <c r="BB170" s="311">
        <f t="shared" si="85"/>
        <v>0</v>
      </c>
      <c r="BC170" s="311">
        <f t="shared" si="85"/>
        <v>0</v>
      </c>
      <c r="BD170" s="311">
        <f t="shared" si="85"/>
        <v>0</v>
      </c>
      <c r="BE170" s="311">
        <f t="shared" si="85"/>
        <v>0</v>
      </c>
      <c r="BF170" s="311">
        <f t="shared" si="85"/>
        <v>0</v>
      </c>
      <c r="BG170" s="311">
        <f t="shared" si="85"/>
        <v>0</v>
      </c>
      <c r="BH170" s="311">
        <f t="shared" si="85"/>
        <v>0</v>
      </c>
      <c r="BI170" s="311">
        <f t="shared" si="85"/>
        <v>0</v>
      </c>
      <c r="BJ170" s="311">
        <f t="shared" si="85"/>
        <v>0</v>
      </c>
      <c r="BK170" s="311">
        <f t="shared" si="85"/>
        <v>0</v>
      </c>
      <c r="BL170" s="311">
        <f t="shared" si="85"/>
        <v>0</v>
      </c>
      <c r="BM170" s="311">
        <f t="shared" si="85"/>
        <v>0</v>
      </c>
      <c r="BN170" s="311">
        <f t="shared" si="85"/>
        <v>0</v>
      </c>
      <c r="BO170" s="311">
        <f t="shared" si="85"/>
        <v>0</v>
      </c>
      <c r="BP170" s="311">
        <f t="shared" si="85"/>
        <v>0</v>
      </c>
      <c r="BQ170" s="311">
        <f t="shared" si="85"/>
        <v>0</v>
      </c>
      <c r="BR170" s="311">
        <f t="shared" si="85"/>
        <v>0</v>
      </c>
      <c r="BS170" s="311">
        <f t="shared" si="85"/>
        <v>0</v>
      </c>
      <c r="BT170" s="311">
        <f t="shared" si="85"/>
        <v>0</v>
      </c>
      <c r="BU170" s="311">
        <f t="shared" si="85"/>
        <v>0</v>
      </c>
      <c r="BV170" s="311">
        <f t="shared" si="85"/>
        <v>0</v>
      </c>
      <c r="BW170" s="311">
        <f t="shared" si="85"/>
        <v>0</v>
      </c>
      <c r="BX170" s="311">
        <f t="shared" si="85"/>
        <v>0</v>
      </c>
      <c r="BY170" s="222"/>
      <c r="BZ170" s="222"/>
      <c r="CA170" s="222"/>
      <c r="CB170" s="222"/>
      <c r="CC170" s="222"/>
      <c r="CD170" s="222"/>
      <c r="CE170" s="222"/>
      <c r="CF170" s="222"/>
      <c r="CG170" s="222"/>
      <c r="CH170" s="222"/>
      <c r="CI170" s="222"/>
      <c r="CJ170" s="222"/>
      <c r="CK170" s="222"/>
      <c r="CL170" s="222"/>
      <c r="CM170" s="222"/>
      <c r="CN170" s="222"/>
      <c r="CO170" s="222"/>
      <c r="CP170" s="222"/>
      <c r="CQ170" s="222"/>
      <c r="CR170" s="222"/>
      <c r="CS170" s="222"/>
      <c r="CT170" s="222"/>
      <c r="CU170" s="222"/>
      <c r="CV170" s="222"/>
      <c r="CW170" s="222"/>
      <c r="CX170" s="222"/>
      <c r="CY170" s="222"/>
      <c r="CZ170" s="222"/>
      <c r="DA170" s="222"/>
      <c r="DB170" s="222"/>
      <c r="DC170" s="222"/>
      <c r="DD170" s="222"/>
      <c r="DE170" s="222"/>
      <c r="DF170" s="222"/>
      <c r="DG170" s="222"/>
      <c r="DH170" s="222"/>
      <c r="DI170" s="222"/>
      <c r="DJ170" s="222"/>
      <c r="DK170" s="222"/>
      <c r="DL170" s="222"/>
      <c r="DM170" s="222"/>
      <c r="DN170" s="222"/>
      <c r="DO170" s="222"/>
      <c r="DP170" s="222"/>
      <c r="DQ170" s="222"/>
      <c r="DR170" s="222"/>
      <c r="DS170" s="222"/>
      <c r="DT170" s="222"/>
      <c r="DU170" s="222"/>
      <c r="DV170" s="222"/>
      <c r="DW170" s="325"/>
      <c r="DX170" s="325"/>
      <c r="DY170" s="325"/>
      <c r="DZ170" s="325"/>
      <c r="EA170" s="325"/>
      <c r="EB170" s="325"/>
      <c r="EC170" s="325"/>
      <c r="ED170" s="325"/>
      <c r="EE170" s="325"/>
      <c r="EF170" s="325"/>
      <c r="EG170" s="325"/>
      <c r="EH170" s="325"/>
    </row>
    <row r="171" spans="1:138" hidden="1">
      <c r="A171" s="222"/>
      <c r="B171" s="318"/>
      <c r="C171" s="310" t="s">
        <v>297</v>
      </c>
      <c r="D171" s="319"/>
      <c r="E171" s="311"/>
      <c r="F171" s="311"/>
      <c r="G171" s="311"/>
      <c r="H171" s="311"/>
      <c r="I171" s="311"/>
      <c r="J171" s="311"/>
      <c r="K171" s="311"/>
      <c r="L171" s="311"/>
      <c r="M171" s="311"/>
      <c r="N171" s="311"/>
      <c r="O171" s="311"/>
      <c r="P171" s="311"/>
      <c r="Q171" s="311"/>
      <c r="R171" s="311"/>
      <c r="S171" s="311"/>
      <c r="T171" s="311">
        <v>2750000</v>
      </c>
      <c r="U171" s="311"/>
      <c r="V171" s="311"/>
      <c r="W171" s="311"/>
      <c r="X171" s="311"/>
      <c r="Y171" s="311"/>
      <c r="Z171" s="311"/>
      <c r="AA171" s="311"/>
      <c r="AB171" s="311"/>
      <c r="AC171" s="311"/>
      <c r="AD171" s="311"/>
      <c r="AE171" s="311"/>
      <c r="AF171" s="311"/>
      <c r="AG171" s="311"/>
      <c r="AH171" s="311"/>
      <c r="AI171" s="311"/>
      <c r="AJ171" s="311"/>
      <c r="AK171" s="311"/>
      <c r="AL171" s="311"/>
      <c r="AM171" s="311"/>
      <c r="AN171" s="311"/>
      <c r="AO171" s="311"/>
      <c r="AP171" s="311"/>
      <c r="AQ171" s="311"/>
      <c r="AR171" s="311"/>
      <c r="AS171" s="311"/>
      <c r="AT171" s="311"/>
      <c r="AU171" s="311"/>
      <c r="AV171" s="311"/>
      <c r="AW171" s="311"/>
      <c r="AX171" s="311"/>
      <c r="AY171" s="311"/>
      <c r="AZ171" s="311"/>
      <c r="BA171" s="311"/>
      <c r="BB171" s="311"/>
      <c r="BC171" s="311"/>
      <c r="BD171" s="311"/>
      <c r="BE171" s="311"/>
      <c r="BF171" s="311"/>
      <c r="BG171" s="311"/>
      <c r="BH171" s="311"/>
      <c r="BI171" s="311"/>
      <c r="BJ171" s="311"/>
      <c r="BK171" s="311"/>
      <c r="BL171" s="311"/>
      <c r="BM171" s="311"/>
      <c r="BN171" s="311"/>
      <c r="BO171" s="311"/>
      <c r="BP171" s="311"/>
      <c r="BQ171" s="311"/>
      <c r="BR171" s="311"/>
      <c r="BS171" s="311"/>
      <c r="BT171" s="311"/>
      <c r="BU171" s="311"/>
      <c r="BV171" s="311"/>
      <c r="BW171" s="311"/>
      <c r="BX171" s="311">
        <f>IF(D111&gt;0.25,(BX101-BX114)*D172,BX101*D172)</f>
        <v>0</v>
      </c>
      <c r="BY171" s="222"/>
      <c r="BZ171" s="222"/>
      <c r="CA171" s="222"/>
      <c r="CB171" s="222"/>
      <c r="CC171" s="222"/>
      <c r="CD171" s="222"/>
      <c r="CE171" s="222"/>
      <c r="CF171" s="222"/>
      <c r="CG171" s="222"/>
      <c r="CH171" s="222"/>
      <c r="CI171" s="222"/>
      <c r="CJ171" s="222"/>
      <c r="CK171" s="222"/>
      <c r="CL171" s="222"/>
      <c r="CM171" s="222"/>
      <c r="CN171" s="222"/>
      <c r="CO171" s="222"/>
      <c r="CP171" s="222"/>
      <c r="CQ171" s="222"/>
      <c r="CR171" s="222"/>
      <c r="CS171" s="222"/>
      <c r="CT171" s="222"/>
      <c r="CU171" s="222"/>
      <c r="CV171" s="222"/>
      <c r="CW171" s="222"/>
      <c r="CX171" s="222"/>
      <c r="CY171" s="222"/>
      <c r="CZ171" s="222"/>
      <c r="DA171" s="222"/>
      <c r="DB171" s="222"/>
      <c r="DC171" s="222"/>
      <c r="DD171" s="222"/>
      <c r="DE171" s="222"/>
      <c r="DF171" s="222"/>
      <c r="DG171" s="222"/>
      <c r="DH171" s="222"/>
      <c r="DI171" s="222"/>
      <c r="DJ171" s="222"/>
      <c r="DK171" s="222"/>
      <c r="DL171" s="222"/>
      <c r="DM171" s="222"/>
      <c r="DN171" s="222"/>
      <c r="DO171" s="222"/>
      <c r="DP171" s="222"/>
      <c r="DQ171" s="222"/>
      <c r="DR171" s="222"/>
      <c r="DS171" s="222"/>
      <c r="DT171" s="222"/>
      <c r="DU171" s="222"/>
      <c r="DV171" s="222"/>
      <c r="DW171" s="325"/>
      <c r="DX171" s="325"/>
      <c r="DY171" s="325"/>
      <c r="DZ171" s="325"/>
      <c r="EA171" s="325"/>
      <c r="EB171" s="325"/>
      <c r="EC171" s="325"/>
      <c r="ED171" s="325"/>
      <c r="EE171" s="325"/>
      <c r="EF171" s="325"/>
      <c r="EG171" s="325"/>
      <c r="EH171" s="325"/>
    </row>
    <row r="172" spans="1:138" hidden="1">
      <c r="A172" s="222"/>
      <c r="B172" s="318"/>
      <c r="C172" s="313" t="s">
        <v>298</v>
      </c>
      <c r="D172" s="319">
        <v>0</v>
      </c>
      <c r="E172" s="242"/>
      <c r="F172" s="242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2"/>
      <c r="V172" s="242"/>
      <c r="W172" s="242"/>
      <c r="X172" s="242"/>
      <c r="Y172" s="242"/>
      <c r="Z172" s="242"/>
      <c r="AA172" s="242"/>
      <c r="AB172" s="242"/>
      <c r="AC172" s="242"/>
      <c r="AD172" s="242"/>
      <c r="AE172" s="242"/>
      <c r="AF172" s="242"/>
      <c r="AG172" s="242"/>
      <c r="AH172" s="242"/>
      <c r="AI172" s="242"/>
      <c r="AJ172" s="242"/>
      <c r="AK172" s="242"/>
      <c r="AL172" s="242"/>
      <c r="AM172" s="242"/>
      <c r="AN172" s="242"/>
      <c r="AO172" s="242"/>
      <c r="AP172" s="242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22"/>
      <c r="BZ172" s="222"/>
      <c r="CA172" s="222"/>
      <c r="CB172" s="222"/>
      <c r="CC172" s="222"/>
      <c r="CD172" s="222"/>
      <c r="CE172" s="222"/>
      <c r="CF172" s="222"/>
      <c r="CG172" s="222"/>
      <c r="CH172" s="222"/>
      <c r="CI172" s="222"/>
      <c r="CJ172" s="222"/>
      <c r="CK172" s="222"/>
      <c r="CL172" s="222"/>
      <c r="CM172" s="222"/>
      <c r="CN172" s="222"/>
      <c r="CO172" s="222"/>
      <c r="CP172" s="222"/>
      <c r="CQ172" s="222"/>
      <c r="CR172" s="222"/>
      <c r="CS172" s="222"/>
      <c r="CT172" s="222"/>
      <c r="CU172" s="222"/>
      <c r="CV172" s="222"/>
      <c r="CW172" s="222"/>
      <c r="CX172" s="222"/>
      <c r="CY172" s="222"/>
      <c r="CZ172" s="222"/>
      <c r="DA172" s="222"/>
      <c r="DB172" s="222"/>
      <c r="DC172" s="222"/>
      <c r="DD172" s="222"/>
      <c r="DE172" s="222"/>
      <c r="DF172" s="222"/>
      <c r="DG172" s="222"/>
      <c r="DH172" s="222"/>
      <c r="DI172" s="222"/>
      <c r="DJ172" s="222"/>
      <c r="DK172" s="222"/>
      <c r="DL172" s="222"/>
      <c r="DM172" s="222"/>
      <c r="DN172" s="222"/>
      <c r="DO172" s="222"/>
      <c r="DP172" s="222"/>
      <c r="DQ172" s="222"/>
      <c r="DR172" s="222"/>
      <c r="DS172" s="222"/>
      <c r="DT172" s="222"/>
      <c r="DU172" s="222"/>
      <c r="DV172" s="222"/>
      <c r="DW172" s="325"/>
      <c r="DX172" s="325"/>
      <c r="DY172" s="325"/>
      <c r="DZ172" s="325"/>
      <c r="EA172" s="325"/>
      <c r="EB172" s="325"/>
      <c r="EC172" s="325"/>
      <c r="ED172" s="325"/>
      <c r="EE172" s="325"/>
      <c r="EF172" s="325"/>
      <c r="EG172" s="325"/>
      <c r="EH172" s="325"/>
    </row>
    <row r="173" spans="1:138" hidden="1">
      <c r="A173" s="222"/>
      <c r="B173" s="318"/>
      <c r="C173" s="310" t="s">
        <v>299</v>
      </c>
      <c r="D173" s="311"/>
      <c r="E173" s="321">
        <f t="shared" ref="E173:Z173" si="86">E168+E169+E170+E171+E172</f>
        <v>0</v>
      </c>
      <c r="F173" s="321">
        <f t="shared" si="86"/>
        <v>0</v>
      </c>
      <c r="G173" s="321">
        <f t="shared" si="86"/>
        <v>0</v>
      </c>
      <c r="H173" s="321">
        <f t="shared" si="86"/>
        <v>-5341205.5</v>
      </c>
      <c r="I173" s="321">
        <f t="shared" si="86"/>
        <v>0</v>
      </c>
      <c r="J173" s="321">
        <f t="shared" si="86"/>
        <v>0</v>
      </c>
      <c r="K173" s="321">
        <f t="shared" si="86"/>
        <v>0</v>
      </c>
      <c r="L173" s="321">
        <f t="shared" si="86"/>
        <v>0</v>
      </c>
      <c r="M173" s="321">
        <f t="shared" si="86"/>
        <v>0</v>
      </c>
      <c r="N173" s="321">
        <f t="shared" si="86"/>
        <v>0</v>
      </c>
      <c r="O173" s="321">
        <f t="shared" si="86"/>
        <v>0</v>
      </c>
      <c r="P173" s="321">
        <f t="shared" si="86"/>
        <v>0</v>
      </c>
      <c r="Q173" s="321">
        <f t="shared" si="86"/>
        <v>0</v>
      </c>
      <c r="R173" s="321">
        <f t="shared" si="86"/>
        <v>0</v>
      </c>
      <c r="S173" s="321">
        <f t="shared" si="86"/>
        <v>0</v>
      </c>
      <c r="T173" s="321">
        <f t="shared" si="86"/>
        <v>8091205.5</v>
      </c>
      <c r="U173" s="321">
        <f t="shared" si="86"/>
        <v>0</v>
      </c>
      <c r="V173" s="321">
        <f t="shared" si="86"/>
        <v>0</v>
      </c>
      <c r="W173" s="321">
        <f t="shared" si="86"/>
        <v>0</v>
      </c>
      <c r="X173" s="321">
        <f t="shared" si="86"/>
        <v>0</v>
      </c>
      <c r="Y173" s="321">
        <f t="shared" si="86"/>
        <v>0</v>
      </c>
      <c r="Z173" s="321">
        <f t="shared" si="86"/>
        <v>0</v>
      </c>
      <c r="AA173" s="321"/>
      <c r="AB173" s="321">
        <f t="shared" ref="AB173:AE173" si="87">AB168+AB169+AB170+AB171+AB172</f>
        <v>0</v>
      </c>
      <c r="AC173" s="321">
        <f t="shared" si="87"/>
        <v>0</v>
      </c>
      <c r="AD173" s="321">
        <f t="shared" si="87"/>
        <v>0</v>
      </c>
      <c r="AE173" s="321">
        <f t="shared" si="87"/>
        <v>0</v>
      </c>
      <c r="AF173" s="321"/>
      <c r="AG173" s="321"/>
      <c r="AH173" s="321"/>
      <c r="AI173" s="321"/>
      <c r="AJ173" s="321"/>
      <c r="AK173" s="321">
        <f t="shared" ref="AK173:BX173" si="88">AK168+AK169+AK170+AK171+AK172</f>
        <v>0</v>
      </c>
      <c r="AL173" s="321">
        <f t="shared" si="88"/>
        <v>0</v>
      </c>
      <c r="AM173" s="321">
        <f t="shared" si="88"/>
        <v>0</v>
      </c>
      <c r="AN173" s="321">
        <f t="shared" si="88"/>
        <v>0</v>
      </c>
      <c r="AO173" s="321">
        <f t="shared" si="88"/>
        <v>0</v>
      </c>
      <c r="AP173" s="321">
        <f t="shared" si="88"/>
        <v>0</v>
      </c>
      <c r="AQ173" s="321">
        <f t="shared" si="88"/>
        <v>0</v>
      </c>
      <c r="AR173" s="321">
        <f t="shared" si="88"/>
        <v>0</v>
      </c>
      <c r="AS173" s="321">
        <f t="shared" si="88"/>
        <v>0</v>
      </c>
      <c r="AT173" s="321">
        <f t="shared" si="88"/>
        <v>0</v>
      </c>
      <c r="AU173" s="321">
        <f t="shared" si="88"/>
        <v>0</v>
      </c>
      <c r="AV173" s="321">
        <f t="shared" si="88"/>
        <v>0</v>
      </c>
      <c r="AW173" s="321">
        <f t="shared" si="88"/>
        <v>0</v>
      </c>
      <c r="AX173" s="321">
        <f t="shared" si="88"/>
        <v>0</v>
      </c>
      <c r="AY173" s="321">
        <f t="shared" si="88"/>
        <v>0</v>
      </c>
      <c r="AZ173" s="321">
        <f t="shared" si="88"/>
        <v>0</v>
      </c>
      <c r="BA173" s="321">
        <f t="shared" si="88"/>
        <v>0</v>
      </c>
      <c r="BB173" s="321">
        <f t="shared" si="88"/>
        <v>0</v>
      </c>
      <c r="BC173" s="321">
        <f t="shared" si="88"/>
        <v>0</v>
      </c>
      <c r="BD173" s="321">
        <f t="shared" si="88"/>
        <v>0</v>
      </c>
      <c r="BE173" s="321">
        <f t="shared" si="88"/>
        <v>0</v>
      </c>
      <c r="BF173" s="321">
        <f t="shared" si="88"/>
        <v>0</v>
      </c>
      <c r="BG173" s="321">
        <f t="shared" si="88"/>
        <v>0</v>
      </c>
      <c r="BH173" s="321">
        <f t="shared" si="88"/>
        <v>0</v>
      </c>
      <c r="BI173" s="321">
        <f t="shared" si="88"/>
        <v>0</v>
      </c>
      <c r="BJ173" s="321">
        <f t="shared" si="88"/>
        <v>0</v>
      </c>
      <c r="BK173" s="321">
        <f t="shared" si="88"/>
        <v>0</v>
      </c>
      <c r="BL173" s="321">
        <f t="shared" si="88"/>
        <v>0</v>
      </c>
      <c r="BM173" s="321">
        <f t="shared" si="88"/>
        <v>0</v>
      </c>
      <c r="BN173" s="321">
        <f t="shared" si="88"/>
        <v>0</v>
      </c>
      <c r="BO173" s="321">
        <f t="shared" si="88"/>
        <v>0</v>
      </c>
      <c r="BP173" s="321">
        <f t="shared" si="88"/>
        <v>0</v>
      </c>
      <c r="BQ173" s="321">
        <f t="shared" si="88"/>
        <v>0</v>
      </c>
      <c r="BR173" s="321">
        <f t="shared" si="88"/>
        <v>0</v>
      </c>
      <c r="BS173" s="321">
        <f t="shared" si="88"/>
        <v>0</v>
      </c>
      <c r="BT173" s="321">
        <f t="shared" si="88"/>
        <v>0</v>
      </c>
      <c r="BU173" s="321">
        <f t="shared" si="88"/>
        <v>0</v>
      </c>
      <c r="BV173" s="321">
        <f t="shared" si="88"/>
        <v>0</v>
      </c>
      <c r="BW173" s="321">
        <f t="shared" si="88"/>
        <v>0</v>
      </c>
      <c r="BX173" s="321">
        <f t="shared" si="88"/>
        <v>0</v>
      </c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  <c r="CJ173" s="222"/>
      <c r="CK173" s="222"/>
      <c r="CL173" s="222"/>
      <c r="CM173" s="222"/>
      <c r="CN173" s="222"/>
      <c r="CO173" s="222"/>
      <c r="CP173" s="222"/>
      <c r="CQ173" s="222"/>
      <c r="CR173" s="222"/>
      <c r="CS173" s="222"/>
      <c r="CT173" s="222"/>
      <c r="CU173" s="222"/>
      <c r="CV173" s="222"/>
      <c r="CW173" s="222"/>
      <c r="CX173" s="222"/>
      <c r="CY173" s="222"/>
      <c r="CZ173" s="222"/>
      <c r="DA173" s="222"/>
      <c r="DB173" s="222"/>
      <c r="DC173" s="222"/>
      <c r="DD173" s="222"/>
      <c r="DE173" s="222"/>
      <c r="DF173" s="222"/>
      <c r="DG173" s="222"/>
      <c r="DH173" s="222"/>
      <c r="DI173" s="222"/>
      <c r="DJ173" s="222"/>
      <c r="DK173" s="222"/>
      <c r="DL173" s="222"/>
      <c r="DM173" s="222"/>
      <c r="DN173" s="222"/>
      <c r="DO173" s="222"/>
      <c r="DP173" s="222"/>
      <c r="DQ173" s="222"/>
      <c r="DR173" s="222"/>
      <c r="DS173" s="222"/>
      <c r="DT173" s="222"/>
      <c r="DU173" s="222"/>
      <c r="DV173" s="222"/>
      <c r="DW173" s="325"/>
      <c r="DX173" s="325"/>
      <c r="DY173" s="325"/>
      <c r="DZ173" s="325"/>
      <c r="EA173" s="325"/>
      <c r="EB173" s="325"/>
      <c r="EC173" s="325"/>
      <c r="ED173" s="325"/>
      <c r="EE173" s="325"/>
      <c r="EF173" s="325"/>
      <c r="EG173" s="325"/>
      <c r="EH173" s="325"/>
    </row>
    <row r="174" spans="1:138" hidden="1">
      <c r="A174" s="222"/>
      <c r="B174" s="318"/>
      <c r="C174" s="314"/>
      <c r="D174" s="322" t="s">
        <v>306</v>
      </c>
      <c r="E174" s="327">
        <f>E173</f>
        <v>0</v>
      </c>
      <c r="F174" s="327">
        <f t="shared" ref="F174:Z174" si="89">E174+F173</f>
        <v>0</v>
      </c>
      <c r="G174" s="327">
        <f t="shared" si="89"/>
        <v>0</v>
      </c>
      <c r="H174" s="327">
        <f t="shared" si="89"/>
        <v>-5341205.5</v>
      </c>
      <c r="I174" s="327">
        <f t="shared" si="89"/>
        <v>-5341205.5</v>
      </c>
      <c r="J174" s="327">
        <f t="shared" si="89"/>
        <v>-5341205.5</v>
      </c>
      <c r="K174" s="327">
        <f t="shared" si="89"/>
        <v>-5341205.5</v>
      </c>
      <c r="L174" s="327">
        <f t="shared" si="89"/>
        <v>-5341205.5</v>
      </c>
      <c r="M174" s="327">
        <f t="shared" si="89"/>
        <v>-5341205.5</v>
      </c>
      <c r="N174" s="327">
        <f t="shared" si="89"/>
        <v>-5341205.5</v>
      </c>
      <c r="O174" s="327">
        <f t="shared" si="89"/>
        <v>-5341205.5</v>
      </c>
      <c r="P174" s="327">
        <f t="shared" si="89"/>
        <v>-5341205.5</v>
      </c>
      <c r="Q174" s="327">
        <f t="shared" si="89"/>
        <v>-5341205.5</v>
      </c>
      <c r="R174" s="327">
        <f t="shared" si="89"/>
        <v>-5341205.5</v>
      </c>
      <c r="S174" s="327">
        <f t="shared" si="89"/>
        <v>-5341205.5</v>
      </c>
      <c r="T174" s="327">
        <f t="shared" si="89"/>
        <v>2750000</v>
      </c>
      <c r="U174" s="327">
        <f t="shared" si="89"/>
        <v>2750000</v>
      </c>
      <c r="V174" s="327">
        <f t="shared" si="89"/>
        <v>2750000</v>
      </c>
      <c r="W174" s="327">
        <f t="shared" si="89"/>
        <v>2750000</v>
      </c>
      <c r="X174" s="327">
        <f t="shared" si="89"/>
        <v>2750000</v>
      </c>
      <c r="Y174" s="327">
        <f t="shared" si="89"/>
        <v>2750000</v>
      </c>
      <c r="Z174" s="327">
        <f t="shared" si="89"/>
        <v>2750000</v>
      </c>
      <c r="AA174" s="327"/>
      <c r="AB174" s="327">
        <f t="shared" ref="AB174:AE174" si="90">AA174+AB173</f>
        <v>0</v>
      </c>
      <c r="AC174" s="327">
        <f t="shared" si="90"/>
        <v>0</v>
      </c>
      <c r="AD174" s="327">
        <f t="shared" si="90"/>
        <v>0</v>
      </c>
      <c r="AE174" s="327">
        <f t="shared" si="90"/>
        <v>0</v>
      </c>
      <c r="AF174" s="327"/>
      <c r="AG174" s="327"/>
      <c r="AH174" s="327"/>
      <c r="AI174" s="327"/>
      <c r="AJ174" s="327"/>
      <c r="AK174" s="327">
        <f t="shared" ref="AK174:BX174" si="91">AJ174+AK173</f>
        <v>0</v>
      </c>
      <c r="AL174" s="327">
        <f t="shared" si="91"/>
        <v>0</v>
      </c>
      <c r="AM174" s="327">
        <f t="shared" si="91"/>
        <v>0</v>
      </c>
      <c r="AN174" s="327">
        <f t="shared" si="91"/>
        <v>0</v>
      </c>
      <c r="AO174" s="327">
        <f t="shared" si="91"/>
        <v>0</v>
      </c>
      <c r="AP174" s="327">
        <f t="shared" si="91"/>
        <v>0</v>
      </c>
      <c r="AQ174" s="327">
        <f t="shared" si="91"/>
        <v>0</v>
      </c>
      <c r="AR174" s="327">
        <f t="shared" si="91"/>
        <v>0</v>
      </c>
      <c r="AS174" s="327">
        <f t="shared" si="91"/>
        <v>0</v>
      </c>
      <c r="AT174" s="327">
        <f t="shared" si="91"/>
        <v>0</v>
      </c>
      <c r="AU174" s="327">
        <f t="shared" si="91"/>
        <v>0</v>
      </c>
      <c r="AV174" s="327">
        <f t="shared" si="91"/>
        <v>0</v>
      </c>
      <c r="AW174" s="327">
        <f t="shared" si="91"/>
        <v>0</v>
      </c>
      <c r="AX174" s="327">
        <f t="shared" si="91"/>
        <v>0</v>
      </c>
      <c r="AY174" s="327">
        <f t="shared" si="91"/>
        <v>0</v>
      </c>
      <c r="AZ174" s="327">
        <f t="shared" si="91"/>
        <v>0</v>
      </c>
      <c r="BA174" s="327">
        <f t="shared" si="91"/>
        <v>0</v>
      </c>
      <c r="BB174" s="327">
        <f t="shared" si="91"/>
        <v>0</v>
      </c>
      <c r="BC174" s="327">
        <f t="shared" si="91"/>
        <v>0</v>
      </c>
      <c r="BD174" s="327">
        <f t="shared" si="91"/>
        <v>0</v>
      </c>
      <c r="BE174" s="327">
        <f t="shared" si="91"/>
        <v>0</v>
      </c>
      <c r="BF174" s="327">
        <f t="shared" si="91"/>
        <v>0</v>
      </c>
      <c r="BG174" s="327">
        <f t="shared" si="91"/>
        <v>0</v>
      </c>
      <c r="BH174" s="327">
        <f t="shared" si="91"/>
        <v>0</v>
      </c>
      <c r="BI174" s="327">
        <f t="shared" si="91"/>
        <v>0</v>
      </c>
      <c r="BJ174" s="327">
        <f t="shared" si="91"/>
        <v>0</v>
      </c>
      <c r="BK174" s="327">
        <f t="shared" si="91"/>
        <v>0</v>
      </c>
      <c r="BL174" s="327">
        <f t="shared" si="91"/>
        <v>0</v>
      </c>
      <c r="BM174" s="327">
        <f t="shared" si="91"/>
        <v>0</v>
      </c>
      <c r="BN174" s="327">
        <f t="shared" si="91"/>
        <v>0</v>
      </c>
      <c r="BO174" s="327">
        <f t="shared" si="91"/>
        <v>0</v>
      </c>
      <c r="BP174" s="327">
        <f t="shared" si="91"/>
        <v>0</v>
      </c>
      <c r="BQ174" s="327">
        <f t="shared" si="91"/>
        <v>0</v>
      </c>
      <c r="BR174" s="327">
        <f t="shared" si="91"/>
        <v>0</v>
      </c>
      <c r="BS174" s="327">
        <f t="shared" si="91"/>
        <v>0</v>
      </c>
      <c r="BT174" s="327">
        <f t="shared" si="91"/>
        <v>0</v>
      </c>
      <c r="BU174" s="327">
        <f t="shared" si="91"/>
        <v>0</v>
      </c>
      <c r="BV174" s="327">
        <f t="shared" si="91"/>
        <v>0</v>
      </c>
      <c r="BW174" s="327">
        <f t="shared" si="91"/>
        <v>0</v>
      </c>
      <c r="BX174" s="327">
        <f t="shared" si="91"/>
        <v>0</v>
      </c>
      <c r="BY174" s="222"/>
      <c r="BZ174" s="222"/>
      <c r="CA174" s="222"/>
      <c r="CB174" s="222"/>
      <c r="CC174" s="222"/>
      <c r="CD174" s="222"/>
      <c r="CE174" s="222"/>
      <c r="CF174" s="222"/>
      <c r="CG174" s="222"/>
      <c r="CH174" s="222"/>
      <c r="CI174" s="222"/>
      <c r="CJ174" s="222"/>
      <c r="CK174" s="222"/>
      <c r="CL174" s="222"/>
      <c r="CM174" s="222"/>
      <c r="CN174" s="222"/>
      <c r="CO174" s="222"/>
      <c r="CP174" s="222"/>
      <c r="CQ174" s="222"/>
      <c r="CR174" s="222"/>
      <c r="CS174" s="222"/>
      <c r="CT174" s="222"/>
      <c r="CU174" s="222"/>
      <c r="CV174" s="222"/>
      <c r="CW174" s="222"/>
      <c r="CX174" s="222"/>
      <c r="CY174" s="222"/>
      <c r="CZ174" s="222"/>
      <c r="DA174" s="222"/>
      <c r="DB174" s="222"/>
      <c r="DC174" s="222"/>
      <c r="DD174" s="222"/>
      <c r="DE174" s="222"/>
      <c r="DF174" s="222"/>
      <c r="DG174" s="222"/>
      <c r="DH174" s="222"/>
      <c r="DI174" s="222"/>
      <c r="DJ174" s="222"/>
      <c r="DK174" s="222"/>
      <c r="DL174" s="222"/>
      <c r="DM174" s="222"/>
      <c r="DN174" s="222"/>
      <c r="DO174" s="222"/>
      <c r="DP174" s="222"/>
      <c r="DQ174" s="222"/>
      <c r="DR174" s="222"/>
      <c r="DS174" s="222"/>
      <c r="DT174" s="222"/>
      <c r="DU174" s="222"/>
      <c r="DV174" s="222"/>
      <c r="DW174" s="325"/>
      <c r="DX174" s="325"/>
      <c r="DY174" s="325"/>
      <c r="DZ174" s="325"/>
      <c r="EA174" s="325"/>
      <c r="EB174" s="325"/>
      <c r="EC174" s="325"/>
      <c r="ED174" s="325"/>
      <c r="EE174" s="325"/>
      <c r="EF174" s="325"/>
      <c r="EG174" s="325"/>
      <c r="EH174" s="325"/>
    </row>
    <row r="175" spans="1:138" hidden="1">
      <c r="A175" s="222"/>
      <c r="B175" s="318"/>
      <c r="C175" s="313" t="s">
        <v>292</v>
      </c>
      <c r="D175" s="322">
        <f>IRR(E173:BX173)*12</f>
        <v>0.42259732866030397</v>
      </c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2"/>
      <c r="BN175" s="222"/>
      <c r="BO175" s="222"/>
      <c r="BP175" s="222"/>
      <c r="BQ175" s="222"/>
      <c r="BR175" s="222"/>
      <c r="BS175" s="222"/>
      <c r="BT175" s="222"/>
      <c r="BU175" s="222"/>
      <c r="BV175" s="222"/>
      <c r="BW175" s="222"/>
      <c r="BX175" s="222"/>
      <c r="BY175" s="222"/>
      <c r="BZ175" s="222"/>
      <c r="CA175" s="222"/>
      <c r="CB175" s="222"/>
      <c r="CC175" s="222"/>
      <c r="CD175" s="222"/>
      <c r="CE175" s="222"/>
      <c r="CF175" s="222"/>
      <c r="CG175" s="222"/>
      <c r="CH175" s="222"/>
      <c r="CI175" s="222"/>
      <c r="CJ175" s="222"/>
      <c r="CK175" s="222"/>
      <c r="CL175" s="222"/>
      <c r="CM175" s="222"/>
      <c r="CN175" s="222"/>
      <c r="CO175" s="222"/>
      <c r="CP175" s="222"/>
      <c r="CQ175" s="222"/>
      <c r="CR175" s="222"/>
      <c r="CS175" s="222"/>
      <c r="CT175" s="222"/>
      <c r="CU175" s="222"/>
      <c r="CV175" s="222"/>
      <c r="CW175" s="222"/>
      <c r="CX175" s="222"/>
      <c r="CY175" s="222"/>
      <c r="CZ175" s="222"/>
      <c r="DA175" s="222"/>
      <c r="DB175" s="222"/>
      <c r="DC175" s="222"/>
      <c r="DD175" s="222"/>
      <c r="DE175" s="222"/>
      <c r="DF175" s="222"/>
      <c r="DG175" s="222"/>
      <c r="DH175" s="222"/>
      <c r="DI175" s="222"/>
      <c r="DJ175" s="222"/>
      <c r="DK175" s="222"/>
      <c r="DL175" s="222"/>
      <c r="DM175" s="222"/>
      <c r="DN175" s="222"/>
      <c r="DO175" s="222"/>
      <c r="DP175" s="222"/>
      <c r="DQ175" s="222"/>
      <c r="DR175" s="222"/>
      <c r="DS175" s="222"/>
      <c r="DT175" s="222"/>
      <c r="DU175" s="222"/>
      <c r="DV175" s="222"/>
      <c r="DW175" s="325"/>
      <c r="DX175" s="325"/>
      <c r="DY175" s="325"/>
      <c r="DZ175" s="325"/>
      <c r="EA175" s="325"/>
      <c r="EB175" s="325"/>
      <c r="EC175" s="325"/>
      <c r="ED175" s="325"/>
      <c r="EE175" s="325"/>
      <c r="EF175" s="325"/>
      <c r="EG175" s="325"/>
      <c r="EH175" s="325"/>
    </row>
    <row r="176" spans="1:138" hidden="1">
      <c r="A176" s="222"/>
      <c r="B176" s="318"/>
      <c r="C176" s="323" t="s">
        <v>300</v>
      </c>
      <c r="D176" s="324">
        <f>-MIN(M174:BL174)-D177</f>
        <v>5341205.5</v>
      </c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2"/>
      <c r="BN176" s="222"/>
      <c r="BO176" s="222"/>
      <c r="BP176" s="222"/>
      <c r="BQ176" s="222"/>
      <c r="BR176" s="222"/>
      <c r="BS176" s="222"/>
      <c r="BT176" s="222"/>
      <c r="BU176" s="222"/>
      <c r="BV176" s="222"/>
      <c r="BW176" s="222"/>
      <c r="BX176" s="222"/>
      <c r="BY176" s="222"/>
      <c r="BZ176" s="222"/>
      <c r="CA176" s="222"/>
      <c r="CB176" s="222"/>
      <c r="CC176" s="222"/>
      <c r="CD176" s="222"/>
      <c r="CE176" s="222"/>
      <c r="CF176" s="222"/>
      <c r="CG176" s="222"/>
      <c r="CH176" s="222"/>
      <c r="CI176" s="222"/>
      <c r="CJ176" s="222"/>
      <c r="CK176" s="222"/>
      <c r="CL176" s="222"/>
      <c r="CM176" s="222"/>
      <c r="CN176" s="222"/>
      <c r="CO176" s="222"/>
      <c r="CP176" s="222"/>
      <c r="CQ176" s="222"/>
      <c r="CR176" s="222"/>
      <c r="CS176" s="222"/>
      <c r="CT176" s="222"/>
      <c r="CU176" s="222"/>
      <c r="CV176" s="222"/>
      <c r="CW176" s="222"/>
      <c r="CX176" s="222"/>
      <c r="CY176" s="222"/>
      <c r="CZ176" s="222"/>
      <c r="DA176" s="222"/>
      <c r="DB176" s="222"/>
      <c r="DC176" s="222"/>
      <c r="DD176" s="222"/>
      <c r="DE176" s="222"/>
      <c r="DF176" s="222"/>
      <c r="DG176" s="222"/>
      <c r="DH176" s="222"/>
      <c r="DI176" s="222"/>
      <c r="DJ176" s="222"/>
      <c r="DK176" s="222"/>
      <c r="DL176" s="222"/>
      <c r="DM176" s="222"/>
      <c r="DN176" s="222"/>
      <c r="DO176" s="222"/>
      <c r="DP176" s="222"/>
      <c r="DQ176" s="222"/>
      <c r="DR176" s="222"/>
      <c r="DS176" s="222"/>
      <c r="DT176" s="222"/>
      <c r="DU176" s="222"/>
      <c r="DV176" s="222"/>
      <c r="DW176" s="325"/>
      <c r="DX176" s="325"/>
      <c r="DY176" s="325"/>
      <c r="DZ176" s="325"/>
      <c r="EA176" s="325"/>
      <c r="EB176" s="325"/>
      <c r="EC176" s="325"/>
      <c r="ED176" s="325"/>
      <c r="EE176" s="325"/>
      <c r="EF176" s="325"/>
      <c r="EG176" s="325"/>
      <c r="EH176" s="325"/>
    </row>
    <row r="177" spans="1:138" hidden="1">
      <c r="A177" s="222"/>
      <c r="B177" s="318"/>
      <c r="C177" s="323" t="s">
        <v>301</v>
      </c>
      <c r="D177" s="324">
        <f>-SUM(M172:BB172)</f>
        <v>0</v>
      </c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2"/>
      <c r="BN177" s="222"/>
      <c r="BO177" s="222"/>
      <c r="BP177" s="222"/>
      <c r="BQ177" s="222"/>
      <c r="BR177" s="222"/>
      <c r="BS177" s="222"/>
      <c r="BT177" s="222"/>
      <c r="BU177" s="222"/>
      <c r="BV177" s="222"/>
      <c r="BW177" s="222"/>
      <c r="BX177" s="222"/>
      <c r="BY177" s="222"/>
      <c r="BZ177" s="222"/>
      <c r="CA177" s="222"/>
      <c r="CB177" s="222"/>
      <c r="CC177" s="222"/>
      <c r="CD177" s="222"/>
      <c r="CE177" s="222"/>
      <c r="CF177" s="222"/>
      <c r="CG177" s="222"/>
      <c r="CH177" s="222"/>
      <c r="CI177" s="222"/>
      <c r="CJ177" s="222"/>
      <c r="CK177" s="222"/>
      <c r="CL177" s="222"/>
      <c r="CM177" s="222"/>
      <c r="CN177" s="222"/>
      <c r="CO177" s="222"/>
      <c r="CP177" s="222"/>
      <c r="CQ177" s="222"/>
      <c r="CR177" s="222"/>
      <c r="CS177" s="222"/>
      <c r="CT177" s="222"/>
      <c r="CU177" s="222"/>
      <c r="CV177" s="222"/>
      <c r="CW177" s="222"/>
      <c r="CX177" s="222"/>
      <c r="CY177" s="222"/>
      <c r="CZ177" s="222"/>
      <c r="DA177" s="222"/>
      <c r="DB177" s="222"/>
      <c r="DC177" s="222"/>
      <c r="DD177" s="222"/>
      <c r="DE177" s="222"/>
      <c r="DF177" s="222"/>
      <c r="DG177" s="222"/>
      <c r="DH177" s="222"/>
      <c r="DI177" s="222"/>
      <c r="DJ177" s="222"/>
      <c r="DK177" s="222"/>
      <c r="DL177" s="222"/>
      <c r="DM177" s="222"/>
      <c r="DN177" s="222"/>
      <c r="DO177" s="222"/>
      <c r="DP177" s="222"/>
      <c r="DQ177" s="222"/>
      <c r="DR177" s="222"/>
      <c r="DS177" s="222"/>
      <c r="DT177" s="222"/>
      <c r="DU177" s="222"/>
      <c r="DV177" s="222"/>
      <c r="DW177" s="325"/>
      <c r="DX177" s="325"/>
      <c r="DY177" s="325"/>
      <c r="DZ177" s="325"/>
      <c r="EA177" s="325"/>
      <c r="EB177" s="325"/>
      <c r="EC177" s="325"/>
      <c r="ED177" s="325"/>
      <c r="EE177" s="325"/>
      <c r="EF177" s="325"/>
      <c r="EG177" s="325"/>
      <c r="EH177" s="325"/>
    </row>
    <row r="178" spans="1:138" hidden="1">
      <c r="A178" s="222"/>
      <c r="B178" s="318"/>
      <c r="C178" s="313" t="s">
        <v>302</v>
      </c>
      <c r="D178" s="326">
        <f>D177+D176</f>
        <v>5341205.5</v>
      </c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2"/>
      <c r="BN178" s="222"/>
      <c r="BO178" s="222"/>
      <c r="BP178" s="222"/>
      <c r="BQ178" s="222"/>
      <c r="BR178" s="222"/>
      <c r="BS178" s="222"/>
      <c r="BT178" s="222"/>
      <c r="BU178" s="222"/>
      <c r="BV178" s="222"/>
      <c r="BW178" s="222"/>
      <c r="BX178" s="222"/>
      <c r="BY178" s="222"/>
      <c r="BZ178" s="222"/>
      <c r="CA178" s="222"/>
      <c r="CB178" s="222"/>
      <c r="CC178" s="222"/>
      <c r="CD178" s="222"/>
      <c r="CE178" s="222"/>
      <c r="CF178" s="222"/>
      <c r="CG178" s="222"/>
      <c r="CH178" s="222"/>
      <c r="CI178" s="222"/>
      <c r="CJ178" s="222"/>
      <c r="CK178" s="222"/>
      <c r="CL178" s="222"/>
      <c r="CM178" s="222"/>
      <c r="CN178" s="222"/>
      <c r="CO178" s="222"/>
      <c r="CP178" s="222"/>
      <c r="CQ178" s="222"/>
      <c r="CR178" s="222"/>
      <c r="CS178" s="222"/>
      <c r="CT178" s="222"/>
      <c r="CU178" s="222"/>
      <c r="CV178" s="222"/>
      <c r="CW178" s="222"/>
      <c r="CX178" s="222"/>
      <c r="CY178" s="222"/>
      <c r="CZ178" s="222"/>
      <c r="DA178" s="222"/>
      <c r="DB178" s="222"/>
      <c r="DC178" s="222"/>
      <c r="DD178" s="222"/>
      <c r="DE178" s="222"/>
      <c r="DF178" s="222"/>
      <c r="DG178" s="222"/>
      <c r="DH178" s="222"/>
      <c r="DI178" s="222"/>
      <c r="DJ178" s="222"/>
      <c r="DK178" s="222"/>
      <c r="DL178" s="222"/>
      <c r="DM178" s="222"/>
      <c r="DN178" s="222"/>
      <c r="DO178" s="222"/>
      <c r="DP178" s="222"/>
      <c r="DQ178" s="222"/>
      <c r="DR178" s="222"/>
      <c r="DS178" s="222"/>
      <c r="DT178" s="222"/>
      <c r="DU178" s="222"/>
      <c r="DV178" s="222"/>
      <c r="DW178" s="325"/>
      <c r="DX178" s="325"/>
      <c r="DY178" s="325"/>
      <c r="DZ178" s="325"/>
      <c r="EA178" s="325"/>
      <c r="EB178" s="325"/>
      <c r="EC178" s="325"/>
      <c r="ED178" s="325"/>
      <c r="EE178" s="325"/>
      <c r="EF178" s="325"/>
      <c r="EG178" s="325"/>
      <c r="EH178" s="325"/>
    </row>
    <row r="179" spans="1:138" hidden="1">
      <c r="A179" s="222"/>
      <c r="B179" s="318"/>
      <c r="C179" s="313" t="s">
        <v>303</v>
      </c>
      <c r="D179" s="326">
        <f>BX170+BX171</f>
        <v>0</v>
      </c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22"/>
      <c r="AD179" s="222"/>
      <c r="AE179" s="222"/>
      <c r="AF179" s="222"/>
      <c r="AG179" s="222"/>
      <c r="AH179" s="222"/>
      <c r="AI179" s="222"/>
      <c r="AJ179" s="222"/>
      <c r="AK179" s="222"/>
      <c r="AL179" s="222"/>
      <c r="AM179" s="222"/>
      <c r="AN179" s="222"/>
      <c r="AO179" s="222"/>
      <c r="AP179" s="222"/>
      <c r="AQ179" s="222"/>
      <c r="AR179" s="222"/>
      <c r="AS179" s="222"/>
      <c r="AT179" s="222"/>
      <c r="AU179" s="222"/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  <c r="BL179" s="222"/>
      <c r="BM179" s="222"/>
      <c r="BN179" s="222"/>
      <c r="BO179" s="222"/>
      <c r="BP179" s="222"/>
      <c r="BQ179" s="222"/>
      <c r="BR179" s="222"/>
      <c r="BS179" s="222"/>
      <c r="BT179" s="222"/>
      <c r="BU179" s="222"/>
      <c r="BV179" s="222"/>
      <c r="BW179" s="222"/>
      <c r="BX179" s="222"/>
      <c r="BY179" s="222"/>
      <c r="BZ179" s="222"/>
      <c r="CA179" s="222"/>
      <c r="CB179" s="222"/>
      <c r="CC179" s="222"/>
      <c r="CD179" s="222"/>
      <c r="CE179" s="222"/>
      <c r="CF179" s="222"/>
      <c r="CG179" s="222"/>
      <c r="CH179" s="222"/>
      <c r="CI179" s="222"/>
      <c r="CJ179" s="222"/>
      <c r="CK179" s="222"/>
      <c r="CL179" s="222"/>
      <c r="CM179" s="222"/>
      <c r="CN179" s="222"/>
      <c r="CO179" s="222"/>
      <c r="CP179" s="222"/>
      <c r="CQ179" s="222"/>
      <c r="CR179" s="222"/>
      <c r="CS179" s="222"/>
      <c r="CT179" s="222"/>
      <c r="CU179" s="222"/>
      <c r="CV179" s="222"/>
      <c r="CW179" s="222"/>
      <c r="CX179" s="222"/>
      <c r="CY179" s="222"/>
      <c r="CZ179" s="222"/>
      <c r="DA179" s="222"/>
      <c r="DB179" s="222"/>
      <c r="DC179" s="222"/>
      <c r="DD179" s="222"/>
      <c r="DE179" s="222"/>
      <c r="DF179" s="222"/>
      <c r="DG179" s="222"/>
      <c r="DH179" s="222"/>
      <c r="DI179" s="222"/>
      <c r="DJ179" s="222"/>
      <c r="DK179" s="222"/>
      <c r="DL179" s="222"/>
      <c r="DM179" s="222"/>
      <c r="DN179" s="222"/>
      <c r="DO179" s="222"/>
      <c r="DP179" s="222"/>
      <c r="DQ179" s="222"/>
      <c r="DR179" s="222"/>
      <c r="DS179" s="222"/>
      <c r="DT179" s="222"/>
      <c r="DU179" s="222"/>
      <c r="DV179" s="222"/>
      <c r="DW179" s="325"/>
      <c r="DX179" s="325"/>
      <c r="DY179" s="325"/>
      <c r="DZ179" s="325"/>
      <c r="EA179" s="325"/>
      <c r="EB179" s="325"/>
      <c r="EC179" s="325"/>
      <c r="ED179" s="325"/>
      <c r="EE179" s="325"/>
      <c r="EF179" s="325"/>
      <c r="EG179" s="325"/>
      <c r="EH179" s="325"/>
    </row>
    <row r="180" spans="1:138" hidden="1">
      <c r="A180" s="222"/>
      <c r="B180" s="318"/>
      <c r="C180" s="313" t="s">
        <v>147</v>
      </c>
      <c r="D180" s="322">
        <f>T171/T168</f>
        <v>0.51486504310684167</v>
      </c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22"/>
      <c r="AD180" s="222"/>
      <c r="AE180" s="222"/>
      <c r="AF180" s="222"/>
      <c r="AG180" s="222"/>
      <c r="AH180" s="222"/>
      <c r="AI180" s="222"/>
      <c r="AJ180" s="222"/>
      <c r="AK180" s="222"/>
      <c r="AL180" s="222"/>
      <c r="AM180" s="222"/>
      <c r="AN180" s="222"/>
      <c r="AO180" s="222"/>
      <c r="AP180" s="222"/>
      <c r="AQ180" s="222"/>
      <c r="AR180" s="222"/>
      <c r="AS180" s="222"/>
      <c r="AT180" s="222"/>
      <c r="AU180" s="222"/>
      <c r="AV180" s="222"/>
      <c r="AW180" s="222"/>
      <c r="AX180" s="222"/>
      <c r="AY180" s="222"/>
      <c r="AZ180" s="222"/>
      <c r="BA180" s="222"/>
      <c r="BB180" s="222"/>
      <c r="BC180" s="222"/>
      <c r="BD180" s="222"/>
      <c r="BE180" s="222"/>
      <c r="BF180" s="222"/>
      <c r="BG180" s="222"/>
      <c r="BH180" s="222"/>
      <c r="BI180" s="222"/>
      <c r="BJ180" s="222"/>
      <c r="BK180" s="222"/>
      <c r="BL180" s="222"/>
      <c r="BM180" s="222"/>
      <c r="BN180" s="222"/>
      <c r="BO180" s="222"/>
      <c r="BP180" s="222"/>
      <c r="BQ180" s="222"/>
      <c r="BR180" s="222"/>
      <c r="BS180" s="222"/>
      <c r="BT180" s="222"/>
      <c r="BU180" s="222"/>
      <c r="BV180" s="222"/>
      <c r="BW180" s="222"/>
      <c r="BX180" s="222"/>
      <c r="BY180" s="222"/>
      <c r="BZ180" s="222"/>
      <c r="CA180" s="222"/>
      <c r="CB180" s="222"/>
      <c r="CC180" s="222"/>
      <c r="CD180" s="222"/>
      <c r="CE180" s="222"/>
      <c r="CF180" s="222"/>
      <c r="CG180" s="222"/>
      <c r="CH180" s="222"/>
      <c r="CI180" s="222"/>
      <c r="CJ180" s="222"/>
      <c r="CK180" s="222"/>
      <c r="CL180" s="222"/>
      <c r="CM180" s="222"/>
      <c r="CN180" s="222"/>
      <c r="CO180" s="222"/>
      <c r="CP180" s="222"/>
      <c r="CQ180" s="222"/>
      <c r="CR180" s="222"/>
      <c r="CS180" s="222"/>
      <c r="CT180" s="222"/>
      <c r="CU180" s="222"/>
      <c r="CV180" s="222"/>
      <c r="CW180" s="222"/>
      <c r="CX180" s="222"/>
      <c r="CY180" s="222"/>
      <c r="CZ180" s="222"/>
      <c r="DA180" s="222"/>
      <c r="DB180" s="222"/>
      <c r="DC180" s="222"/>
      <c r="DD180" s="222"/>
      <c r="DE180" s="222"/>
      <c r="DF180" s="222"/>
      <c r="DG180" s="222"/>
      <c r="DH180" s="222"/>
      <c r="DI180" s="222"/>
      <c r="DJ180" s="222"/>
      <c r="DK180" s="222"/>
      <c r="DL180" s="222"/>
      <c r="DM180" s="222"/>
      <c r="DN180" s="222"/>
      <c r="DO180" s="222"/>
      <c r="DP180" s="222"/>
      <c r="DQ180" s="222"/>
      <c r="DR180" s="222"/>
      <c r="DS180" s="222"/>
      <c r="DT180" s="222"/>
      <c r="DU180" s="222"/>
      <c r="DV180" s="222"/>
      <c r="DW180" s="325"/>
      <c r="DX180" s="325"/>
      <c r="DY180" s="325"/>
      <c r="DZ180" s="325"/>
      <c r="EA180" s="325"/>
      <c r="EB180" s="325"/>
      <c r="EC180" s="325"/>
      <c r="ED180" s="325"/>
      <c r="EE180" s="325"/>
      <c r="EF180" s="325"/>
      <c r="EG180" s="325"/>
      <c r="EH180" s="325"/>
    </row>
    <row r="181" spans="1:138" hidden="1">
      <c r="A181" s="222"/>
      <c r="B181" s="318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22"/>
      <c r="AD181" s="222"/>
      <c r="AE181" s="222"/>
      <c r="AF181" s="222"/>
      <c r="AG181" s="222"/>
      <c r="AH181" s="222"/>
      <c r="AI181" s="222"/>
      <c r="AJ181" s="222"/>
      <c r="AK181" s="222"/>
      <c r="AL181" s="222"/>
      <c r="AM181" s="222"/>
      <c r="AN181" s="222"/>
      <c r="AO181" s="222"/>
      <c r="AP181" s="222"/>
      <c r="AQ181" s="222"/>
      <c r="AR181" s="222"/>
      <c r="AS181" s="222"/>
      <c r="AT181" s="222"/>
      <c r="AU181" s="222"/>
      <c r="AV181" s="222"/>
      <c r="AW181" s="222"/>
      <c r="AX181" s="222"/>
      <c r="AY181" s="222"/>
      <c r="AZ181" s="222"/>
      <c r="BA181" s="222"/>
      <c r="BB181" s="222"/>
      <c r="BC181" s="222"/>
      <c r="BD181" s="222"/>
      <c r="BE181" s="222"/>
      <c r="BF181" s="222"/>
      <c r="BG181" s="222"/>
      <c r="BH181" s="222"/>
      <c r="BI181" s="222"/>
      <c r="BJ181" s="222"/>
      <c r="BK181" s="222"/>
      <c r="BL181" s="222"/>
      <c r="BM181" s="222"/>
      <c r="BN181" s="222"/>
      <c r="BO181" s="222"/>
      <c r="BP181" s="222"/>
      <c r="BQ181" s="222"/>
      <c r="BR181" s="222"/>
      <c r="BS181" s="222"/>
      <c r="BT181" s="222"/>
      <c r="BU181" s="222"/>
      <c r="BV181" s="222"/>
      <c r="BW181" s="222"/>
      <c r="BX181" s="222"/>
      <c r="BY181" s="222"/>
      <c r="BZ181" s="222"/>
      <c r="CA181" s="222"/>
      <c r="CB181" s="222"/>
      <c r="CC181" s="222"/>
      <c r="CD181" s="222"/>
      <c r="CE181" s="222"/>
      <c r="CF181" s="222"/>
      <c r="CG181" s="222"/>
      <c r="CH181" s="222"/>
      <c r="CI181" s="222"/>
      <c r="CJ181" s="222"/>
      <c r="CK181" s="222"/>
      <c r="CL181" s="222"/>
      <c r="CM181" s="222"/>
      <c r="CN181" s="222"/>
      <c r="CO181" s="222"/>
      <c r="CP181" s="222"/>
      <c r="CQ181" s="222"/>
      <c r="CR181" s="222"/>
      <c r="CS181" s="222"/>
      <c r="CT181" s="222"/>
      <c r="CU181" s="222"/>
      <c r="CV181" s="222"/>
      <c r="CW181" s="222"/>
      <c r="CX181" s="222"/>
      <c r="CY181" s="222"/>
      <c r="CZ181" s="222"/>
      <c r="DA181" s="222"/>
      <c r="DB181" s="222"/>
      <c r="DC181" s="222"/>
      <c r="DD181" s="222"/>
      <c r="DE181" s="222"/>
      <c r="DF181" s="222"/>
      <c r="DG181" s="222"/>
      <c r="DH181" s="222"/>
      <c r="DI181" s="222"/>
      <c r="DJ181" s="222"/>
      <c r="DK181" s="222"/>
      <c r="DL181" s="222"/>
      <c r="DM181" s="222"/>
      <c r="DN181" s="222"/>
      <c r="DO181" s="222"/>
      <c r="DP181" s="222"/>
      <c r="DQ181" s="222"/>
      <c r="DR181" s="222"/>
      <c r="DS181" s="222"/>
      <c r="DT181" s="222"/>
      <c r="DU181" s="222"/>
      <c r="DV181" s="222"/>
      <c r="DW181" s="325"/>
      <c r="DX181" s="325"/>
      <c r="DY181" s="325"/>
      <c r="DZ181" s="325"/>
      <c r="EA181" s="325"/>
      <c r="EB181" s="325"/>
      <c r="EC181" s="325"/>
      <c r="ED181" s="325"/>
      <c r="EE181" s="325"/>
      <c r="EF181" s="325"/>
      <c r="EG181" s="325"/>
      <c r="EH181" s="325"/>
    </row>
    <row r="182" spans="1:138" hidden="1">
      <c r="A182" s="222"/>
      <c r="B182" s="318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222"/>
      <c r="AF182" s="222"/>
      <c r="AG182" s="222"/>
      <c r="AH182" s="222"/>
      <c r="AI182" s="222"/>
      <c r="AJ182" s="222"/>
      <c r="AK182" s="222"/>
      <c r="AL182" s="222"/>
      <c r="AM182" s="222"/>
      <c r="AN182" s="222"/>
      <c r="AO182" s="222"/>
      <c r="AP182" s="222"/>
      <c r="AQ182" s="222"/>
      <c r="AR182" s="222"/>
      <c r="AS182" s="222"/>
      <c r="AT182" s="222"/>
      <c r="AU182" s="222"/>
      <c r="AV182" s="222"/>
      <c r="AW182" s="222"/>
      <c r="AX182" s="222"/>
      <c r="AY182" s="222"/>
      <c r="AZ182" s="222"/>
      <c r="BA182" s="222"/>
      <c r="BB182" s="222"/>
      <c r="BC182" s="222"/>
      <c r="BD182" s="222"/>
      <c r="BE182" s="222"/>
      <c r="BF182" s="222"/>
      <c r="BG182" s="222"/>
      <c r="BH182" s="222"/>
      <c r="BI182" s="222"/>
      <c r="BJ182" s="222"/>
      <c r="BK182" s="222"/>
      <c r="BL182" s="222"/>
      <c r="BM182" s="222"/>
      <c r="BN182" s="222"/>
      <c r="BO182" s="222"/>
      <c r="BP182" s="222"/>
      <c r="BQ182" s="222"/>
      <c r="BR182" s="222"/>
      <c r="BS182" s="222"/>
      <c r="BT182" s="222"/>
      <c r="BU182" s="222"/>
      <c r="BV182" s="222"/>
      <c r="BW182" s="222"/>
      <c r="BX182" s="222"/>
      <c r="BY182" s="222"/>
      <c r="BZ182" s="222"/>
      <c r="CA182" s="222"/>
      <c r="CB182" s="222"/>
      <c r="CC182" s="222"/>
      <c r="CD182" s="222"/>
      <c r="CE182" s="222"/>
      <c r="CF182" s="222"/>
      <c r="CG182" s="222"/>
      <c r="CH182" s="222"/>
      <c r="CI182" s="222"/>
      <c r="CJ182" s="222"/>
      <c r="CK182" s="222"/>
      <c r="CL182" s="222"/>
      <c r="CM182" s="222"/>
      <c r="CN182" s="222"/>
      <c r="CO182" s="222"/>
      <c r="CP182" s="222"/>
      <c r="CQ182" s="222"/>
      <c r="CR182" s="222"/>
      <c r="CS182" s="222"/>
      <c r="CT182" s="222"/>
      <c r="CU182" s="222"/>
      <c r="CV182" s="222"/>
      <c r="CW182" s="222"/>
      <c r="CX182" s="222"/>
      <c r="CY182" s="222"/>
      <c r="CZ182" s="222"/>
      <c r="DA182" s="222"/>
      <c r="DB182" s="222"/>
      <c r="DC182" s="222"/>
      <c r="DD182" s="222"/>
      <c r="DE182" s="222"/>
      <c r="DF182" s="222"/>
      <c r="DG182" s="222"/>
      <c r="DH182" s="222"/>
      <c r="DI182" s="222"/>
      <c r="DJ182" s="222"/>
      <c r="DK182" s="222"/>
      <c r="DL182" s="222"/>
      <c r="DM182" s="222"/>
      <c r="DN182" s="222"/>
      <c r="DO182" s="222"/>
      <c r="DP182" s="222"/>
      <c r="DQ182" s="222"/>
      <c r="DR182" s="222"/>
      <c r="DS182" s="222"/>
      <c r="DT182" s="222"/>
      <c r="DU182" s="222"/>
      <c r="DV182" s="222"/>
      <c r="DW182" s="325"/>
      <c r="DX182" s="325"/>
      <c r="DY182" s="325"/>
      <c r="DZ182" s="325"/>
      <c r="EA182" s="325"/>
      <c r="EB182" s="325"/>
      <c r="EC182" s="325"/>
      <c r="ED182" s="325"/>
      <c r="EE182" s="325"/>
      <c r="EF182" s="325"/>
      <c r="EG182" s="325"/>
      <c r="EH182" s="325"/>
    </row>
    <row r="183" spans="1:138" hidden="1">
      <c r="A183" s="222"/>
      <c r="B183" s="318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222"/>
      <c r="AF183" s="222"/>
      <c r="AG183" s="222"/>
      <c r="AH183" s="222"/>
      <c r="AI183" s="222"/>
      <c r="AJ183" s="222"/>
      <c r="AK183" s="222"/>
      <c r="AL183" s="222"/>
      <c r="AM183" s="222"/>
      <c r="AN183" s="222"/>
      <c r="AO183" s="222"/>
      <c r="AP183" s="222"/>
      <c r="AQ183" s="222"/>
      <c r="AR183" s="222"/>
      <c r="AS183" s="222"/>
      <c r="AT183" s="222"/>
      <c r="AU183" s="222"/>
      <c r="AV183" s="222"/>
      <c r="AW183" s="222"/>
      <c r="AX183" s="222"/>
      <c r="AY183" s="222"/>
      <c r="AZ183" s="222"/>
      <c r="BA183" s="222"/>
      <c r="BB183" s="222"/>
      <c r="BC183" s="222"/>
      <c r="BD183" s="222"/>
      <c r="BE183" s="222"/>
      <c r="BF183" s="222"/>
      <c r="BG183" s="222"/>
      <c r="BH183" s="222"/>
      <c r="BI183" s="222"/>
      <c r="BJ183" s="222"/>
      <c r="BK183" s="222"/>
      <c r="BL183" s="222"/>
      <c r="BM183" s="222"/>
      <c r="BN183" s="222"/>
      <c r="BO183" s="222"/>
      <c r="BP183" s="222"/>
      <c r="BQ183" s="222"/>
      <c r="BR183" s="222"/>
      <c r="BS183" s="222"/>
      <c r="BT183" s="222"/>
      <c r="BU183" s="222"/>
      <c r="BV183" s="222"/>
      <c r="BW183" s="222"/>
      <c r="BX183" s="222"/>
      <c r="BY183" s="222"/>
      <c r="BZ183" s="222"/>
      <c r="CA183" s="222"/>
      <c r="CB183" s="222"/>
      <c r="CC183" s="222"/>
      <c r="CD183" s="222"/>
      <c r="CE183" s="222"/>
      <c r="CF183" s="222"/>
      <c r="CG183" s="222"/>
      <c r="CH183" s="222"/>
      <c r="CI183" s="222"/>
      <c r="CJ183" s="222"/>
      <c r="CK183" s="222"/>
      <c r="CL183" s="222"/>
      <c r="CM183" s="222"/>
      <c r="CN183" s="222"/>
      <c r="CO183" s="222"/>
      <c r="CP183" s="222"/>
      <c r="CQ183" s="222"/>
      <c r="CR183" s="222"/>
      <c r="CS183" s="222"/>
      <c r="CT183" s="222"/>
      <c r="CU183" s="222"/>
      <c r="CV183" s="222"/>
      <c r="CW183" s="222"/>
      <c r="CX183" s="222"/>
      <c r="CY183" s="222"/>
      <c r="CZ183" s="222"/>
      <c r="DA183" s="222"/>
      <c r="DB183" s="222"/>
      <c r="DC183" s="222"/>
      <c r="DD183" s="222"/>
      <c r="DE183" s="222"/>
      <c r="DF183" s="222"/>
      <c r="DG183" s="222"/>
      <c r="DH183" s="222"/>
      <c r="DI183" s="222"/>
      <c r="DJ183" s="222"/>
      <c r="DK183" s="222"/>
      <c r="DL183" s="222"/>
      <c r="DM183" s="222"/>
      <c r="DN183" s="222"/>
      <c r="DO183" s="222"/>
      <c r="DP183" s="222"/>
      <c r="DQ183" s="222"/>
      <c r="DR183" s="222"/>
      <c r="DS183" s="222"/>
      <c r="DT183" s="222"/>
      <c r="DU183" s="222"/>
      <c r="DV183" s="222"/>
      <c r="DW183" s="325"/>
      <c r="DX183" s="325"/>
      <c r="DY183" s="325"/>
      <c r="DZ183" s="325"/>
      <c r="EA183" s="325"/>
      <c r="EB183" s="325"/>
      <c r="EC183" s="325"/>
      <c r="ED183" s="325"/>
      <c r="EE183" s="325"/>
      <c r="EF183" s="325"/>
      <c r="EG183" s="325"/>
      <c r="EH183" s="325"/>
    </row>
    <row r="184" spans="1:138" hidden="1">
      <c r="A184" s="222"/>
      <c r="B184" s="318"/>
      <c r="C184" s="310" t="s">
        <v>309</v>
      </c>
      <c r="D184" s="311"/>
      <c r="E184" s="312">
        <f t="shared" ref="E184:G184" si="92">-(E8+E94)</f>
        <v>0</v>
      </c>
      <c r="F184" s="312">
        <f t="shared" si="92"/>
        <v>0</v>
      </c>
      <c r="G184" s="312">
        <f t="shared" si="92"/>
        <v>0</v>
      </c>
      <c r="H184" s="311">
        <f>-5341205.5</f>
        <v>-5341205.5</v>
      </c>
      <c r="I184" s="311">
        <v>0</v>
      </c>
      <c r="J184" s="311">
        <v>0</v>
      </c>
      <c r="K184" s="311">
        <v>0</v>
      </c>
      <c r="L184" s="311">
        <v>0</v>
      </c>
      <c r="M184" s="311">
        <v>0</v>
      </c>
      <c r="N184" s="311">
        <v>0</v>
      </c>
      <c r="O184" s="311">
        <v>0</v>
      </c>
      <c r="P184" s="311">
        <v>0</v>
      </c>
      <c r="Q184" s="311">
        <v>0</v>
      </c>
      <c r="R184" s="311">
        <v>0</v>
      </c>
      <c r="S184" s="311">
        <v>0</v>
      </c>
      <c r="T184" s="311">
        <f>5341205.5</f>
        <v>5341205.5</v>
      </c>
      <c r="U184" s="312">
        <f t="shared" ref="U184:Z184" si="93">-(U8+U94)</f>
        <v>0</v>
      </c>
      <c r="V184" s="312">
        <f t="shared" si="93"/>
        <v>0</v>
      </c>
      <c r="W184" s="312">
        <f t="shared" si="93"/>
        <v>0</v>
      </c>
      <c r="X184" s="312">
        <f t="shared" si="93"/>
        <v>0</v>
      </c>
      <c r="Y184" s="312">
        <f t="shared" si="93"/>
        <v>0</v>
      </c>
      <c r="Z184" s="312">
        <f t="shared" si="93"/>
        <v>0</v>
      </c>
      <c r="AA184" s="312"/>
      <c r="AB184" s="312">
        <f t="shared" ref="AB184:AE184" si="94">-(AB8+AB94)</f>
        <v>0</v>
      </c>
      <c r="AC184" s="312">
        <f t="shared" si="94"/>
        <v>0</v>
      </c>
      <c r="AD184" s="312">
        <f t="shared" si="94"/>
        <v>0</v>
      </c>
      <c r="AE184" s="312">
        <f t="shared" si="94"/>
        <v>0</v>
      </c>
      <c r="AF184" s="312"/>
      <c r="AG184" s="312"/>
      <c r="AH184" s="312"/>
      <c r="AI184" s="312"/>
      <c r="AJ184" s="312"/>
      <c r="AK184" s="312">
        <f t="shared" ref="AK184:BX184" si="95">-(AK8+AK94)</f>
        <v>0</v>
      </c>
      <c r="AL184" s="312">
        <f t="shared" si="95"/>
        <v>0</v>
      </c>
      <c r="AM184" s="312">
        <f t="shared" si="95"/>
        <v>0</v>
      </c>
      <c r="AN184" s="312">
        <f t="shared" si="95"/>
        <v>0</v>
      </c>
      <c r="AO184" s="312">
        <f t="shared" si="95"/>
        <v>0</v>
      </c>
      <c r="AP184" s="312">
        <f t="shared" si="95"/>
        <v>0</v>
      </c>
      <c r="AQ184" s="312">
        <f t="shared" si="95"/>
        <v>0</v>
      </c>
      <c r="AR184" s="312">
        <f t="shared" si="95"/>
        <v>0</v>
      </c>
      <c r="AS184" s="312">
        <f t="shared" si="95"/>
        <v>0</v>
      </c>
      <c r="AT184" s="312">
        <f t="shared" si="95"/>
        <v>0</v>
      </c>
      <c r="AU184" s="312">
        <f t="shared" si="95"/>
        <v>0</v>
      </c>
      <c r="AV184" s="312">
        <f t="shared" si="95"/>
        <v>0</v>
      </c>
      <c r="AW184" s="312">
        <f t="shared" si="95"/>
        <v>0</v>
      </c>
      <c r="AX184" s="312">
        <f t="shared" si="95"/>
        <v>0</v>
      </c>
      <c r="AY184" s="312">
        <f t="shared" si="95"/>
        <v>0</v>
      </c>
      <c r="AZ184" s="312">
        <f t="shared" si="95"/>
        <v>0</v>
      </c>
      <c r="BA184" s="312">
        <f t="shared" si="95"/>
        <v>0</v>
      </c>
      <c r="BB184" s="312">
        <f t="shared" si="95"/>
        <v>0</v>
      </c>
      <c r="BC184" s="312">
        <f t="shared" si="95"/>
        <v>0</v>
      </c>
      <c r="BD184" s="312">
        <f t="shared" si="95"/>
        <v>0</v>
      </c>
      <c r="BE184" s="312">
        <f t="shared" si="95"/>
        <v>0</v>
      </c>
      <c r="BF184" s="312">
        <f t="shared" si="95"/>
        <v>0</v>
      </c>
      <c r="BG184" s="312">
        <f t="shared" si="95"/>
        <v>0</v>
      </c>
      <c r="BH184" s="312">
        <f t="shared" si="95"/>
        <v>0</v>
      </c>
      <c r="BI184" s="312">
        <f t="shared" si="95"/>
        <v>0</v>
      </c>
      <c r="BJ184" s="312">
        <f t="shared" si="95"/>
        <v>0</v>
      </c>
      <c r="BK184" s="312">
        <f t="shared" si="95"/>
        <v>0</v>
      </c>
      <c r="BL184" s="312">
        <f t="shared" si="95"/>
        <v>0</v>
      </c>
      <c r="BM184" s="312">
        <f t="shared" si="95"/>
        <v>0</v>
      </c>
      <c r="BN184" s="312">
        <f t="shared" si="95"/>
        <v>0</v>
      </c>
      <c r="BO184" s="312">
        <f t="shared" si="95"/>
        <v>0</v>
      </c>
      <c r="BP184" s="312">
        <f t="shared" si="95"/>
        <v>0</v>
      </c>
      <c r="BQ184" s="312">
        <f t="shared" si="95"/>
        <v>0</v>
      </c>
      <c r="BR184" s="312">
        <f t="shared" si="95"/>
        <v>0</v>
      </c>
      <c r="BS184" s="312">
        <f t="shared" si="95"/>
        <v>0</v>
      </c>
      <c r="BT184" s="312">
        <f t="shared" si="95"/>
        <v>0</v>
      </c>
      <c r="BU184" s="312">
        <f t="shared" si="95"/>
        <v>0</v>
      </c>
      <c r="BV184" s="312">
        <f t="shared" si="95"/>
        <v>0</v>
      </c>
      <c r="BW184" s="312">
        <f t="shared" si="95"/>
        <v>0</v>
      </c>
      <c r="BX184" s="312">
        <f t="shared" si="95"/>
        <v>0</v>
      </c>
      <c r="BY184" s="222"/>
      <c r="BZ184" s="222"/>
      <c r="CA184" s="222"/>
      <c r="CB184" s="222"/>
      <c r="CC184" s="222"/>
      <c r="CD184" s="222"/>
      <c r="CE184" s="222"/>
      <c r="CF184" s="222"/>
      <c r="CG184" s="222"/>
      <c r="CH184" s="222"/>
      <c r="CI184" s="222"/>
      <c r="CJ184" s="222"/>
      <c r="CK184" s="222"/>
      <c r="CL184" s="222"/>
      <c r="CM184" s="222"/>
      <c r="CN184" s="222"/>
      <c r="CO184" s="222"/>
      <c r="CP184" s="222"/>
      <c r="CQ184" s="222"/>
      <c r="CR184" s="222"/>
      <c r="CS184" s="222"/>
      <c r="CT184" s="222"/>
      <c r="CU184" s="222"/>
      <c r="CV184" s="222"/>
      <c r="CW184" s="222"/>
      <c r="CX184" s="222"/>
      <c r="CY184" s="222"/>
      <c r="CZ184" s="222"/>
      <c r="DA184" s="222"/>
      <c r="DB184" s="222"/>
      <c r="DC184" s="222"/>
      <c r="DD184" s="222"/>
      <c r="DE184" s="222"/>
      <c r="DF184" s="222"/>
      <c r="DG184" s="222"/>
      <c r="DH184" s="222"/>
      <c r="DI184" s="222"/>
      <c r="DJ184" s="222"/>
      <c r="DK184" s="222"/>
      <c r="DL184" s="222"/>
      <c r="DM184" s="222"/>
      <c r="DN184" s="222"/>
      <c r="DO184" s="222"/>
      <c r="DP184" s="222"/>
      <c r="DQ184" s="222"/>
      <c r="DR184" s="222"/>
      <c r="DS184" s="222"/>
      <c r="DT184" s="222"/>
      <c r="DU184" s="222"/>
      <c r="DV184" s="222"/>
      <c r="DW184" s="222"/>
      <c r="DX184" s="222"/>
      <c r="DY184" s="222"/>
      <c r="DZ184" s="222"/>
      <c r="EA184" s="222"/>
      <c r="EB184" s="222"/>
      <c r="EC184" s="222"/>
      <c r="ED184" s="222"/>
      <c r="EE184" s="222"/>
      <c r="EF184" s="222"/>
      <c r="EG184" s="222"/>
      <c r="EH184" s="222"/>
    </row>
    <row r="185" spans="1:138" hidden="1">
      <c r="A185" s="222"/>
      <c r="B185" s="318"/>
      <c r="C185" s="310" t="s">
        <v>305</v>
      </c>
      <c r="D185" s="319"/>
      <c r="E185" s="311"/>
      <c r="F185" s="311"/>
      <c r="G185" s="311"/>
      <c r="H185" s="311"/>
      <c r="I185" s="311"/>
      <c r="J185" s="311"/>
      <c r="K185" s="311"/>
      <c r="L185" s="311"/>
      <c r="M185" s="311"/>
      <c r="N185" s="311"/>
      <c r="O185" s="311"/>
      <c r="P185" s="311"/>
      <c r="Q185" s="311"/>
      <c r="R185" s="311"/>
      <c r="S185" s="311"/>
      <c r="T185" s="311"/>
      <c r="U185" s="311"/>
      <c r="V185" s="311"/>
      <c r="W185" s="311"/>
      <c r="X185" s="311"/>
      <c r="Y185" s="311"/>
      <c r="Z185" s="311"/>
      <c r="AA185" s="311"/>
      <c r="AB185" s="311"/>
      <c r="AC185" s="311"/>
      <c r="AD185" s="311"/>
      <c r="AE185" s="311"/>
      <c r="AF185" s="311"/>
      <c r="AG185" s="311"/>
      <c r="AH185" s="311"/>
      <c r="AI185" s="311"/>
      <c r="AJ185" s="311"/>
      <c r="AK185" s="311"/>
      <c r="AL185" s="311"/>
      <c r="AM185" s="311"/>
      <c r="AN185" s="311"/>
      <c r="AO185" s="311"/>
      <c r="AP185" s="311"/>
      <c r="AQ185" s="311"/>
      <c r="AR185" s="311"/>
      <c r="AS185" s="311"/>
      <c r="AT185" s="311"/>
      <c r="AU185" s="311"/>
      <c r="AV185" s="311"/>
      <c r="AW185" s="311"/>
      <c r="AX185" s="311"/>
      <c r="AY185" s="311"/>
      <c r="AZ185" s="311"/>
      <c r="BA185" s="311"/>
      <c r="BB185" s="311"/>
      <c r="BC185" s="312"/>
      <c r="BD185" s="311"/>
      <c r="BE185" s="311"/>
      <c r="BF185" s="311"/>
      <c r="BG185" s="311"/>
      <c r="BH185" s="311"/>
      <c r="BI185" s="311"/>
      <c r="BJ185" s="311"/>
      <c r="BK185" s="311"/>
      <c r="BL185" s="311"/>
      <c r="BM185" s="311"/>
      <c r="BN185" s="311"/>
      <c r="BO185" s="311"/>
      <c r="BP185" s="311"/>
      <c r="BQ185" s="311"/>
      <c r="BR185" s="311"/>
      <c r="BS185" s="311"/>
      <c r="BT185" s="311"/>
      <c r="BU185" s="311"/>
      <c r="BV185" s="311"/>
      <c r="BW185" s="311"/>
      <c r="BX185" s="311"/>
      <c r="BY185" s="307"/>
      <c r="BZ185" s="307"/>
      <c r="CA185" s="222"/>
      <c r="CB185" s="222"/>
      <c r="CC185" s="222"/>
      <c r="CD185" s="222"/>
      <c r="CE185" s="222"/>
      <c r="CF185" s="222"/>
      <c r="CG185" s="222"/>
      <c r="CH185" s="222"/>
      <c r="CI185" s="222"/>
      <c r="CJ185" s="222"/>
      <c r="CK185" s="222"/>
      <c r="CL185" s="222"/>
      <c r="CM185" s="222"/>
      <c r="CN185" s="222"/>
      <c r="CO185" s="222"/>
      <c r="CP185" s="222"/>
      <c r="CQ185" s="222"/>
      <c r="CR185" s="222"/>
      <c r="CS185" s="222"/>
      <c r="CT185" s="222"/>
      <c r="CU185" s="222"/>
      <c r="CV185" s="222"/>
      <c r="CW185" s="222"/>
      <c r="CX185" s="222"/>
      <c r="CY185" s="222"/>
      <c r="CZ185" s="222"/>
      <c r="DA185" s="222"/>
      <c r="DB185" s="222"/>
      <c r="DC185" s="222"/>
      <c r="DD185" s="222"/>
      <c r="DE185" s="222"/>
      <c r="DF185" s="222"/>
      <c r="DG185" s="222"/>
      <c r="DH185" s="222"/>
      <c r="DI185" s="222"/>
      <c r="DJ185" s="222"/>
      <c r="DK185" s="222"/>
      <c r="DL185" s="222"/>
      <c r="DM185" s="222"/>
      <c r="DN185" s="222"/>
      <c r="DO185" s="222"/>
      <c r="DP185" s="222"/>
      <c r="DQ185" s="222"/>
      <c r="DR185" s="222"/>
      <c r="DS185" s="222"/>
      <c r="DT185" s="222"/>
      <c r="DU185" s="222"/>
      <c r="DV185" s="222"/>
      <c r="DW185" s="222"/>
      <c r="DX185" s="222"/>
      <c r="DY185" s="222"/>
      <c r="DZ185" s="222"/>
      <c r="EA185" s="222"/>
      <c r="EB185" s="222"/>
      <c r="EC185" s="222"/>
      <c r="ED185" s="222"/>
      <c r="EE185" s="222"/>
      <c r="EF185" s="222"/>
      <c r="EG185" s="222"/>
      <c r="EH185" s="222"/>
    </row>
    <row r="186" spans="1:138" hidden="1">
      <c r="A186" s="222"/>
      <c r="B186" s="318"/>
      <c r="C186" s="310" t="s">
        <v>296</v>
      </c>
      <c r="D186" s="319"/>
      <c r="E186" s="311">
        <f t="shared" ref="E186:G186" si="96">-E59</f>
        <v>0</v>
      </c>
      <c r="F186" s="311">
        <f t="shared" si="96"/>
        <v>0</v>
      </c>
      <c r="G186" s="311">
        <f t="shared" si="96"/>
        <v>0</v>
      </c>
      <c r="H186" s="311">
        <f t="shared" ref="H186:T186" si="97">-H74</f>
        <v>0</v>
      </c>
      <c r="I186" s="311">
        <f t="shared" si="97"/>
        <v>0</v>
      </c>
      <c r="J186" s="311">
        <f t="shared" si="97"/>
        <v>0</v>
      </c>
      <c r="K186" s="311">
        <f t="shared" si="97"/>
        <v>0</v>
      </c>
      <c r="L186" s="311">
        <f t="shared" si="97"/>
        <v>0</v>
      </c>
      <c r="M186" s="311">
        <f t="shared" si="97"/>
        <v>0</v>
      </c>
      <c r="N186" s="311">
        <f t="shared" si="97"/>
        <v>0</v>
      </c>
      <c r="O186" s="311">
        <f t="shared" si="97"/>
        <v>0</v>
      </c>
      <c r="P186" s="311">
        <f t="shared" si="97"/>
        <v>0</v>
      </c>
      <c r="Q186" s="311">
        <f t="shared" si="97"/>
        <v>0</v>
      </c>
      <c r="R186" s="311">
        <f t="shared" si="97"/>
        <v>0</v>
      </c>
      <c r="S186" s="311">
        <f t="shared" si="97"/>
        <v>0</v>
      </c>
      <c r="T186" s="311">
        <f t="shared" si="97"/>
        <v>0</v>
      </c>
      <c r="U186" s="311">
        <f t="shared" ref="U186:Z186" si="98">-U59</f>
        <v>0</v>
      </c>
      <c r="V186" s="311">
        <f t="shared" si="98"/>
        <v>0</v>
      </c>
      <c r="W186" s="311">
        <f t="shared" si="98"/>
        <v>0</v>
      </c>
      <c r="X186" s="311">
        <f t="shared" si="98"/>
        <v>0</v>
      </c>
      <c r="Y186" s="311">
        <f t="shared" si="98"/>
        <v>0</v>
      </c>
      <c r="Z186" s="311">
        <f t="shared" si="98"/>
        <v>0</v>
      </c>
      <c r="AA186" s="311"/>
      <c r="AB186" s="311">
        <f t="shared" ref="AB186:AE186" si="99">-AB59</f>
        <v>0</v>
      </c>
      <c r="AC186" s="311">
        <f t="shared" si="99"/>
        <v>0</v>
      </c>
      <c r="AD186" s="311">
        <f t="shared" si="99"/>
        <v>0</v>
      </c>
      <c r="AE186" s="311">
        <f t="shared" si="99"/>
        <v>0</v>
      </c>
      <c r="AF186" s="311"/>
      <c r="AG186" s="311"/>
      <c r="AH186" s="311"/>
      <c r="AI186" s="311"/>
      <c r="AJ186" s="311"/>
      <c r="AK186" s="311">
        <f t="shared" ref="AK186:BX186" si="100">-AK59</f>
        <v>0</v>
      </c>
      <c r="AL186" s="311">
        <f t="shared" si="100"/>
        <v>0</v>
      </c>
      <c r="AM186" s="311">
        <f t="shared" si="100"/>
        <v>0</v>
      </c>
      <c r="AN186" s="311">
        <f t="shared" si="100"/>
        <v>0</v>
      </c>
      <c r="AO186" s="311">
        <f t="shared" si="100"/>
        <v>0</v>
      </c>
      <c r="AP186" s="311">
        <f t="shared" si="100"/>
        <v>0</v>
      </c>
      <c r="AQ186" s="311">
        <f t="shared" si="100"/>
        <v>0</v>
      </c>
      <c r="AR186" s="311">
        <f t="shared" si="100"/>
        <v>0</v>
      </c>
      <c r="AS186" s="311">
        <f t="shared" si="100"/>
        <v>0</v>
      </c>
      <c r="AT186" s="311">
        <f t="shared" si="100"/>
        <v>0</v>
      </c>
      <c r="AU186" s="311">
        <f t="shared" si="100"/>
        <v>0</v>
      </c>
      <c r="AV186" s="311">
        <f t="shared" si="100"/>
        <v>0</v>
      </c>
      <c r="AW186" s="311">
        <f t="shared" si="100"/>
        <v>0</v>
      </c>
      <c r="AX186" s="311">
        <f t="shared" si="100"/>
        <v>0</v>
      </c>
      <c r="AY186" s="311">
        <f t="shared" si="100"/>
        <v>0</v>
      </c>
      <c r="AZ186" s="311">
        <f t="shared" si="100"/>
        <v>0</v>
      </c>
      <c r="BA186" s="311">
        <f t="shared" si="100"/>
        <v>0</v>
      </c>
      <c r="BB186" s="311">
        <f t="shared" si="100"/>
        <v>0</v>
      </c>
      <c r="BC186" s="311">
        <f t="shared" si="100"/>
        <v>0</v>
      </c>
      <c r="BD186" s="311">
        <f t="shared" si="100"/>
        <v>0</v>
      </c>
      <c r="BE186" s="311">
        <f t="shared" si="100"/>
        <v>0</v>
      </c>
      <c r="BF186" s="311">
        <f t="shared" si="100"/>
        <v>0</v>
      </c>
      <c r="BG186" s="311">
        <f t="shared" si="100"/>
        <v>0</v>
      </c>
      <c r="BH186" s="311">
        <f t="shared" si="100"/>
        <v>0</v>
      </c>
      <c r="BI186" s="311">
        <f t="shared" si="100"/>
        <v>0</v>
      </c>
      <c r="BJ186" s="311">
        <f t="shared" si="100"/>
        <v>0</v>
      </c>
      <c r="BK186" s="311">
        <f t="shared" si="100"/>
        <v>0</v>
      </c>
      <c r="BL186" s="311">
        <f t="shared" si="100"/>
        <v>0</v>
      </c>
      <c r="BM186" s="311">
        <f t="shared" si="100"/>
        <v>0</v>
      </c>
      <c r="BN186" s="311">
        <f t="shared" si="100"/>
        <v>0</v>
      </c>
      <c r="BO186" s="311">
        <f t="shared" si="100"/>
        <v>0</v>
      </c>
      <c r="BP186" s="311">
        <f t="shared" si="100"/>
        <v>0</v>
      </c>
      <c r="BQ186" s="311">
        <f t="shared" si="100"/>
        <v>0</v>
      </c>
      <c r="BR186" s="311">
        <f t="shared" si="100"/>
        <v>0</v>
      </c>
      <c r="BS186" s="311">
        <f t="shared" si="100"/>
        <v>0</v>
      </c>
      <c r="BT186" s="311">
        <f t="shared" si="100"/>
        <v>0</v>
      </c>
      <c r="BU186" s="311">
        <f t="shared" si="100"/>
        <v>0</v>
      </c>
      <c r="BV186" s="311">
        <f t="shared" si="100"/>
        <v>0</v>
      </c>
      <c r="BW186" s="311">
        <f t="shared" si="100"/>
        <v>0</v>
      </c>
      <c r="BX186" s="311">
        <f t="shared" si="100"/>
        <v>0</v>
      </c>
      <c r="BY186" s="307"/>
      <c r="BZ186" s="307"/>
      <c r="CA186" s="222"/>
      <c r="CB186" s="222"/>
      <c r="CC186" s="222"/>
      <c r="CD186" s="222"/>
      <c r="CE186" s="222"/>
      <c r="CF186" s="222"/>
      <c r="CG186" s="222"/>
      <c r="CH186" s="222"/>
      <c r="CI186" s="222"/>
      <c r="CJ186" s="222"/>
      <c r="CK186" s="222"/>
      <c r="CL186" s="222"/>
      <c r="CM186" s="222"/>
      <c r="CN186" s="222"/>
      <c r="CO186" s="222"/>
      <c r="CP186" s="222"/>
      <c r="CQ186" s="222"/>
      <c r="CR186" s="222"/>
      <c r="CS186" s="222"/>
      <c r="CT186" s="222"/>
      <c r="CU186" s="222"/>
      <c r="CV186" s="222"/>
      <c r="CW186" s="222"/>
      <c r="CX186" s="222"/>
      <c r="CY186" s="222"/>
      <c r="CZ186" s="222"/>
      <c r="DA186" s="222"/>
      <c r="DB186" s="222"/>
      <c r="DC186" s="222"/>
      <c r="DD186" s="222"/>
      <c r="DE186" s="222"/>
      <c r="DF186" s="222"/>
      <c r="DG186" s="222"/>
      <c r="DH186" s="222"/>
      <c r="DI186" s="222"/>
      <c r="DJ186" s="222"/>
      <c r="DK186" s="222"/>
      <c r="DL186" s="222"/>
      <c r="DM186" s="222"/>
      <c r="DN186" s="222"/>
      <c r="DO186" s="222"/>
      <c r="DP186" s="222"/>
      <c r="DQ186" s="222"/>
      <c r="DR186" s="222"/>
      <c r="DS186" s="222"/>
      <c r="DT186" s="222"/>
      <c r="DU186" s="222"/>
      <c r="DV186" s="222"/>
      <c r="DW186" s="222"/>
      <c r="DX186" s="222"/>
      <c r="DY186" s="222"/>
      <c r="DZ186" s="222"/>
      <c r="EA186" s="222"/>
      <c r="EB186" s="222"/>
      <c r="EC186" s="222"/>
      <c r="ED186" s="222"/>
      <c r="EE186" s="222"/>
      <c r="EF186" s="222"/>
      <c r="EG186" s="222"/>
      <c r="EH186" s="222"/>
    </row>
    <row r="187" spans="1:138" hidden="1">
      <c r="A187" s="222"/>
      <c r="B187" s="318"/>
      <c r="C187" s="310" t="s">
        <v>297</v>
      </c>
      <c r="D187" s="319"/>
      <c r="E187" s="311"/>
      <c r="F187" s="311"/>
      <c r="G187" s="311"/>
      <c r="H187" s="311"/>
      <c r="I187" s="311"/>
      <c r="J187" s="311"/>
      <c r="K187" s="311"/>
      <c r="L187" s="311"/>
      <c r="M187" s="311"/>
      <c r="N187" s="311"/>
      <c r="O187" s="311"/>
      <c r="P187" s="311"/>
      <c r="Q187" s="311"/>
      <c r="R187" s="311"/>
      <c r="S187" s="311"/>
      <c r="T187" s="311">
        <v>2750000</v>
      </c>
      <c r="U187" s="311"/>
      <c r="V187" s="311"/>
      <c r="W187" s="311"/>
      <c r="X187" s="311"/>
      <c r="Y187" s="311"/>
      <c r="Z187" s="311"/>
      <c r="AA187" s="311"/>
      <c r="AB187" s="311"/>
      <c r="AC187" s="311"/>
      <c r="AD187" s="311"/>
      <c r="AE187" s="311"/>
      <c r="AF187" s="311"/>
      <c r="AG187" s="311"/>
      <c r="AH187" s="311"/>
      <c r="AI187" s="311"/>
      <c r="AJ187" s="311"/>
      <c r="AK187" s="311"/>
      <c r="AL187" s="311"/>
      <c r="AM187" s="311"/>
      <c r="AN187" s="311"/>
      <c r="AO187" s="311"/>
      <c r="AP187" s="311"/>
      <c r="AQ187" s="311"/>
      <c r="AR187" s="311"/>
      <c r="AS187" s="311"/>
      <c r="AT187" s="311"/>
      <c r="AU187" s="311"/>
      <c r="AV187" s="311"/>
      <c r="AW187" s="311"/>
      <c r="AX187" s="311"/>
      <c r="AY187" s="311"/>
      <c r="AZ187" s="311"/>
      <c r="BA187" s="311"/>
      <c r="BB187" s="311"/>
      <c r="BC187" s="312"/>
      <c r="BD187" s="311"/>
      <c r="BE187" s="311"/>
      <c r="BF187" s="311"/>
      <c r="BG187" s="311"/>
      <c r="BH187" s="311"/>
      <c r="BI187" s="311"/>
      <c r="BJ187" s="311"/>
      <c r="BK187" s="311"/>
      <c r="BL187" s="311"/>
      <c r="BM187" s="311"/>
      <c r="BN187" s="311"/>
      <c r="BO187" s="311"/>
      <c r="BP187" s="311"/>
      <c r="BQ187" s="311"/>
      <c r="BR187" s="311"/>
      <c r="BS187" s="311"/>
      <c r="BT187" s="311"/>
      <c r="BU187" s="311"/>
      <c r="BV187" s="311"/>
      <c r="BW187" s="311"/>
      <c r="BX187" s="311">
        <f>IF(D111&gt;0.25,(BX101-BX114)*D188,BX101*D188)</f>
        <v>0</v>
      </c>
      <c r="BY187" s="307"/>
      <c r="BZ187" s="307"/>
      <c r="CA187" s="222"/>
      <c r="CB187" s="222"/>
      <c r="CC187" s="222"/>
      <c r="CD187" s="222"/>
      <c r="CE187" s="222"/>
      <c r="CF187" s="222"/>
      <c r="CG187" s="222"/>
      <c r="CH187" s="222"/>
      <c r="CI187" s="222"/>
      <c r="CJ187" s="222"/>
      <c r="CK187" s="222"/>
      <c r="CL187" s="222"/>
      <c r="CM187" s="222"/>
      <c r="CN187" s="222"/>
      <c r="CO187" s="222"/>
      <c r="CP187" s="222"/>
      <c r="CQ187" s="222"/>
      <c r="CR187" s="222"/>
      <c r="CS187" s="222"/>
      <c r="CT187" s="222"/>
      <c r="CU187" s="222"/>
      <c r="CV187" s="222"/>
      <c r="CW187" s="222"/>
      <c r="CX187" s="222"/>
      <c r="CY187" s="222"/>
      <c r="CZ187" s="222"/>
      <c r="DA187" s="222"/>
      <c r="DB187" s="222"/>
      <c r="DC187" s="222"/>
      <c r="DD187" s="222"/>
      <c r="DE187" s="222"/>
      <c r="DF187" s="222"/>
      <c r="DG187" s="222"/>
      <c r="DH187" s="222"/>
      <c r="DI187" s="222"/>
      <c r="DJ187" s="222"/>
      <c r="DK187" s="222"/>
      <c r="DL187" s="222"/>
      <c r="DM187" s="222"/>
      <c r="DN187" s="222"/>
      <c r="DO187" s="222"/>
      <c r="DP187" s="222"/>
      <c r="DQ187" s="222"/>
      <c r="DR187" s="222"/>
      <c r="DS187" s="222"/>
      <c r="DT187" s="222"/>
      <c r="DU187" s="222"/>
      <c r="DV187" s="222"/>
      <c r="DW187" s="222"/>
      <c r="DX187" s="222"/>
      <c r="DY187" s="222"/>
      <c r="DZ187" s="222"/>
      <c r="EA187" s="222"/>
      <c r="EB187" s="222"/>
      <c r="EC187" s="222"/>
      <c r="ED187" s="222"/>
      <c r="EE187" s="222"/>
      <c r="EF187" s="222"/>
      <c r="EG187" s="222"/>
      <c r="EH187" s="222"/>
    </row>
    <row r="188" spans="1:138" hidden="1">
      <c r="A188" s="222"/>
      <c r="B188" s="318"/>
      <c r="C188" s="313" t="s">
        <v>298</v>
      </c>
      <c r="D188" s="319">
        <v>0</v>
      </c>
      <c r="E188" s="311"/>
      <c r="F188" s="311"/>
      <c r="G188" s="311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311"/>
      <c r="V188" s="311"/>
      <c r="W188" s="311"/>
      <c r="X188" s="311"/>
      <c r="Y188" s="311"/>
      <c r="Z188" s="311"/>
      <c r="AA188" s="311"/>
      <c r="AB188" s="311"/>
      <c r="AC188" s="311"/>
      <c r="AD188" s="311"/>
      <c r="AE188" s="311"/>
      <c r="AF188" s="311"/>
      <c r="AG188" s="311"/>
      <c r="AH188" s="311"/>
      <c r="AI188" s="311"/>
      <c r="AJ188" s="311"/>
      <c r="AK188" s="311"/>
      <c r="AL188" s="311"/>
      <c r="AM188" s="311"/>
      <c r="AN188" s="311"/>
      <c r="AO188" s="311"/>
      <c r="AP188" s="311"/>
      <c r="AQ188" s="311"/>
      <c r="AR188" s="311"/>
      <c r="AS188" s="311"/>
      <c r="AT188" s="311"/>
      <c r="AU188" s="311"/>
      <c r="AV188" s="311"/>
      <c r="AW188" s="311"/>
      <c r="AX188" s="311"/>
      <c r="AY188" s="311"/>
      <c r="AZ188" s="311"/>
      <c r="BA188" s="311"/>
      <c r="BB188" s="311"/>
      <c r="BC188" s="312"/>
      <c r="BD188" s="311"/>
      <c r="BE188" s="311"/>
      <c r="BF188" s="311"/>
      <c r="BG188" s="311"/>
      <c r="BH188" s="311"/>
      <c r="BI188" s="311"/>
      <c r="BJ188" s="311"/>
      <c r="BK188" s="311"/>
      <c r="BL188" s="311"/>
      <c r="BM188" s="311"/>
      <c r="BN188" s="311"/>
      <c r="BO188" s="311"/>
      <c r="BP188" s="311"/>
      <c r="BQ188" s="311"/>
      <c r="BR188" s="311"/>
      <c r="BS188" s="311"/>
      <c r="BT188" s="311"/>
      <c r="BU188" s="311"/>
      <c r="BV188" s="311"/>
      <c r="BW188" s="311"/>
      <c r="BX188" s="311"/>
      <c r="BY188" s="307"/>
      <c r="BZ188" s="307"/>
      <c r="CA188" s="222"/>
      <c r="CB188" s="222"/>
      <c r="CC188" s="222"/>
      <c r="CD188" s="222"/>
      <c r="CE188" s="222"/>
      <c r="CF188" s="222"/>
      <c r="CG188" s="222"/>
      <c r="CH188" s="222"/>
      <c r="CI188" s="222"/>
      <c r="CJ188" s="222"/>
      <c r="CK188" s="222"/>
      <c r="CL188" s="222"/>
      <c r="CM188" s="222"/>
      <c r="CN188" s="222"/>
      <c r="CO188" s="222"/>
      <c r="CP188" s="222"/>
      <c r="CQ188" s="222"/>
      <c r="CR188" s="222"/>
      <c r="CS188" s="222"/>
      <c r="CT188" s="222"/>
      <c r="CU188" s="222"/>
      <c r="CV188" s="222"/>
      <c r="CW188" s="222"/>
      <c r="CX188" s="222"/>
      <c r="CY188" s="222"/>
      <c r="CZ188" s="222"/>
      <c r="DA188" s="222"/>
      <c r="DB188" s="222"/>
      <c r="DC188" s="222"/>
      <c r="DD188" s="222"/>
      <c r="DE188" s="222"/>
      <c r="DF188" s="222"/>
      <c r="DG188" s="222"/>
      <c r="DH188" s="222"/>
      <c r="DI188" s="222"/>
      <c r="DJ188" s="222"/>
      <c r="DK188" s="222"/>
      <c r="DL188" s="222"/>
      <c r="DM188" s="222"/>
      <c r="DN188" s="222"/>
      <c r="DO188" s="222"/>
      <c r="DP188" s="222"/>
      <c r="DQ188" s="222"/>
      <c r="DR188" s="222"/>
      <c r="DS188" s="222"/>
      <c r="DT188" s="222"/>
      <c r="DU188" s="222"/>
      <c r="DV188" s="222"/>
      <c r="DW188" s="222"/>
      <c r="DX188" s="222"/>
      <c r="DY188" s="222"/>
      <c r="DZ188" s="222"/>
      <c r="EA188" s="222"/>
      <c r="EB188" s="222"/>
      <c r="EC188" s="222"/>
      <c r="ED188" s="222"/>
      <c r="EE188" s="222"/>
      <c r="EF188" s="222"/>
      <c r="EG188" s="222"/>
      <c r="EH188" s="222"/>
    </row>
    <row r="189" spans="1:138" hidden="1">
      <c r="A189" s="222"/>
      <c r="B189" s="318"/>
      <c r="C189" s="310" t="s">
        <v>299</v>
      </c>
      <c r="D189" s="311"/>
      <c r="E189" s="321">
        <f t="shared" ref="E189:Z189" si="101">E184+E185+E186+E187+E188</f>
        <v>0</v>
      </c>
      <c r="F189" s="321">
        <f t="shared" si="101"/>
        <v>0</v>
      </c>
      <c r="G189" s="321">
        <f t="shared" si="101"/>
        <v>0</v>
      </c>
      <c r="H189" s="321">
        <f t="shared" si="101"/>
        <v>-5341205.5</v>
      </c>
      <c r="I189" s="321">
        <f t="shared" si="101"/>
        <v>0</v>
      </c>
      <c r="J189" s="321">
        <f t="shared" si="101"/>
        <v>0</v>
      </c>
      <c r="K189" s="321">
        <f t="shared" si="101"/>
        <v>0</v>
      </c>
      <c r="L189" s="321">
        <f t="shared" si="101"/>
        <v>0</v>
      </c>
      <c r="M189" s="321">
        <f t="shared" si="101"/>
        <v>0</v>
      </c>
      <c r="N189" s="321">
        <f t="shared" si="101"/>
        <v>0</v>
      </c>
      <c r="O189" s="321">
        <f t="shared" si="101"/>
        <v>0</v>
      </c>
      <c r="P189" s="321">
        <f t="shared" si="101"/>
        <v>0</v>
      </c>
      <c r="Q189" s="321">
        <f t="shared" si="101"/>
        <v>0</v>
      </c>
      <c r="R189" s="321">
        <f t="shared" si="101"/>
        <v>0</v>
      </c>
      <c r="S189" s="321">
        <f t="shared" si="101"/>
        <v>0</v>
      </c>
      <c r="T189" s="321">
        <f t="shared" si="101"/>
        <v>8091205.5</v>
      </c>
      <c r="U189" s="321">
        <f t="shared" si="101"/>
        <v>0</v>
      </c>
      <c r="V189" s="321">
        <f t="shared" si="101"/>
        <v>0</v>
      </c>
      <c r="W189" s="321">
        <f t="shared" si="101"/>
        <v>0</v>
      </c>
      <c r="X189" s="321">
        <f t="shared" si="101"/>
        <v>0</v>
      </c>
      <c r="Y189" s="321">
        <f t="shared" si="101"/>
        <v>0</v>
      </c>
      <c r="Z189" s="321">
        <f t="shared" si="101"/>
        <v>0</v>
      </c>
      <c r="AA189" s="321"/>
      <c r="AB189" s="321">
        <f t="shared" ref="AB189:AE189" si="102">AB184+AB185+AB186+AB187+AB188</f>
        <v>0</v>
      </c>
      <c r="AC189" s="321">
        <f t="shared" si="102"/>
        <v>0</v>
      </c>
      <c r="AD189" s="321">
        <f t="shared" si="102"/>
        <v>0</v>
      </c>
      <c r="AE189" s="321">
        <f t="shared" si="102"/>
        <v>0</v>
      </c>
      <c r="AF189" s="321"/>
      <c r="AG189" s="321"/>
      <c r="AH189" s="321"/>
      <c r="AI189" s="321"/>
      <c r="AJ189" s="321"/>
      <c r="AK189" s="321">
        <f t="shared" ref="AK189:BX189" si="103">AK184+AK185+AK186+AK187+AK188</f>
        <v>0</v>
      </c>
      <c r="AL189" s="321">
        <f t="shared" si="103"/>
        <v>0</v>
      </c>
      <c r="AM189" s="321">
        <f t="shared" si="103"/>
        <v>0</v>
      </c>
      <c r="AN189" s="321">
        <f t="shared" si="103"/>
        <v>0</v>
      </c>
      <c r="AO189" s="321">
        <f t="shared" si="103"/>
        <v>0</v>
      </c>
      <c r="AP189" s="321">
        <f t="shared" si="103"/>
        <v>0</v>
      </c>
      <c r="AQ189" s="321">
        <f t="shared" si="103"/>
        <v>0</v>
      </c>
      <c r="AR189" s="321">
        <f t="shared" si="103"/>
        <v>0</v>
      </c>
      <c r="AS189" s="321">
        <f t="shared" si="103"/>
        <v>0</v>
      </c>
      <c r="AT189" s="321">
        <f t="shared" si="103"/>
        <v>0</v>
      </c>
      <c r="AU189" s="321">
        <f t="shared" si="103"/>
        <v>0</v>
      </c>
      <c r="AV189" s="321">
        <f t="shared" si="103"/>
        <v>0</v>
      </c>
      <c r="AW189" s="321">
        <f t="shared" si="103"/>
        <v>0</v>
      </c>
      <c r="AX189" s="321">
        <f t="shared" si="103"/>
        <v>0</v>
      </c>
      <c r="AY189" s="321">
        <f t="shared" si="103"/>
        <v>0</v>
      </c>
      <c r="AZ189" s="321">
        <f t="shared" si="103"/>
        <v>0</v>
      </c>
      <c r="BA189" s="321">
        <f t="shared" si="103"/>
        <v>0</v>
      </c>
      <c r="BB189" s="321">
        <f t="shared" si="103"/>
        <v>0</v>
      </c>
      <c r="BC189" s="321">
        <f t="shared" si="103"/>
        <v>0</v>
      </c>
      <c r="BD189" s="321">
        <f t="shared" si="103"/>
        <v>0</v>
      </c>
      <c r="BE189" s="321">
        <f t="shared" si="103"/>
        <v>0</v>
      </c>
      <c r="BF189" s="321">
        <f t="shared" si="103"/>
        <v>0</v>
      </c>
      <c r="BG189" s="321">
        <f t="shared" si="103"/>
        <v>0</v>
      </c>
      <c r="BH189" s="321">
        <f t="shared" si="103"/>
        <v>0</v>
      </c>
      <c r="BI189" s="321">
        <f t="shared" si="103"/>
        <v>0</v>
      </c>
      <c r="BJ189" s="321">
        <f t="shared" si="103"/>
        <v>0</v>
      </c>
      <c r="BK189" s="321">
        <f t="shared" si="103"/>
        <v>0</v>
      </c>
      <c r="BL189" s="321">
        <f t="shared" si="103"/>
        <v>0</v>
      </c>
      <c r="BM189" s="321">
        <f t="shared" si="103"/>
        <v>0</v>
      </c>
      <c r="BN189" s="321">
        <f t="shared" si="103"/>
        <v>0</v>
      </c>
      <c r="BO189" s="321">
        <f t="shared" si="103"/>
        <v>0</v>
      </c>
      <c r="BP189" s="321">
        <f t="shared" si="103"/>
        <v>0</v>
      </c>
      <c r="BQ189" s="321">
        <f t="shared" si="103"/>
        <v>0</v>
      </c>
      <c r="BR189" s="321">
        <f t="shared" si="103"/>
        <v>0</v>
      </c>
      <c r="BS189" s="321">
        <f t="shared" si="103"/>
        <v>0</v>
      </c>
      <c r="BT189" s="321">
        <f t="shared" si="103"/>
        <v>0</v>
      </c>
      <c r="BU189" s="321">
        <f t="shared" si="103"/>
        <v>0</v>
      </c>
      <c r="BV189" s="321">
        <f t="shared" si="103"/>
        <v>0</v>
      </c>
      <c r="BW189" s="321">
        <f t="shared" si="103"/>
        <v>0</v>
      </c>
      <c r="BX189" s="321">
        <f t="shared" si="103"/>
        <v>0</v>
      </c>
      <c r="BY189" s="222"/>
      <c r="BZ189" s="222"/>
      <c r="CA189" s="222"/>
      <c r="CB189" s="222"/>
      <c r="CC189" s="222"/>
      <c r="CD189" s="222"/>
      <c r="CE189" s="222"/>
      <c r="CF189" s="222"/>
      <c r="CG189" s="222"/>
      <c r="CH189" s="222"/>
      <c r="CI189" s="222"/>
      <c r="CJ189" s="222"/>
      <c r="CK189" s="222"/>
      <c r="CL189" s="222"/>
      <c r="CM189" s="222"/>
      <c r="CN189" s="222"/>
      <c r="CO189" s="222"/>
      <c r="CP189" s="222"/>
      <c r="CQ189" s="222"/>
      <c r="CR189" s="222"/>
      <c r="CS189" s="222"/>
      <c r="CT189" s="222"/>
      <c r="CU189" s="222"/>
      <c r="CV189" s="222"/>
      <c r="CW189" s="222"/>
      <c r="CX189" s="222"/>
      <c r="CY189" s="222"/>
      <c r="CZ189" s="222"/>
      <c r="DA189" s="222"/>
      <c r="DB189" s="222"/>
      <c r="DC189" s="222"/>
      <c r="DD189" s="222"/>
      <c r="DE189" s="222"/>
      <c r="DF189" s="222"/>
      <c r="DG189" s="222"/>
      <c r="DH189" s="222"/>
      <c r="DI189" s="222"/>
      <c r="DJ189" s="222"/>
      <c r="DK189" s="222"/>
      <c r="DL189" s="222"/>
      <c r="DM189" s="222"/>
      <c r="DN189" s="222"/>
      <c r="DO189" s="222"/>
      <c r="DP189" s="222"/>
      <c r="DQ189" s="222"/>
      <c r="DR189" s="222"/>
      <c r="DS189" s="222"/>
      <c r="DT189" s="222"/>
      <c r="DU189" s="222"/>
      <c r="DV189" s="222"/>
      <c r="DW189" s="222"/>
      <c r="DX189" s="222"/>
      <c r="DY189" s="222"/>
      <c r="DZ189" s="222"/>
      <c r="EA189" s="222"/>
      <c r="EB189" s="222"/>
      <c r="EC189" s="222"/>
      <c r="ED189" s="222"/>
      <c r="EE189" s="222"/>
      <c r="EF189" s="222"/>
      <c r="EG189" s="222"/>
      <c r="EH189" s="222"/>
    </row>
    <row r="190" spans="1:138" hidden="1">
      <c r="A190" s="222"/>
      <c r="B190" s="318"/>
      <c r="C190" s="314"/>
      <c r="D190" s="322" t="s">
        <v>306</v>
      </c>
      <c r="E190" s="327">
        <f>E189</f>
        <v>0</v>
      </c>
      <c r="F190" s="327">
        <f t="shared" ref="F190:Z190" si="104">E190+F189</f>
        <v>0</v>
      </c>
      <c r="G190" s="327">
        <f t="shared" si="104"/>
        <v>0</v>
      </c>
      <c r="H190" s="327">
        <f t="shared" si="104"/>
        <v>-5341205.5</v>
      </c>
      <c r="I190" s="327">
        <f t="shared" si="104"/>
        <v>-5341205.5</v>
      </c>
      <c r="J190" s="327">
        <f t="shared" si="104"/>
        <v>-5341205.5</v>
      </c>
      <c r="K190" s="327">
        <f t="shared" si="104"/>
        <v>-5341205.5</v>
      </c>
      <c r="L190" s="327">
        <f t="shared" si="104"/>
        <v>-5341205.5</v>
      </c>
      <c r="M190" s="327">
        <f t="shared" si="104"/>
        <v>-5341205.5</v>
      </c>
      <c r="N190" s="327">
        <f t="shared" si="104"/>
        <v>-5341205.5</v>
      </c>
      <c r="O190" s="327">
        <f t="shared" si="104"/>
        <v>-5341205.5</v>
      </c>
      <c r="P190" s="327">
        <f t="shared" si="104"/>
        <v>-5341205.5</v>
      </c>
      <c r="Q190" s="327">
        <f t="shared" si="104"/>
        <v>-5341205.5</v>
      </c>
      <c r="R190" s="327">
        <f t="shared" si="104"/>
        <v>-5341205.5</v>
      </c>
      <c r="S190" s="327">
        <f t="shared" si="104"/>
        <v>-5341205.5</v>
      </c>
      <c r="T190" s="327">
        <f t="shared" si="104"/>
        <v>2750000</v>
      </c>
      <c r="U190" s="327">
        <f t="shared" si="104"/>
        <v>2750000</v>
      </c>
      <c r="V190" s="328">
        <f t="shared" si="104"/>
        <v>2750000</v>
      </c>
      <c r="W190" s="328">
        <f t="shared" si="104"/>
        <v>2750000</v>
      </c>
      <c r="X190" s="328">
        <f t="shared" si="104"/>
        <v>2750000</v>
      </c>
      <c r="Y190" s="328">
        <f t="shared" si="104"/>
        <v>2750000</v>
      </c>
      <c r="Z190" s="328">
        <f t="shared" si="104"/>
        <v>2750000</v>
      </c>
      <c r="AA190" s="328"/>
      <c r="AB190" s="328">
        <f t="shared" ref="AB190:AE190" si="105">AA190+AB189</f>
        <v>0</v>
      </c>
      <c r="AC190" s="328">
        <f t="shared" si="105"/>
        <v>0</v>
      </c>
      <c r="AD190" s="328">
        <f t="shared" si="105"/>
        <v>0</v>
      </c>
      <c r="AE190" s="328">
        <f t="shared" si="105"/>
        <v>0</v>
      </c>
      <c r="AF190" s="328"/>
      <c r="AG190" s="328"/>
      <c r="AH190" s="328"/>
      <c r="AI190" s="328"/>
      <c r="AJ190" s="328"/>
      <c r="AK190" s="328">
        <f t="shared" ref="AK190:BX190" si="106">AJ190+AK189</f>
        <v>0</v>
      </c>
      <c r="AL190" s="328">
        <f t="shared" si="106"/>
        <v>0</v>
      </c>
      <c r="AM190" s="328">
        <f t="shared" si="106"/>
        <v>0</v>
      </c>
      <c r="AN190" s="328">
        <f t="shared" si="106"/>
        <v>0</v>
      </c>
      <c r="AO190" s="328">
        <f t="shared" si="106"/>
        <v>0</v>
      </c>
      <c r="AP190" s="328">
        <f t="shared" si="106"/>
        <v>0</v>
      </c>
      <c r="AQ190" s="328">
        <f t="shared" si="106"/>
        <v>0</v>
      </c>
      <c r="AR190" s="328">
        <f t="shared" si="106"/>
        <v>0</v>
      </c>
      <c r="AS190" s="328">
        <f t="shared" si="106"/>
        <v>0</v>
      </c>
      <c r="AT190" s="328">
        <f t="shared" si="106"/>
        <v>0</v>
      </c>
      <c r="AU190" s="328">
        <f t="shared" si="106"/>
        <v>0</v>
      </c>
      <c r="AV190" s="328">
        <f t="shared" si="106"/>
        <v>0</v>
      </c>
      <c r="AW190" s="328">
        <f t="shared" si="106"/>
        <v>0</v>
      </c>
      <c r="AX190" s="328">
        <f t="shared" si="106"/>
        <v>0</v>
      </c>
      <c r="AY190" s="328">
        <f t="shared" si="106"/>
        <v>0</v>
      </c>
      <c r="AZ190" s="328">
        <f t="shared" si="106"/>
        <v>0</v>
      </c>
      <c r="BA190" s="328">
        <f t="shared" si="106"/>
        <v>0</v>
      </c>
      <c r="BB190" s="328">
        <f t="shared" si="106"/>
        <v>0</v>
      </c>
      <c r="BC190" s="327">
        <f t="shared" si="106"/>
        <v>0</v>
      </c>
      <c r="BD190" s="327">
        <f t="shared" si="106"/>
        <v>0</v>
      </c>
      <c r="BE190" s="327">
        <f t="shared" si="106"/>
        <v>0</v>
      </c>
      <c r="BF190" s="327">
        <f t="shared" si="106"/>
        <v>0</v>
      </c>
      <c r="BG190" s="327">
        <f t="shared" si="106"/>
        <v>0</v>
      </c>
      <c r="BH190" s="327">
        <f t="shared" si="106"/>
        <v>0</v>
      </c>
      <c r="BI190" s="327">
        <f t="shared" si="106"/>
        <v>0</v>
      </c>
      <c r="BJ190" s="327">
        <f t="shared" si="106"/>
        <v>0</v>
      </c>
      <c r="BK190" s="327">
        <f t="shared" si="106"/>
        <v>0</v>
      </c>
      <c r="BL190" s="327">
        <f t="shared" si="106"/>
        <v>0</v>
      </c>
      <c r="BM190" s="327">
        <f t="shared" si="106"/>
        <v>0</v>
      </c>
      <c r="BN190" s="327">
        <f t="shared" si="106"/>
        <v>0</v>
      </c>
      <c r="BO190" s="327">
        <f t="shared" si="106"/>
        <v>0</v>
      </c>
      <c r="BP190" s="327">
        <f t="shared" si="106"/>
        <v>0</v>
      </c>
      <c r="BQ190" s="327">
        <f t="shared" si="106"/>
        <v>0</v>
      </c>
      <c r="BR190" s="327">
        <f t="shared" si="106"/>
        <v>0</v>
      </c>
      <c r="BS190" s="327">
        <f t="shared" si="106"/>
        <v>0</v>
      </c>
      <c r="BT190" s="327">
        <f t="shared" si="106"/>
        <v>0</v>
      </c>
      <c r="BU190" s="327">
        <f t="shared" si="106"/>
        <v>0</v>
      </c>
      <c r="BV190" s="327">
        <f t="shared" si="106"/>
        <v>0</v>
      </c>
      <c r="BW190" s="327">
        <f t="shared" si="106"/>
        <v>0</v>
      </c>
      <c r="BX190" s="327">
        <f t="shared" si="106"/>
        <v>0</v>
      </c>
      <c r="BY190" s="222"/>
      <c r="BZ190" s="222"/>
      <c r="CA190" s="222"/>
      <c r="CB190" s="222"/>
      <c r="CC190" s="222"/>
      <c r="CD190" s="222"/>
      <c r="CE190" s="222"/>
      <c r="CF190" s="222"/>
      <c r="CG190" s="222"/>
      <c r="CH190" s="222"/>
      <c r="CI190" s="222"/>
      <c r="CJ190" s="222"/>
      <c r="CK190" s="222"/>
      <c r="CL190" s="222"/>
      <c r="CM190" s="222"/>
      <c r="CN190" s="222"/>
      <c r="CO190" s="222"/>
      <c r="CP190" s="222"/>
      <c r="CQ190" s="222"/>
      <c r="CR190" s="222"/>
      <c r="CS190" s="222"/>
      <c r="CT190" s="222"/>
      <c r="CU190" s="222"/>
      <c r="CV190" s="222"/>
      <c r="CW190" s="222"/>
      <c r="CX190" s="222"/>
      <c r="CY190" s="222"/>
      <c r="CZ190" s="222"/>
      <c r="DA190" s="222"/>
      <c r="DB190" s="222"/>
      <c r="DC190" s="222"/>
      <c r="DD190" s="222"/>
      <c r="DE190" s="222"/>
      <c r="DF190" s="222"/>
      <c r="DG190" s="222"/>
      <c r="DH190" s="222"/>
      <c r="DI190" s="222"/>
      <c r="DJ190" s="222"/>
      <c r="DK190" s="222"/>
      <c r="DL190" s="222"/>
      <c r="DM190" s="222"/>
      <c r="DN190" s="222"/>
      <c r="DO190" s="222"/>
      <c r="DP190" s="222"/>
      <c r="DQ190" s="222"/>
      <c r="DR190" s="222"/>
      <c r="DS190" s="222"/>
      <c r="DT190" s="222"/>
      <c r="DU190" s="222"/>
      <c r="DV190" s="222"/>
      <c r="DW190" s="222"/>
      <c r="DX190" s="222"/>
      <c r="DY190" s="222"/>
      <c r="DZ190" s="222"/>
      <c r="EA190" s="222"/>
      <c r="EB190" s="222"/>
      <c r="EC190" s="222"/>
      <c r="ED190" s="222"/>
      <c r="EE190" s="222"/>
      <c r="EF190" s="222"/>
      <c r="EG190" s="222"/>
      <c r="EH190" s="222"/>
    </row>
    <row r="191" spans="1:138" hidden="1">
      <c r="A191" s="222"/>
      <c r="B191" s="318"/>
      <c r="C191" s="313" t="s">
        <v>292</v>
      </c>
      <c r="D191" s="322">
        <f>IRR(E189:BX189)*12</f>
        <v>0.42259732866030397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2"/>
      <c r="BN191" s="222"/>
      <c r="BO191" s="222"/>
      <c r="BP191" s="222"/>
      <c r="BQ191" s="222"/>
      <c r="BR191" s="222"/>
      <c r="BS191" s="222"/>
      <c r="BT191" s="222"/>
      <c r="BU191" s="222"/>
      <c r="BV191" s="222"/>
      <c r="BW191" s="222"/>
      <c r="BX191" s="222"/>
      <c r="BY191" s="222"/>
      <c r="BZ191" s="222"/>
      <c r="CA191" s="222"/>
      <c r="CB191" s="222"/>
      <c r="CC191" s="222"/>
      <c r="CD191" s="222"/>
      <c r="CE191" s="222"/>
      <c r="CF191" s="222"/>
      <c r="CG191" s="222"/>
      <c r="CH191" s="222"/>
      <c r="CI191" s="222"/>
      <c r="CJ191" s="222"/>
      <c r="CK191" s="222"/>
      <c r="CL191" s="222"/>
      <c r="CM191" s="222"/>
      <c r="CN191" s="222"/>
      <c r="CO191" s="222"/>
      <c r="CP191" s="222"/>
      <c r="CQ191" s="222"/>
      <c r="CR191" s="222"/>
      <c r="CS191" s="222"/>
      <c r="CT191" s="222"/>
      <c r="CU191" s="222"/>
      <c r="CV191" s="222"/>
      <c r="CW191" s="222"/>
      <c r="CX191" s="222"/>
      <c r="CY191" s="222"/>
      <c r="CZ191" s="222"/>
      <c r="DA191" s="222"/>
      <c r="DB191" s="222"/>
      <c r="DC191" s="222"/>
      <c r="DD191" s="222"/>
      <c r="DE191" s="222"/>
      <c r="DF191" s="222"/>
      <c r="DG191" s="222"/>
      <c r="DH191" s="222"/>
      <c r="DI191" s="222"/>
      <c r="DJ191" s="222"/>
      <c r="DK191" s="222"/>
      <c r="DL191" s="222"/>
      <c r="DM191" s="222"/>
      <c r="DN191" s="222"/>
      <c r="DO191" s="222"/>
      <c r="DP191" s="222"/>
      <c r="DQ191" s="222"/>
      <c r="DR191" s="222"/>
      <c r="DS191" s="222"/>
      <c r="DT191" s="222"/>
      <c r="DU191" s="222"/>
      <c r="DV191" s="222"/>
      <c r="DW191" s="222"/>
      <c r="DX191" s="222"/>
      <c r="DY191" s="222"/>
      <c r="DZ191" s="222"/>
      <c r="EA191" s="222"/>
      <c r="EB191" s="222"/>
      <c r="EC191" s="222"/>
      <c r="ED191" s="222"/>
      <c r="EE191" s="222"/>
      <c r="EF191" s="222"/>
      <c r="EG191" s="222"/>
      <c r="EH191" s="222"/>
    </row>
    <row r="192" spans="1:138" hidden="1">
      <c r="A192" s="222"/>
      <c r="B192" s="318"/>
      <c r="C192" s="323" t="s">
        <v>300</v>
      </c>
      <c r="D192" s="324">
        <f>-MIN(M190:BL190)-D193</f>
        <v>5341205.5</v>
      </c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2"/>
      <c r="BN192" s="222"/>
      <c r="BO192" s="222"/>
      <c r="BP192" s="222"/>
      <c r="BQ192" s="222"/>
      <c r="BR192" s="222"/>
      <c r="BS192" s="222"/>
      <c r="BT192" s="222"/>
      <c r="BU192" s="222"/>
      <c r="BV192" s="222"/>
      <c r="BW192" s="222"/>
      <c r="BX192" s="222"/>
      <c r="BY192" s="222"/>
      <c r="BZ192" s="222"/>
      <c r="CA192" s="222"/>
      <c r="CB192" s="222"/>
      <c r="CC192" s="222"/>
      <c r="CD192" s="222"/>
      <c r="CE192" s="222"/>
      <c r="CF192" s="222"/>
      <c r="CG192" s="222"/>
      <c r="CH192" s="222"/>
      <c r="CI192" s="222"/>
      <c r="CJ192" s="222"/>
      <c r="CK192" s="222"/>
      <c r="CL192" s="222"/>
      <c r="CM192" s="222"/>
      <c r="CN192" s="222"/>
      <c r="CO192" s="222"/>
      <c r="CP192" s="222"/>
      <c r="CQ192" s="222"/>
      <c r="CR192" s="222"/>
      <c r="CS192" s="222"/>
      <c r="CT192" s="222"/>
      <c r="CU192" s="222"/>
      <c r="CV192" s="222"/>
      <c r="CW192" s="222"/>
      <c r="CX192" s="222"/>
      <c r="CY192" s="222"/>
      <c r="CZ192" s="222"/>
      <c r="DA192" s="222"/>
      <c r="DB192" s="222"/>
      <c r="DC192" s="222"/>
      <c r="DD192" s="222"/>
      <c r="DE192" s="222"/>
      <c r="DF192" s="222"/>
      <c r="DG192" s="222"/>
      <c r="DH192" s="222"/>
      <c r="DI192" s="222"/>
      <c r="DJ192" s="222"/>
      <c r="DK192" s="222"/>
      <c r="DL192" s="222"/>
      <c r="DM192" s="222"/>
      <c r="DN192" s="222"/>
      <c r="DO192" s="222"/>
      <c r="DP192" s="222"/>
      <c r="DQ192" s="222"/>
      <c r="DR192" s="222"/>
      <c r="DS192" s="222"/>
      <c r="DT192" s="222"/>
      <c r="DU192" s="222"/>
      <c r="DV192" s="222"/>
      <c r="DW192" s="222"/>
      <c r="DX192" s="222"/>
      <c r="DY192" s="222"/>
      <c r="DZ192" s="222"/>
      <c r="EA192" s="222"/>
      <c r="EB192" s="222"/>
      <c r="EC192" s="222"/>
      <c r="ED192" s="222"/>
      <c r="EE192" s="222"/>
      <c r="EF192" s="222"/>
      <c r="EG192" s="222"/>
      <c r="EH192" s="222"/>
    </row>
    <row r="193" spans="1:138" hidden="1">
      <c r="A193" s="222"/>
      <c r="B193" s="318"/>
      <c r="C193" s="323" t="s">
        <v>301</v>
      </c>
      <c r="D193" s="324">
        <f>-SUM(M188:BB188)</f>
        <v>0</v>
      </c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  <c r="AA193" s="222"/>
      <c r="AB193" s="222"/>
      <c r="AC193" s="222"/>
      <c r="AD193" s="222"/>
      <c r="AE193" s="222"/>
      <c r="AF193" s="222"/>
      <c r="AG193" s="222"/>
      <c r="AH193" s="222"/>
      <c r="AI193" s="222"/>
      <c r="AJ193" s="222"/>
      <c r="AK193" s="222"/>
      <c r="AL193" s="222"/>
      <c r="AM193" s="222"/>
      <c r="AN193" s="222"/>
      <c r="AO193" s="222"/>
      <c r="AP193" s="222"/>
      <c r="AQ193" s="222"/>
      <c r="AR193" s="222"/>
      <c r="AS193" s="222"/>
      <c r="AT193" s="222"/>
      <c r="AU193" s="222"/>
      <c r="AV193" s="222"/>
      <c r="AW193" s="222"/>
      <c r="AX193" s="222"/>
      <c r="AY193" s="222"/>
      <c r="AZ193" s="222"/>
      <c r="BA193" s="222"/>
      <c r="BB193" s="222"/>
      <c r="BC193" s="222"/>
      <c r="BD193" s="222"/>
      <c r="BE193" s="222"/>
      <c r="BF193" s="222"/>
      <c r="BG193" s="222"/>
      <c r="BH193" s="222"/>
      <c r="BI193" s="222"/>
      <c r="BJ193" s="222"/>
      <c r="BK193" s="222"/>
      <c r="BL193" s="222"/>
      <c r="BM193" s="222"/>
      <c r="BN193" s="222"/>
      <c r="BO193" s="222"/>
      <c r="BP193" s="222"/>
      <c r="BQ193" s="222"/>
      <c r="BR193" s="222"/>
      <c r="BS193" s="222"/>
      <c r="BT193" s="222"/>
      <c r="BU193" s="222"/>
      <c r="BV193" s="222"/>
      <c r="BW193" s="222"/>
      <c r="BX193" s="222"/>
      <c r="BY193" s="222"/>
      <c r="BZ193" s="222"/>
      <c r="CA193" s="222"/>
      <c r="CB193" s="222"/>
      <c r="CC193" s="222"/>
      <c r="CD193" s="222"/>
      <c r="CE193" s="222"/>
      <c r="CF193" s="222"/>
      <c r="CG193" s="222"/>
      <c r="CH193" s="222"/>
      <c r="CI193" s="222"/>
      <c r="CJ193" s="222"/>
      <c r="CK193" s="222"/>
      <c r="CL193" s="222"/>
      <c r="CM193" s="222"/>
      <c r="CN193" s="222"/>
      <c r="CO193" s="222"/>
      <c r="CP193" s="222"/>
      <c r="CQ193" s="222"/>
      <c r="CR193" s="222"/>
      <c r="CS193" s="222"/>
      <c r="CT193" s="222"/>
      <c r="CU193" s="222"/>
      <c r="CV193" s="222"/>
      <c r="CW193" s="222"/>
      <c r="CX193" s="222"/>
      <c r="CY193" s="222"/>
      <c r="CZ193" s="222"/>
      <c r="DA193" s="222"/>
      <c r="DB193" s="222"/>
      <c r="DC193" s="222"/>
      <c r="DD193" s="222"/>
      <c r="DE193" s="222"/>
      <c r="DF193" s="222"/>
      <c r="DG193" s="222"/>
      <c r="DH193" s="222"/>
      <c r="DI193" s="222"/>
      <c r="DJ193" s="222"/>
      <c r="DK193" s="222"/>
      <c r="DL193" s="222"/>
      <c r="DM193" s="222"/>
      <c r="DN193" s="222"/>
      <c r="DO193" s="222"/>
      <c r="DP193" s="222"/>
      <c r="DQ193" s="222"/>
      <c r="DR193" s="222"/>
      <c r="DS193" s="222"/>
      <c r="DT193" s="222"/>
      <c r="DU193" s="222"/>
      <c r="DV193" s="222"/>
      <c r="DW193" s="222"/>
      <c r="DX193" s="222"/>
      <c r="DY193" s="222"/>
      <c r="DZ193" s="222"/>
      <c r="EA193" s="222"/>
      <c r="EB193" s="222"/>
      <c r="EC193" s="222"/>
      <c r="ED193" s="222"/>
      <c r="EE193" s="222"/>
      <c r="EF193" s="222"/>
      <c r="EG193" s="222"/>
      <c r="EH193" s="222"/>
    </row>
    <row r="194" spans="1:138" hidden="1">
      <c r="A194" s="222"/>
      <c r="B194" s="318"/>
      <c r="C194" s="313" t="s">
        <v>302</v>
      </c>
      <c r="D194" s="326">
        <f>D193+D192</f>
        <v>5341205.5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  <c r="AA194" s="222"/>
      <c r="AB194" s="222"/>
      <c r="AC194" s="222"/>
      <c r="AD194" s="222"/>
      <c r="AE194" s="222"/>
      <c r="AF194" s="222"/>
      <c r="AG194" s="222"/>
      <c r="AH194" s="222"/>
      <c r="AI194" s="222"/>
      <c r="AJ194" s="222"/>
      <c r="AK194" s="222"/>
      <c r="AL194" s="222"/>
      <c r="AM194" s="222"/>
      <c r="AN194" s="222"/>
      <c r="AO194" s="222"/>
      <c r="AP194" s="222"/>
      <c r="AQ194" s="222"/>
      <c r="AR194" s="222"/>
      <c r="AS194" s="222"/>
      <c r="AT194" s="222"/>
      <c r="AU194" s="222"/>
      <c r="AV194" s="222"/>
      <c r="AW194" s="222"/>
      <c r="AX194" s="222"/>
      <c r="AY194" s="222"/>
      <c r="AZ194" s="222"/>
      <c r="BA194" s="222"/>
      <c r="BB194" s="222"/>
      <c r="BC194" s="222"/>
      <c r="BD194" s="222"/>
      <c r="BE194" s="222"/>
      <c r="BF194" s="222"/>
      <c r="BG194" s="222"/>
      <c r="BH194" s="222"/>
      <c r="BI194" s="222"/>
      <c r="BJ194" s="222"/>
      <c r="BK194" s="222"/>
      <c r="BL194" s="222"/>
      <c r="BM194" s="222"/>
      <c r="BN194" s="222"/>
      <c r="BO194" s="222"/>
      <c r="BP194" s="222"/>
      <c r="BQ194" s="222"/>
      <c r="BR194" s="222"/>
      <c r="BS194" s="222"/>
      <c r="BT194" s="222"/>
      <c r="BU194" s="222"/>
      <c r="BV194" s="222"/>
      <c r="BW194" s="222"/>
      <c r="BX194" s="222"/>
      <c r="BY194" s="222"/>
      <c r="BZ194" s="222"/>
      <c r="CA194" s="222"/>
      <c r="CB194" s="222"/>
      <c r="CC194" s="222"/>
      <c r="CD194" s="222"/>
      <c r="CE194" s="222"/>
      <c r="CF194" s="222"/>
      <c r="CG194" s="222"/>
      <c r="CH194" s="222"/>
      <c r="CI194" s="222"/>
      <c r="CJ194" s="222"/>
      <c r="CK194" s="222"/>
      <c r="CL194" s="222"/>
      <c r="CM194" s="222"/>
      <c r="CN194" s="222"/>
      <c r="CO194" s="222"/>
      <c r="CP194" s="222"/>
      <c r="CQ194" s="222"/>
      <c r="CR194" s="222"/>
      <c r="CS194" s="222"/>
      <c r="CT194" s="222"/>
      <c r="CU194" s="222"/>
      <c r="CV194" s="222"/>
      <c r="CW194" s="222"/>
      <c r="CX194" s="222"/>
      <c r="CY194" s="222"/>
      <c r="CZ194" s="222"/>
      <c r="DA194" s="222"/>
      <c r="DB194" s="222"/>
      <c r="DC194" s="222"/>
      <c r="DD194" s="222"/>
      <c r="DE194" s="222"/>
      <c r="DF194" s="222"/>
      <c r="DG194" s="222"/>
      <c r="DH194" s="222"/>
      <c r="DI194" s="222"/>
      <c r="DJ194" s="222"/>
      <c r="DK194" s="222"/>
      <c r="DL194" s="222"/>
      <c r="DM194" s="222"/>
      <c r="DN194" s="222"/>
      <c r="DO194" s="222"/>
      <c r="DP194" s="222"/>
      <c r="DQ194" s="222"/>
      <c r="DR194" s="222"/>
      <c r="DS194" s="222"/>
      <c r="DT194" s="222"/>
      <c r="DU194" s="222"/>
      <c r="DV194" s="222"/>
      <c r="DW194" s="325"/>
      <c r="DX194" s="325"/>
      <c r="DY194" s="325"/>
      <c r="DZ194" s="325"/>
      <c r="EA194" s="325"/>
      <c r="EB194" s="325"/>
      <c r="EC194" s="325"/>
      <c r="ED194" s="325"/>
      <c r="EE194" s="325"/>
      <c r="EF194" s="325"/>
      <c r="EG194" s="325"/>
      <c r="EH194" s="325"/>
    </row>
    <row r="195" spans="1:138" hidden="1">
      <c r="A195" s="222"/>
      <c r="B195" s="318"/>
      <c r="C195" s="313" t="s">
        <v>303</v>
      </c>
      <c r="D195" s="326">
        <f>BX186+BX187</f>
        <v>0</v>
      </c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  <c r="AB195" s="222"/>
      <c r="AC195" s="222"/>
      <c r="AD195" s="222"/>
      <c r="AE195" s="222"/>
      <c r="AF195" s="222"/>
      <c r="AG195" s="222"/>
      <c r="AH195" s="222"/>
      <c r="AI195" s="222"/>
      <c r="AJ195" s="222"/>
      <c r="AK195" s="222"/>
      <c r="AL195" s="222"/>
      <c r="AM195" s="222"/>
      <c r="AN195" s="222"/>
      <c r="AO195" s="222"/>
      <c r="AP195" s="222"/>
      <c r="AQ195" s="222"/>
      <c r="AR195" s="222"/>
      <c r="AS195" s="222"/>
      <c r="AT195" s="222"/>
      <c r="AU195" s="222"/>
      <c r="AV195" s="222"/>
      <c r="AW195" s="222"/>
      <c r="AX195" s="222"/>
      <c r="AY195" s="222"/>
      <c r="AZ195" s="222"/>
      <c r="BA195" s="222"/>
      <c r="BB195" s="222"/>
      <c r="BC195" s="222"/>
      <c r="BD195" s="222"/>
      <c r="BE195" s="222"/>
      <c r="BF195" s="222"/>
      <c r="BG195" s="222"/>
      <c r="BH195" s="222"/>
      <c r="BI195" s="222"/>
      <c r="BJ195" s="222"/>
      <c r="BK195" s="222"/>
      <c r="BL195" s="222"/>
      <c r="BM195" s="222"/>
      <c r="BN195" s="222"/>
      <c r="BO195" s="222"/>
      <c r="BP195" s="222"/>
      <c r="BQ195" s="222"/>
      <c r="BR195" s="222"/>
      <c r="BS195" s="222"/>
      <c r="BT195" s="222"/>
      <c r="BU195" s="222"/>
      <c r="BV195" s="222"/>
      <c r="BW195" s="222"/>
      <c r="BX195" s="222"/>
      <c r="BY195" s="222"/>
      <c r="BZ195" s="222"/>
      <c r="CA195" s="222"/>
      <c r="CB195" s="222"/>
      <c r="CC195" s="222"/>
      <c r="CD195" s="222"/>
      <c r="CE195" s="222"/>
      <c r="CF195" s="222"/>
      <c r="CG195" s="222"/>
      <c r="CH195" s="222"/>
      <c r="CI195" s="222"/>
      <c r="CJ195" s="222"/>
      <c r="CK195" s="222"/>
      <c r="CL195" s="222"/>
      <c r="CM195" s="222"/>
      <c r="CN195" s="222"/>
      <c r="CO195" s="222"/>
      <c r="CP195" s="222"/>
      <c r="CQ195" s="222"/>
      <c r="CR195" s="222"/>
      <c r="CS195" s="222"/>
      <c r="CT195" s="222"/>
      <c r="CU195" s="222"/>
      <c r="CV195" s="222"/>
      <c r="CW195" s="222"/>
      <c r="CX195" s="222"/>
      <c r="CY195" s="222"/>
      <c r="CZ195" s="222"/>
      <c r="DA195" s="222"/>
      <c r="DB195" s="222"/>
      <c r="DC195" s="222"/>
      <c r="DD195" s="222"/>
      <c r="DE195" s="222"/>
      <c r="DF195" s="222"/>
      <c r="DG195" s="222"/>
      <c r="DH195" s="222"/>
      <c r="DI195" s="222"/>
      <c r="DJ195" s="222"/>
      <c r="DK195" s="222"/>
      <c r="DL195" s="222"/>
      <c r="DM195" s="222"/>
      <c r="DN195" s="222"/>
      <c r="DO195" s="222"/>
      <c r="DP195" s="222"/>
      <c r="DQ195" s="222"/>
      <c r="DR195" s="222"/>
      <c r="DS195" s="222"/>
      <c r="DT195" s="222"/>
      <c r="DU195" s="222"/>
      <c r="DV195" s="222"/>
      <c r="DW195" s="325"/>
      <c r="DX195" s="325"/>
      <c r="DY195" s="325"/>
      <c r="DZ195" s="325"/>
      <c r="EA195" s="325"/>
      <c r="EB195" s="325"/>
      <c r="EC195" s="325"/>
      <c r="ED195" s="325"/>
      <c r="EE195" s="325"/>
      <c r="EF195" s="325"/>
      <c r="EG195" s="325"/>
      <c r="EH195" s="325"/>
    </row>
    <row r="196" spans="1:138" hidden="1">
      <c r="A196" s="222"/>
      <c r="B196" s="318"/>
      <c r="C196" s="313" t="s">
        <v>147</v>
      </c>
      <c r="D196" s="322">
        <f>T187/T184</f>
        <v>0.51486504310684167</v>
      </c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  <c r="AA196" s="222"/>
      <c r="AB196" s="222"/>
      <c r="AC196" s="222"/>
      <c r="AD196" s="222"/>
      <c r="AE196" s="222"/>
      <c r="AF196" s="222"/>
      <c r="AG196" s="222"/>
      <c r="AH196" s="222"/>
      <c r="AI196" s="222"/>
      <c r="AJ196" s="222"/>
      <c r="AK196" s="222"/>
      <c r="AL196" s="222"/>
      <c r="AM196" s="222"/>
      <c r="AN196" s="222"/>
      <c r="AO196" s="222"/>
      <c r="AP196" s="222"/>
      <c r="AQ196" s="222"/>
      <c r="AR196" s="222"/>
      <c r="AS196" s="222"/>
      <c r="AT196" s="222"/>
      <c r="AU196" s="222"/>
      <c r="AV196" s="222"/>
      <c r="AW196" s="222"/>
      <c r="AX196" s="222"/>
      <c r="AY196" s="222"/>
      <c r="AZ196" s="222"/>
      <c r="BA196" s="222"/>
      <c r="BB196" s="222"/>
      <c r="BC196" s="222"/>
      <c r="BD196" s="222"/>
      <c r="BE196" s="222"/>
      <c r="BF196" s="222"/>
      <c r="BG196" s="222"/>
      <c r="BH196" s="222"/>
      <c r="BI196" s="222"/>
      <c r="BJ196" s="222"/>
      <c r="BK196" s="222"/>
      <c r="BL196" s="222"/>
      <c r="BM196" s="222"/>
      <c r="BN196" s="222"/>
      <c r="BO196" s="222"/>
      <c r="BP196" s="222"/>
      <c r="BQ196" s="222"/>
      <c r="BR196" s="222"/>
      <c r="BS196" s="222"/>
      <c r="BT196" s="222"/>
      <c r="BU196" s="222"/>
      <c r="BV196" s="222"/>
      <c r="BW196" s="222"/>
      <c r="BX196" s="222"/>
      <c r="BY196" s="222"/>
      <c r="BZ196" s="222"/>
      <c r="CA196" s="222"/>
      <c r="CB196" s="222"/>
      <c r="CC196" s="222"/>
      <c r="CD196" s="222"/>
      <c r="CE196" s="222"/>
      <c r="CF196" s="222"/>
      <c r="CG196" s="222"/>
      <c r="CH196" s="222"/>
      <c r="CI196" s="222"/>
      <c r="CJ196" s="222"/>
      <c r="CK196" s="222"/>
      <c r="CL196" s="222"/>
      <c r="CM196" s="222"/>
      <c r="CN196" s="222"/>
      <c r="CO196" s="222"/>
      <c r="CP196" s="222"/>
      <c r="CQ196" s="222"/>
      <c r="CR196" s="222"/>
      <c r="CS196" s="222"/>
      <c r="CT196" s="222"/>
      <c r="CU196" s="222"/>
      <c r="CV196" s="222"/>
      <c r="CW196" s="222"/>
      <c r="CX196" s="222"/>
      <c r="CY196" s="222"/>
      <c r="CZ196" s="222"/>
      <c r="DA196" s="222"/>
      <c r="DB196" s="222"/>
      <c r="DC196" s="222"/>
      <c r="DD196" s="222"/>
      <c r="DE196" s="222"/>
      <c r="DF196" s="222"/>
      <c r="DG196" s="222"/>
      <c r="DH196" s="222"/>
      <c r="DI196" s="222"/>
      <c r="DJ196" s="222"/>
      <c r="DK196" s="222"/>
      <c r="DL196" s="222"/>
      <c r="DM196" s="222"/>
      <c r="DN196" s="222"/>
      <c r="DO196" s="222"/>
      <c r="DP196" s="222"/>
      <c r="DQ196" s="222"/>
      <c r="DR196" s="222"/>
      <c r="DS196" s="222"/>
      <c r="DT196" s="222"/>
      <c r="DU196" s="222"/>
      <c r="DV196" s="222"/>
      <c r="DW196" s="325"/>
      <c r="DX196" s="325"/>
      <c r="DY196" s="325"/>
      <c r="DZ196" s="325"/>
      <c r="EA196" s="325"/>
      <c r="EB196" s="325"/>
      <c r="EC196" s="325"/>
      <c r="ED196" s="325"/>
      <c r="EE196" s="325"/>
      <c r="EF196" s="325"/>
      <c r="EG196" s="325"/>
      <c r="EH196" s="325"/>
    </row>
    <row r="197" spans="1:138" hidden="1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222"/>
      <c r="AF197" s="222"/>
      <c r="AG197" s="222"/>
      <c r="AH197" s="222"/>
      <c r="AI197" s="222"/>
      <c r="AJ197" s="222"/>
      <c r="AK197" s="222"/>
      <c r="AL197" s="222"/>
      <c r="AM197" s="222"/>
      <c r="AN197" s="222"/>
      <c r="AO197" s="222"/>
      <c r="AP197" s="222"/>
      <c r="AQ197" s="222"/>
      <c r="AR197" s="222"/>
      <c r="AS197" s="222"/>
      <c r="AT197" s="222"/>
      <c r="AU197" s="222"/>
      <c r="AV197" s="222"/>
      <c r="AW197" s="222"/>
      <c r="AX197" s="222"/>
      <c r="AY197" s="222"/>
      <c r="AZ197" s="222"/>
      <c r="BA197" s="222"/>
      <c r="BB197" s="222"/>
      <c r="BC197" s="222"/>
      <c r="BD197" s="222"/>
      <c r="BE197" s="222"/>
      <c r="BF197" s="222"/>
      <c r="BG197" s="222"/>
      <c r="BH197" s="222"/>
      <c r="BI197" s="222"/>
      <c r="BJ197" s="222"/>
      <c r="BK197" s="222"/>
      <c r="BL197" s="222"/>
      <c r="BM197" s="222"/>
      <c r="BN197" s="222"/>
      <c r="BO197" s="222"/>
      <c r="BP197" s="222"/>
      <c r="BQ197" s="222"/>
      <c r="BR197" s="222"/>
      <c r="BS197" s="222"/>
      <c r="BT197" s="222"/>
      <c r="BU197" s="222"/>
      <c r="BV197" s="222"/>
      <c r="BW197" s="222"/>
      <c r="BX197" s="222"/>
      <c r="BY197" s="222"/>
      <c r="BZ197" s="238"/>
      <c r="CA197" s="222"/>
      <c r="CB197" s="222"/>
      <c r="CC197" s="222"/>
      <c r="CD197" s="222"/>
      <c r="CE197" s="222"/>
      <c r="CF197" s="222"/>
      <c r="CG197" s="222"/>
      <c r="CH197" s="222"/>
      <c r="CI197" s="222"/>
      <c r="CJ197" s="222"/>
      <c r="CK197" s="222"/>
      <c r="CL197" s="222"/>
      <c r="CM197" s="222"/>
      <c r="CN197" s="222"/>
      <c r="CO197" s="222"/>
      <c r="CP197" s="222"/>
      <c r="CQ197" s="222"/>
      <c r="CR197" s="222"/>
      <c r="CS197" s="222"/>
      <c r="CT197" s="222"/>
      <c r="CU197" s="222"/>
      <c r="CV197" s="222"/>
      <c r="CW197" s="222"/>
      <c r="CX197" s="222"/>
      <c r="CY197" s="222"/>
      <c r="CZ197" s="222"/>
      <c r="DA197" s="222"/>
      <c r="DB197" s="222"/>
      <c r="DC197" s="222"/>
      <c r="DD197" s="222"/>
      <c r="DE197" s="222"/>
      <c r="DF197" s="222"/>
      <c r="DG197" s="222"/>
      <c r="DH197" s="222"/>
      <c r="DI197" s="222"/>
      <c r="DJ197" s="222"/>
      <c r="DK197" s="222"/>
      <c r="DL197" s="222"/>
      <c r="DM197" s="222"/>
      <c r="DN197" s="222"/>
      <c r="DO197" s="222"/>
      <c r="DP197" s="222"/>
      <c r="DQ197" s="222"/>
      <c r="DR197" s="222"/>
      <c r="DS197" s="222"/>
      <c r="DT197" s="222"/>
      <c r="DU197" s="222"/>
      <c r="DV197" s="222"/>
      <c r="DW197" s="325"/>
      <c r="DX197" s="325"/>
      <c r="DY197" s="325"/>
      <c r="DZ197" s="325"/>
      <c r="EA197" s="325"/>
      <c r="EB197" s="325"/>
      <c r="EC197" s="325"/>
      <c r="ED197" s="325"/>
      <c r="EE197" s="325"/>
      <c r="EF197" s="325"/>
      <c r="EG197" s="325"/>
      <c r="EH197" s="325"/>
    </row>
    <row r="198" spans="1:138" ht="14.1" hidden="1"/>
    <row r="199" spans="1:138" ht="14.1" hidden="1"/>
    <row r="200" spans="1:138" ht="14.1" hidden="1"/>
    <row r="201" spans="1:138" ht="14.1" hidden="1"/>
    <row r="202" spans="1:138" ht="14.1" hidden="1"/>
    <row r="203" spans="1:138" hidden="1">
      <c r="S203" s="329">
        <v>700000</v>
      </c>
      <c r="T203" s="330">
        <v>1000000</v>
      </c>
      <c r="U203" s="329">
        <v>5300000</v>
      </c>
      <c r="V203" s="329">
        <v>4750000</v>
      </c>
      <c r="W203" s="329">
        <v>1250000</v>
      </c>
    </row>
    <row r="204" spans="1:138" ht="14.1" hidden="1"/>
    <row r="205" spans="1:138" ht="14.1" hidden="1">
      <c r="S205" s="25">
        <f t="shared" ref="S205:W205" si="107">S203*0.8</f>
        <v>560000</v>
      </c>
      <c r="T205" s="25">
        <f t="shared" si="107"/>
        <v>800000</v>
      </c>
      <c r="U205" s="25">
        <f t="shared" si="107"/>
        <v>4240000</v>
      </c>
      <c r="V205" s="25">
        <f t="shared" si="107"/>
        <v>3800000</v>
      </c>
      <c r="W205" s="25">
        <f t="shared" si="107"/>
        <v>1000000</v>
      </c>
    </row>
    <row r="206" spans="1:138" ht="14.1" hidden="1"/>
    <row r="207" spans="1:138" ht="14.1" hidden="1"/>
    <row r="208" spans="1:138" ht="14.1" hidden="1"/>
    <row r="209" ht="14.1" hidden="1"/>
    <row r="210" ht="14.1" hidden="1"/>
    <row r="211" ht="14.1" hidden="1"/>
    <row r="212" ht="14.1" hidden="1"/>
    <row r="213" ht="14.1" hidden="1"/>
    <row r="214" ht="14.1" hidden="1"/>
  </sheetData>
  <mergeCells count="34">
    <mergeCell ref="S129:T129"/>
    <mergeCell ref="B2:C4"/>
    <mergeCell ref="B5:B8"/>
    <mergeCell ref="B9:B11"/>
    <mergeCell ref="B12:B15"/>
    <mergeCell ref="B16:C16"/>
    <mergeCell ref="B17:B97"/>
    <mergeCell ref="B98:C98"/>
    <mergeCell ref="B100:C100"/>
    <mergeCell ref="B101:C101"/>
    <mergeCell ref="D111:E111"/>
    <mergeCell ref="D114:BW114"/>
    <mergeCell ref="S128:T128"/>
    <mergeCell ref="BM2:BX2"/>
    <mergeCell ref="E2:P2"/>
    <mergeCell ref="Q2:AB2"/>
    <mergeCell ref="BY90:BZ90"/>
    <mergeCell ref="BZ91:BZ97"/>
    <mergeCell ref="BY98:BZ98"/>
    <mergeCell ref="BY100:BZ100"/>
    <mergeCell ref="BZ5:BZ8"/>
    <mergeCell ref="BZ9:BZ11"/>
    <mergeCell ref="BY16:BZ16"/>
    <mergeCell ref="BZ17:BZ89"/>
    <mergeCell ref="CC17:CC89"/>
    <mergeCell ref="CC5:CC8"/>
    <mergeCell ref="CC9:CC11"/>
    <mergeCell ref="CC12:CC15"/>
    <mergeCell ref="CB16:CC16"/>
    <mergeCell ref="AC2:AN2"/>
    <mergeCell ref="AO2:AZ2"/>
    <mergeCell ref="BA2:BL2"/>
    <mergeCell ref="BY2:BZ4"/>
    <mergeCell ref="BZ12:BZ15"/>
  </mergeCells>
  <conditionalFormatting sqref="E17:BX17 E23:BX23 E26:BX26 E34:BX34 E37:BX37 E49:BX49 E55:BX55 E63:BX63 E87:BX87 E90:BX90">
    <cfRule type="cellIs" dxfId="31" priority="1" operator="equal">
      <formula>0</formula>
    </cfRule>
  </conditionalFormatting>
  <conditionalFormatting sqref="F119:BS122 E120 BT120:BX120 E122 BT122:BX122 E136 F136:BX139 E138 E154:BX154 E168 M168:BX168 F168:L171 E170 M170:BX170 M184:T184 H184:L187 E186:G186 M186:BX186">
    <cfRule type="cellIs" dxfId="30" priority="2" operator="equal">
      <formula>0</formula>
    </cfRule>
  </conditionalFormatting>
  <conditionalFormatting sqref="AA103:AA104">
    <cfRule type="containsText" dxfId="29" priority="3" operator="containsText" text="OK">
      <formula>NOT(ISERROR(SEARCH(("OK"),(AA103))))</formula>
    </cfRule>
    <cfRule type="containsText" dxfId="28" priority="4" operator="containsText" text="FALSE">
      <formula>NOT(ISERROR(SEARCH(("FALSE"),(AA103))))</formula>
    </cfRule>
  </conditionalFormatting>
  <dataValidations count="1">
    <dataValidation type="list" allowBlank="1" showErrorMessage="1" sqref="CB4" xr:uid="{00000000-0002-0000-0600-000000000000}">
      <formula1>$D$3:$BX$3</formula1>
    </dataValidation>
  </dataValidations>
  <pageMargins left="0" right="0" top="0" bottom="0" header="0" footer="0"/>
  <ignoredErrors>
    <ignoredError sqref="V101" formula="1"/>
  </ignoredError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B2:T79"/>
  <sheetViews>
    <sheetView workbookViewId="0"/>
  </sheetViews>
  <sheetFormatPr defaultColWidth="12.625" defaultRowHeight="15" customHeight="1"/>
  <cols>
    <col min="12" max="20" width="12.625" hidden="1"/>
  </cols>
  <sheetData>
    <row r="2" spans="2:20" ht="14.1">
      <c r="B2" s="575" t="s">
        <v>310</v>
      </c>
      <c r="C2" s="588"/>
      <c r="D2" s="588"/>
      <c r="E2" s="588"/>
      <c r="G2" s="575" t="s">
        <v>311</v>
      </c>
      <c r="H2" s="588"/>
      <c r="I2" s="588"/>
      <c r="J2" s="588"/>
      <c r="L2" s="575" t="s">
        <v>312</v>
      </c>
      <c r="M2" s="588"/>
      <c r="N2" s="588"/>
      <c r="O2" s="588"/>
      <c r="Q2" s="575" t="s">
        <v>313</v>
      </c>
      <c r="R2" s="588"/>
      <c r="S2" s="588"/>
      <c r="T2" s="588"/>
    </row>
    <row r="3" spans="2:20" ht="15" customHeight="1">
      <c r="B3" s="588"/>
      <c r="C3" s="588"/>
      <c r="D3" s="588"/>
      <c r="E3" s="588"/>
      <c r="G3" s="588"/>
      <c r="H3" s="588"/>
      <c r="I3" s="588"/>
      <c r="J3" s="588"/>
      <c r="L3" s="588"/>
      <c r="M3" s="588"/>
      <c r="N3" s="588"/>
      <c r="O3" s="588"/>
      <c r="Q3" s="588"/>
      <c r="R3" s="588"/>
      <c r="S3" s="588"/>
      <c r="T3" s="588"/>
    </row>
    <row r="7" spans="2:20" ht="14.1">
      <c r="B7" s="336" t="s">
        <v>314</v>
      </c>
      <c r="C7" s="337" t="s">
        <v>315</v>
      </c>
      <c r="D7" s="338" t="s">
        <v>279</v>
      </c>
      <c r="E7" s="339" t="s">
        <v>316</v>
      </c>
      <c r="G7" s="336" t="s">
        <v>314</v>
      </c>
      <c r="H7" s="337" t="s">
        <v>315</v>
      </c>
      <c r="I7" s="338" t="s">
        <v>279</v>
      </c>
      <c r="J7" s="339" t="s">
        <v>316</v>
      </c>
      <c r="L7" s="336" t="s">
        <v>314</v>
      </c>
      <c r="M7" s="337" t="s">
        <v>315</v>
      </c>
      <c r="N7" s="338" t="s">
        <v>279</v>
      </c>
      <c r="O7" s="339" t="s">
        <v>316</v>
      </c>
      <c r="Q7" s="336" t="s">
        <v>314</v>
      </c>
      <c r="R7" s="337" t="s">
        <v>315</v>
      </c>
      <c r="S7" s="338" t="s">
        <v>279</v>
      </c>
      <c r="T7" s="339" t="s">
        <v>316</v>
      </c>
    </row>
    <row r="8" spans="2:20" ht="14.1">
      <c r="B8" s="340">
        <v>45292</v>
      </c>
      <c r="C8" s="341">
        <f t="array" ref="C8:C79">TRANSPOSE('Cash-flow PLAN'!E110:BX110)</f>
        <v>0</v>
      </c>
      <c r="D8" s="342">
        <f>0-C8</f>
        <v>0</v>
      </c>
      <c r="E8" s="343">
        <f>D8*'Cash-flow PLAN'!$D$54/12</f>
        <v>0</v>
      </c>
      <c r="G8" s="340">
        <v>45292</v>
      </c>
      <c r="H8" s="344">
        <f t="array" ref="H8:H79">TRANSPOSE(' Cash-flow'!E118:BX118)</f>
        <v>0</v>
      </c>
      <c r="I8" s="342">
        <f>0-H8</f>
        <v>0</v>
      </c>
      <c r="J8" s="343">
        <f>I8*'Cash-flow PLAN'!$D$55/12</f>
        <v>0</v>
      </c>
      <c r="L8" s="340">
        <v>45292</v>
      </c>
      <c r="M8" s="344">
        <f t="array" ref="M8:M79">TRANSPOSE('Cash-flow PLAN'!E142:BX142)</f>
        <v>0</v>
      </c>
      <c r="N8" s="342">
        <f>0-M8</f>
        <v>0</v>
      </c>
      <c r="O8" s="343">
        <f>N8*'Cash-flow PLAN'!$D$56/12</f>
        <v>0</v>
      </c>
      <c r="Q8" s="340">
        <v>45292</v>
      </c>
      <c r="R8" s="341">
        <f t="array" ref="R8:R79">TRANSPOSE('Cash-flow PLAN'!E159:BX159)</f>
        <v>0</v>
      </c>
      <c r="S8" s="342">
        <f>0-R8</f>
        <v>0</v>
      </c>
      <c r="T8" s="343">
        <f>S8*'Cash-flow PLAN'!$D$57/12</f>
        <v>0</v>
      </c>
    </row>
    <row r="9" spans="2:20" ht="14.1">
      <c r="B9" s="345">
        <v>45323</v>
      </c>
      <c r="C9" s="341">
        <v>0</v>
      </c>
      <c r="D9" s="342">
        <f t="shared" ref="D9:D78" si="0">D8-C9</f>
        <v>0</v>
      </c>
      <c r="E9" s="343">
        <f>D9*'Cash-flow PLAN'!$D$54/12</f>
        <v>0</v>
      </c>
      <c r="G9" s="345">
        <v>45323</v>
      </c>
      <c r="H9" s="341">
        <v>0</v>
      </c>
      <c r="I9" s="342">
        <f t="shared" ref="I9:I78" si="1">I8-H9</f>
        <v>0</v>
      </c>
      <c r="J9" s="343">
        <f>I9*'Cash-flow PLAN'!$D$55/12</f>
        <v>0</v>
      </c>
      <c r="L9" s="345">
        <v>45323</v>
      </c>
      <c r="M9" s="341">
        <v>0</v>
      </c>
      <c r="N9" s="342">
        <f t="shared" ref="N9:N78" si="2">N8-M9</f>
        <v>0</v>
      </c>
      <c r="O9" s="343">
        <f>N9*'Cash-flow PLAN'!$D$56/12</f>
        <v>0</v>
      </c>
      <c r="Q9" s="345">
        <v>45323</v>
      </c>
      <c r="R9" s="341">
        <v>0</v>
      </c>
      <c r="S9" s="342">
        <f t="shared" ref="S9:S78" si="3">S8-R9</f>
        <v>0</v>
      </c>
      <c r="T9" s="343">
        <f>S9*'Cash-flow PLAN'!$D$57/12</f>
        <v>0</v>
      </c>
    </row>
    <row r="10" spans="2:20" ht="14.1">
      <c r="B10" s="345">
        <v>45352</v>
      </c>
      <c r="C10" s="341">
        <v>0</v>
      </c>
      <c r="D10" s="342">
        <f t="shared" si="0"/>
        <v>0</v>
      </c>
      <c r="E10" s="343">
        <f>D10*'Cash-flow PLAN'!$D$54/12</f>
        <v>0</v>
      </c>
      <c r="G10" s="345">
        <v>45352</v>
      </c>
      <c r="H10" s="341">
        <v>0</v>
      </c>
      <c r="I10" s="342">
        <f t="shared" si="1"/>
        <v>0</v>
      </c>
      <c r="J10" s="343">
        <f>I10*'Cash-flow PLAN'!$D$55/12</f>
        <v>0</v>
      </c>
      <c r="L10" s="345">
        <v>45352</v>
      </c>
      <c r="M10" s="341">
        <v>0</v>
      </c>
      <c r="N10" s="342">
        <f t="shared" si="2"/>
        <v>0</v>
      </c>
      <c r="O10" s="343">
        <f>N10*'Cash-flow PLAN'!$D$56/12</f>
        <v>0</v>
      </c>
      <c r="Q10" s="345">
        <v>45352</v>
      </c>
      <c r="R10" s="341">
        <v>0</v>
      </c>
      <c r="S10" s="342">
        <f t="shared" si="3"/>
        <v>0</v>
      </c>
      <c r="T10" s="343">
        <f>S10*'Cash-flow PLAN'!$D$57/12</f>
        <v>0</v>
      </c>
    </row>
    <row r="11" spans="2:20" ht="14.1">
      <c r="B11" s="345">
        <v>45383</v>
      </c>
      <c r="C11" s="341">
        <v>-16365002</v>
      </c>
      <c r="D11" s="342">
        <f t="shared" si="0"/>
        <v>16365002</v>
      </c>
      <c r="E11" s="343">
        <f>D11*'Cash-flow PLAN'!$D$54/12</f>
        <v>143193.76749999999</v>
      </c>
      <c r="G11" s="345">
        <v>45383</v>
      </c>
      <c r="H11" s="341">
        <v>0</v>
      </c>
      <c r="I11" s="342">
        <f t="shared" si="1"/>
        <v>0</v>
      </c>
      <c r="J11" s="343">
        <f>I11*'Cash-flow PLAN'!$D$55/12</f>
        <v>0</v>
      </c>
      <c r="L11" s="345">
        <v>45383</v>
      </c>
      <c r="M11" s="341">
        <v>-10682501</v>
      </c>
      <c r="N11" s="342">
        <f t="shared" si="2"/>
        <v>10682501</v>
      </c>
      <c r="O11" s="343">
        <f>N11*'Cash-flow PLAN'!$D$56/12</f>
        <v>93471.883749999994</v>
      </c>
      <c r="Q11" s="345">
        <v>45383</v>
      </c>
      <c r="R11" s="341">
        <v>0</v>
      </c>
      <c r="S11" s="342">
        <f t="shared" si="3"/>
        <v>0</v>
      </c>
      <c r="T11" s="343">
        <f>S11*'Cash-flow PLAN'!$D$57/12</f>
        <v>0</v>
      </c>
    </row>
    <row r="12" spans="2:20" ht="14.1">
      <c r="B12" s="345">
        <v>45413</v>
      </c>
      <c r="C12" s="341">
        <v>-1000000</v>
      </c>
      <c r="D12" s="342">
        <f t="shared" si="0"/>
        <v>17365002</v>
      </c>
      <c r="E12" s="343">
        <f>D12*'Cash-flow PLAN'!$D$54/12</f>
        <v>151943.76749999999</v>
      </c>
      <c r="G12" s="345">
        <v>45413</v>
      </c>
      <c r="H12" s="341">
        <v>0</v>
      </c>
      <c r="I12" s="342">
        <f t="shared" si="1"/>
        <v>0</v>
      </c>
      <c r="J12" s="343">
        <f>I12*'Cash-flow PLAN'!$D$55/12</f>
        <v>0</v>
      </c>
      <c r="L12" s="345">
        <v>45413</v>
      </c>
      <c r="M12" s="341">
        <v>0</v>
      </c>
      <c r="N12" s="342">
        <f t="shared" si="2"/>
        <v>10682501</v>
      </c>
      <c r="O12" s="343">
        <f>N12*'Cash-flow PLAN'!$D$56/12</f>
        <v>93471.883749999994</v>
      </c>
      <c r="Q12" s="345">
        <v>45413</v>
      </c>
      <c r="R12" s="341">
        <v>0</v>
      </c>
      <c r="S12" s="342">
        <f t="shared" si="3"/>
        <v>0</v>
      </c>
      <c r="T12" s="343">
        <f>S12*'Cash-flow PLAN'!$D$57/12</f>
        <v>0</v>
      </c>
    </row>
    <row r="13" spans="2:20" ht="14.1">
      <c r="B13" s="346">
        <v>45444</v>
      </c>
      <c r="C13" s="341">
        <v>0</v>
      </c>
      <c r="D13" s="342">
        <f t="shared" si="0"/>
        <v>17365002</v>
      </c>
      <c r="E13" s="343">
        <f>D13*'Cash-flow PLAN'!$D$54/12</f>
        <v>151943.76749999999</v>
      </c>
      <c r="G13" s="346">
        <v>45444</v>
      </c>
      <c r="H13" s="341">
        <v>0</v>
      </c>
      <c r="I13" s="342">
        <f t="shared" si="1"/>
        <v>0</v>
      </c>
      <c r="J13" s="343">
        <f>I13*'Cash-flow PLAN'!$D$55/12</f>
        <v>0</v>
      </c>
      <c r="L13" s="346">
        <v>45444</v>
      </c>
      <c r="M13" s="341">
        <v>0</v>
      </c>
      <c r="N13" s="342">
        <f t="shared" si="2"/>
        <v>10682501</v>
      </c>
      <c r="O13" s="343">
        <f>N13*'Cash-flow PLAN'!$D$56/12</f>
        <v>93471.883749999994</v>
      </c>
      <c r="Q13" s="346">
        <v>45444</v>
      </c>
      <c r="R13" s="341">
        <v>0</v>
      </c>
      <c r="S13" s="342">
        <f t="shared" si="3"/>
        <v>0</v>
      </c>
      <c r="T13" s="343">
        <f>S13*'Cash-flow PLAN'!$D$57/12</f>
        <v>0</v>
      </c>
    </row>
    <row r="14" spans="2:20" ht="14.1">
      <c r="B14" s="345">
        <v>45474</v>
      </c>
      <c r="C14" s="341">
        <v>0</v>
      </c>
      <c r="D14" s="342">
        <f t="shared" si="0"/>
        <v>17365002</v>
      </c>
      <c r="E14" s="343">
        <f>D14*'Cash-flow PLAN'!$D$54/12</f>
        <v>151943.76749999999</v>
      </c>
      <c r="G14" s="345">
        <v>45474</v>
      </c>
      <c r="H14" s="341">
        <v>-885000</v>
      </c>
      <c r="I14" s="342">
        <f t="shared" si="1"/>
        <v>885000</v>
      </c>
      <c r="J14" s="343">
        <f>I14*' Cash-flow'!$D$57/12</f>
        <v>8112.5</v>
      </c>
      <c r="L14" s="345">
        <v>45474</v>
      </c>
      <c r="M14" s="341">
        <v>0</v>
      </c>
      <c r="N14" s="342">
        <f t="shared" si="2"/>
        <v>10682501</v>
      </c>
      <c r="O14" s="343">
        <f>N14*'Cash-flow PLAN'!$D$56/12</f>
        <v>93471.883749999994</v>
      </c>
      <c r="Q14" s="345">
        <v>45474</v>
      </c>
      <c r="R14" s="341">
        <v>0</v>
      </c>
      <c r="S14" s="342">
        <f t="shared" si="3"/>
        <v>0</v>
      </c>
      <c r="T14" s="343">
        <f>S14*'Cash-flow PLAN'!$D$57/12</f>
        <v>0</v>
      </c>
    </row>
    <row r="15" spans="2:20" ht="14.1">
      <c r="B15" s="345">
        <v>45505</v>
      </c>
      <c r="C15" s="341">
        <v>0</v>
      </c>
      <c r="D15" s="342">
        <f t="shared" si="0"/>
        <v>17365002</v>
      </c>
      <c r="E15" s="343">
        <f>D15*'Cash-flow PLAN'!$D$54/12</f>
        <v>151943.76749999999</v>
      </c>
      <c r="G15" s="345">
        <v>45505</v>
      </c>
      <c r="H15" s="341">
        <v>-1940000</v>
      </c>
      <c r="I15" s="342">
        <f t="shared" si="1"/>
        <v>2825000</v>
      </c>
      <c r="J15" s="343">
        <f>I15*' Cash-flow'!$D$57/12</f>
        <v>25895.833333333332</v>
      </c>
      <c r="L15" s="345">
        <v>45505</v>
      </c>
      <c r="M15" s="341">
        <v>0</v>
      </c>
      <c r="N15" s="342">
        <f t="shared" si="2"/>
        <v>10682501</v>
      </c>
      <c r="O15" s="343">
        <f>N15*'Cash-flow PLAN'!$D$56/12</f>
        <v>93471.883749999994</v>
      </c>
      <c r="Q15" s="345">
        <v>45505</v>
      </c>
      <c r="R15" s="341">
        <v>0</v>
      </c>
      <c r="S15" s="342">
        <f t="shared" si="3"/>
        <v>0</v>
      </c>
      <c r="T15" s="343">
        <f>S15*'Cash-flow PLAN'!$D$57/12</f>
        <v>0</v>
      </c>
    </row>
    <row r="16" spans="2:20" ht="14.1">
      <c r="B16" s="345">
        <v>45536</v>
      </c>
      <c r="C16" s="341">
        <v>0</v>
      </c>
      <c r="D16" s="342">
        <f t="shared" si="0"/>
        <v>17365002</v>
      </c>
      <c r="E16" s="343">
        <f>D16*'Cash-flow PLAN'!$D$54/12</f>
        <v>151943.76749999999</v>
      </c>
      <c r="G16" s="345">
        <v>45536</v>
      </c>
      <c r="H16" s="341">
        <v>-4260000</v>
      </c>
      <c r="I16" s="342">
        <f t="shared" si="1"/>
        <v>7085000</v>
      </c>
      <c r="J16" s="343">
        <f>I16*' Cash-flow'!$D$57/12</f>
        <v>64945.833333333336</v>
      </c>
      <c r="L16" s="345">
        <v>45536</v>
      </c>
      <c r="M16" s="341">
        <v>0</v>
      </c>
      <c r="N16" s="342">
        <f t="shared" si="2"/>
        <v>10682501</v>
      </c>
      <c r="O16" s="343">
        <f>N16*'Cash-flow PLAN'!$D$56/12</f>
        <v>93471.883749999994</v>
      </c>
      <c r="Q16" s="345">
        <v>45536</v>
      </c>
      <c r="R16" s="341">
        <v>0</v>
      </c>
      <c r="S16" s="342">
        <f t="shared" si="3"/>
        <v>0</v>
      </c>
      <c r="T16" s="343">
        <f>S16*'Cash-flow PLAN'!$D$57/12</f>
        <v>0</v>
      </c>
    </row>
    <row r="17" spans="2:20" ht="14.1">
      <c r="B17" s="345">
        <v>45566</v>
      </c>
      <c r="C17" s="341">
        <v>0</v>
      </c>
      <c r="D17" s="342">
        <f t="shared" si="0"/>
        <v>17365002</v>
      </c>
      <c r="E17" s="343">
        <f>D17*'Cash-flow PLAN'!$D$54/12</f>
        <v>151943.76749999999</v>
      </c>
      <c r="G17" s="345">
        <v>45566</v>
      </c>
      <c r="H17" s="341">
        <v>0</v>
      </c>
      <c r="I17" s="342">
        <f t="shared" si="1"/>
        <v>7085000</v>
      </c>
      <c r="J17" s="343">
        <f>I17*' Cash-flow'!$D$57/12</f>
        <v>64945.833333333336</v>
      </c>
      <c r="L17" s="345">
        <v>45566</v>
      </c>
      <c r="M17" s="341">
        <v>0</v>
      </c>
      <c r="N17" s="342">
        <f t="shared" si="2"/>
        <v>10682501</v>
      </c>
      <c r="O17" s="343">
        <f>N17*'Cash-flow PLAN'!$D$56/12</f>
        <v>93471.883749999994</v>
      </c>
      <c r="Q17" s="345">
        <v>45566</v>
      </c>
      <c r="R17" s="341">
        <v>0</v>
      </c>
      <c r="S17" s="342">
        <f t="shared" si="3"/>
        <v>0</v>
      </c>
      <c r="T17" s="343">
        <f>S17*'Cash-flow PLAN'!$D$57/12</f>
        <v>0</v>
      </c>
    </row>
    <row r="18" spans="2:20" ht="14.1">
      <c r="B18" s="345">
        <v>45597</v>
      </c>
      <c r="C18" s="341">
        <v>-3000000</v>
      </c>
      <c r="D18" s="342">
        <f t="shared" si="0"/>
        <v>20365002</v>
      </c>
      <c r="E18" s="343">
        <f>D18*'Cash-flow PLAN'!$D$54/12</f>
        <v>178193.76749999999</v>
      </c>
      <c r="G18" s="345">
        <v>45597</v>
      </c>
      <c r="H18" s="341">
        <v>-320000</v>
      </c>
      <c r="I18" s="342">
        <f t="shared" si="1"/>
        <v>7405000</v>
      </c>
      <c r="J18" s="343">
        <f>I18*' Cash-flow'!$D$57/12</f>
        <v>67879.166666666672</v>
      </c>
      <c r="L18" s="345">
        <v>45597</v>
      </c>
      <c r="M18" s="341">
        <v>0</v>
      </c>
      <c r="N18" s="342">
        <f t="shared" si="2"/>
        <v>10682501</v>
      </c>
      <c r="O18" s="343">
        <f>N18*'Cash-flow PLAN'!$D$56/12</f>
        <v>93471.883749999994</v>
      </c>
      <c r="Q18" s="345">
        <v>45597</v>
      </c>
      <c r="R18" s="341">
        <v>0</v>
      </c>
      <c r="S18" s="342">
        <f t="shared" si="3"/>
        <v>0</v>
      </c>
      <c r="T18" s="343">
        <f>S18*'Cash-flow PLAN'!$D$57/12</f>
        <v>0</v>
      </c>
    </row>
    <row r="19" spans="2:20" ht="14.1">
      <c r="B19" s="345">
        <v>45627</v>
      </c>
      <c r="C19" s="341">
        <v>-2100000</v>
      </c>
      <c r="D19" s="342">
        <f t="shared" si="0"/>
        <v>22465002</v>
      </c>
      <c r="E19" s="343">
        <f>D19*'Cash-flow PLAN'!$D$54/12</f>
        <v>196568.76749999999</v>
      </c>
      <c r="G19" s="345">
        <v>45627</v>
      </c>
      <c r="H19" s="341">
        <v>-320000</v>
      </c>
      <c r="I19" s="342">
        <f t="shared" si="1"/>
        <v>7725000</v>
      </c>
      <c r="J19" s="343">
        <f>I19*' Cash-flow'!$D$57/12</f>
        <v>70812.5</v>
      </c>
      <c r="L19" s="345">
        <v>45627</v>
      </c>
      <c r="M19" s="341">
        <v>0</v>
      </c>
      <c r="N19" s="342">
        <f t="shared" si="2"/>
        <v>10682501</v>
      </c>
      <c r="O19" s="343">
        <f>N19*'Cash-flow PLAN'!$D$56/12</f>
        <v>93471.883749999994</v>
      </c>
      <c r="Q19" s="345">
        <v>45627</v>
      </c>
      <c r="R19" s="341">
        <v>0</v>
      </c>
      <c r="S19" s="342">
        <f t="shared" si="3"/>
        <v>0</v>
      </c>
      <c r="T19" s="343">
        <f>S19*'Cash-flow PLAN'!$D$57/12</f>
        <v>0</v>
      </c>
    </row>
    <row r="20" spans="2:20" ht="14.1">
      <c r="B20" s="340">
        <v>45658</v>
      </c>
      <c r="C20" s="341">
        <v>0</v>
      </c>
      <c r="D20" s="342">
        <f t="shared" si="0"/>
        <v>22465002</v>
      </c>
      <c r="E20" s="343">
        <f>D20*'Cash-flow PLAN'!$D$54/12</f>
        <v>196568.76749999999</v>
      </c>
      <c r="G20" s="340">
        <v>45658</v>
      </c>
      <c r="H20" s="341">
        <v>0</v>
      </c>
      <c r="I20" s="342">
        <f t="shared" si="1"/>
        <v>7725000</v>
      </c>
      <c r="J20" s="343">
        <f>I20*' Cash-flow'!$D$57/12</f>
        <v>70812.5</v>
      </c>
      <c r="L20" s="340">
        <v>45658</v>
      </c>
      <c r="M20" s="341">
        <v>0</v>
      </c>
      <c r="N20" s="342">
        <f t="shared" si="2"/>
        <v>10682501</v>
      </c>
      <c r="O20" s="343">
        <f>N20*'Cash-flow PLAN'!$D$56/12</f>
        <v>93471.883749999994</v>
      </c>
      <c r="Q20" s="340">
        <v>45658</v>
      </c>
      <c r="R20" s="341">
        <v>0</v>
      </c>
      <c r="S20" s="342">
        <f t="shared" si="3"/>
        <v>0</v>
      </c>
      <c r="T20" s="343">
        <f>S20*'Cash-flow PLAN'!$D$57/12</f>
        <v>0</v>
      </c>
    </row>
    <row r="21" spans="2:20" ht="14.1">
      <c r="B21" s="345">
        <v>45689</v>
      </c>
      <c r="C21" s="341">
        <v>0</v>
      </c>
      <c r="D21" s="342">
        <f t="shared" si="0"/>
        <v>22465002</v>
      </c>
      <c r="E21" s="343">
        <f>D21*'Cash-flow PLAN'!$D$54/12</f>
        <v>196568.76749999999</v>
      </c>
      <c r="G21" s="345">
        <v>45689</v>
      </c>
      <c r="H21" s="341">
        <v>-670000</v>
      </c>
      <c r="I21" s="342">
        <f t="shared" si="1"/>
        <v>8395000</v>
      </c>
      <c r="J21" s="343">
        <f>I21*' Cash-flow'!$D$57/12</f>
        <v>76954.166666666672</v>
      </c>
      <c r="L21" s="345">
        <v>45689</v>
      </c>
      <c r="M21" s="341">
        <v>0</v>
      </c>
      <c r="N21" s="342">
        <f t="shared" si="2"/>
        <v>10682501</v>
      </c>
      <c r="O21" s="343">
        <f>N21*'Cash-flow PLAN'!$D$56/12</f>
        <v>93471.883749999994</v>
      </c>
      <c r="Q21" s="345">
        <v>45689</v>
      </c>
      <c r="R21" s="341">
        <v>0</v>
      </c>
      <c r="S21" s="342">
        <f t="shared" si="3"/>
        <v>0</v>
      </c>
      <c r="T21" s="343">
        <f>S21*'Cash-flow PLAN'!$D$57/12</f>
        <v>0</v>
      </c>
    </row>
    <row r="22" spans="2:20" ht="14.1">
      <c r="B22" s="345">
        <v>45717</v>
      </c>
      <c r="C22" s="341">
        <v>0</v>
      </c>
      <c r="D22" s="342">
        <f t="shared" si="0"/>
        <v>22465002</v>
      </c>
      <c r="E22" s="343">
        <f>D22*'Cash-flow PLAN'!$D$54/12</f>
        <v>196568.76749999999</v>
      </c>
      <c r="G22" s="345">
        <v>45717</v>
      </c>
      <c r="H22" s="341">
        <v>0</v>
      </c>
      <c r="I22" s="342">
        <f t="shared" si="1"/>
        <v>8395000</v>
      </c>
      <c r="J22" s="343">
        <f>I22*' Cash-flow'!$D$57/12</f>
        <v>76954.166666666672</v>
      </c>
      <c r="L22" s="345">
        <v>45717</v>
      </c>
      <c r="M22" s="341">
        <v>0</v>
      </c>
      <c r="N22" s="342">
        <f t="shared" si="2"/>
        <v>10682501</v>
      </c>
      <c r="O22" s="343">
        <f>N22*'Cash-flow PLAN'!$D$56/12</f>
        <v>93471.883749999994</v>
      </c>
      <c r="Q22" s="345">
        <v>45717</v>
      </c>
      <c r="R22" s="341">
        <v>0</v>
      </c>
      <c r="S22" s="342">
        <f t="shared" si="3"/>
        <v>0</v>
      </c>
      <c r="T22" s="343">
        <f>S22*'Cash-flow PLAN'!$D$57/12</f>
        <v>0</v>
      </c>
    </row>
    <row r="23" spans="2:20" ht="14.1">
      <c r="B23" s="345">
        <v>45748</v>
      </c>
      <c r="C23" s="341">
        <v>22465002</v>
      </c>
      <c r="D23" s="342">
        <f t="shared" si="0"/>
        <v>0</v>
      </c>
      <c r="E23" s="343">
        <f>D23*'Cash-flow PLAN'!$D$54/12</f>
        <v>0</v>
      </c>
      <c r="G23" s="345">
        <v>45748</v>
      </c>
      <c r="H23" s="341">
        <v>0</v>
      </c>
      <c r="I23" s="342">
        <f t="shared" si="1"/>
        <v>8395000</v>
      </c>
      <c r="J23" s="343">
        <f>I23*' Cash-flow'!$D$57/12</f>
        <v>76954.166666666672</v>
      </c>
      <c r="L23" s="345">
        <v>45748</v>
      </c>
      <c r="M23" s="341">
        <v>10682501</v>
      </c>
      <c r="N23" s="342">
        <f t="shared" si="2"/>
        <v>0</v>
      </c>
      <c r="O23" s="343">
        <f>N23*'Cash-flow PLAN'!$D$56/12</f>
        <v>0</v>
      </c>
      <c r="Q23" s="345">
        <v>45748</v>
      </c>
      <c r="R23" s="341">
        <v>0</v>
      </c>
      <c r="S23" s="342">
        <f t="shared" si="3"/>
        <v>0</v>
      </c>
      <c r="T23" s="343">
        <f>S23*'Cash-flow PLAN'!$D$57/12</f>
        <v>0</v>
      </c>
    </row>
    <row r="24" spans="2:20" ht="14.1">
      <c r="B24" s="345">
        <v>45778</v>
      </c>
      <c r="C24" s="341">
        <v>0</v>
      </c>
      <c r="D24" s="342">
        <f t="shared" si="0"/>
        <v>0</v>
      </c>
      <c r="E24" s="343">
        <f>D24*'Cash-flow PLAN'!$D$54/12</f>
        <v>0</v>
      </c>
      <c r="G24" s="345">
        <v>45778</v>
      </c>
      <c r="H24" s="341">
        <v>0</v>
      </c>
      <c r="I24" s="342">
        <f t="shared" si="1"/>
        <v>8395000</v>
      </c>
      <c r="J24" s="343">
        <f>I24*' Cash-flow'!$D$57/12</f>
        <v>76954.166666666672</v>
      </c>
      <c r="L24" s="345">
        <v>45778</v>
      </c>
      <c r="M24" s="341">
        <v>0</v>
      </c>
      <c r="N24" s="342">
        <f t="shared" si="2"/>
        <v>0</v>
      </c>
      <c r="O24" s="343">
        <f>N24*'Cash-flow PLAN'!$D$56/12</f>
        <v>0</v>
      </c>
      <c r="Q24" s="345">
        <v>45778</v>
      </c>
      <c r="R24" s="341">
        <v>0</v>
      </c>
      <c r="S24" s="342">
        <f t="shared" si="3"/>
        <v>0</v>
      </c>
      <c r="T24" s="343">
        <f>S24*'Cash-flow PLAN'!$D$57/12</f>
        <v>0</v>
      </c>
    </row>
    <row r="25" spans="2:20" ht="14.1">
      <c r="B25" s="346">
        <v>45809</v>
      </c>
      <c r="C25" s="341">
        <v>0</v>
      </c>
      <c r="D25" s="342">
        <f t="shared" si="0"/>
        <v>0</v>
      </c>
      <c r="E25" s="343">
        <f>D25*'Cash-flow PLAN'!$D$54/12</f>
        <v>0</v>
      </c>
      <c r="G25" s="346">
        <v>45809</v>
      </c>
      <c r="H25" s="341">
        <v>-3090000</v>
      </c>
      <c r="I25" s="342">
        <f t="shared" si="1"/>
        <v>11485000</v>
      </c>
      <c r="J25" s="343">
        <f>I25*' Cash-flow'!$D$57/12</f>
        <v>105279.16666666667</v>
      </c>
      <c r="L25" s="346">
        <v>45809</v>
      </c>
      <c r="M25" s="341">
        <v>0</v>
      </c>
      <c r="N25" s="342">
        <f t="shared" si="2"/>
        <v>0</v>
      </c>
      <c r="O25" s="343">
        <f>N25*'Cash-flow PLAN'!$D$56/12</f>
        <v>0</v>
      </c>
      <c r="Q25" s="346">
        <v>45809</v>
      </c>
      <c r="R25" s="341">
        <v>0</v>
      </c>
      <c r="S25" s="342">
        <f t="shared" si="3"/>
        <v>0</v>
      </c>
      <c r="T25" s="343">
        <f>S25*'Cash-flow PLAN'!$D$57/12</f>
        <v>0</v>
      </c>
    </row>
    <row r="26" spans="2:20" ht="14.1">
      <c r="B26" s="345">
        <v>45839</v>
      </c>
      <c r="C26" s="341">
        <v>0</v>
      </c>
      <c r="D26" s="342">
        <f t="shared" si="0"/>
        <v>0</v>
      </c>
      <c r="E26" s="343">
        <f>D26*'Cash-flow PLAN'!$D$54/12</f>
        <v>0</v>
      </c>
      <c r="G26" s="345">
        <v>45839</v>
      </c>
      <c r="H26" s="341">
        <v>0</v>
      </c>
      <c r="I26" s="342">
        <f t="shared" si="1"/>
        <v>11485000</v>
      </c>
      <c r="J26" s="343">
        <f>I26*' Cash-flow'!$D$57/12</f>
        <v>105279.16666666667</v>
      </c>
      <c r="L26" s="345">
        <v>45839</v>
      </c>
      <c r="M26" s="341">
        <v>0</v>
      </c>
      <c r="N26" s="342">
        <f t="shared" si="2"/>
        <v>0</v>
      </c>
      <c r="O26" s="343">
        <f>N26*'Cash-flow PLAN'!$D$56/12</f>
        <v>0</v>
      </c>
      <c r="Q26" s="345">
        <v>45839</v>
      </c>
      <c r="R26" s="341">
        <v>0</v>
      </c>
      <c r="S26" s="342">
        <f t="shared" si="3"/>
        <v>0</v>
      </c>
      <c r="T26" s="343">
        <f>S26*'Cash-flow PLAN'!$D$57/12</f>
        <v>0</v>
      </c>
    </row>
    <row r="27" spans="2:20" ht="14.1">
      <c r="B27" s="345">
        <v>45870</v>
      </c>
      <c r="C27" s="341">
        <v>0</v>
      </c>
      <c r="D27" s="342">
        <f t="shared" si="0"/>
        <v>0</v>
      </c>
      <c r="E27" s="343">
        <f>D27*'Cash-flow PLAN'!$D$54/12</f>
        <v>0</v>
      </c>
      <c r="G27" s="345">
        <v>45870</v>
      </c>
      <c r="H27" s="341">
        <v>0</v>
      </c>
      <c r="I27" s="342">
        <f t="shared" si="1"/>
        <v>11485000</v>
      </c>
      <c r="J27" s="343">
        <f>I27*' Cash-flow'!$D$57/12</f>
        <v>105279.16666666667</v>
      </c>
      <c r="L27" s="345">
        <v>45870</v>
      </c>
      <c r="M27" s="341">
        <v>0</v>
      </c>
      <c r="N27" s="342">
        <f t="shared" si="2"/>
        <v>0</v>
      </c>
      <c r="O27" s="343">
        <f>N27*'Cash-flow PLAN'!$D$56/12</f>
        <v>0</v>
      </c>
      <c r="Q27" s="345">
        <v>45870</v>
      </c>
      <c r="R27" s="341">
        <v>0</v>
      </c>
      <c r="S27" s="342">
        <f t="shared" si="3"/>
        <v>0</v>
      </c>
      <c r="T27" s="343">
        <f>S27*'Cash-flow PLAN'!$D$57/12</f>
        <v>0</v>
      </c>
    </row>
    <row r="28" spans="2:20" ht="14.1">
      <c r="B28" s="345">
        <v>45901</v>
      </c>
      <c r="C28" s="341">
        <v>0</v>
      </c>
      <c r="D28" s="342">
        <f t="shared" si="0"/>
        <v>0</v>
      </c>
      <c r="E28" s="343">
        <f>D28*'Cash-flow PLAN'!$D$54/12</f>
        <v>0</v>
      </c>
      <c r="G28" s="345">
        <v>45901</v>
      </c>
      <c r="H28" s="341">
        <v>0</v>
      </c>
      <c r="I28" s="342">
        <f t="shared" si="1"/>
        <v>11485000</v>
      </c>
      <c r="J28" s="343">
        <f>I28*' Cash-flow'!$D$57/12</f>
        <v>105279.16666666667</v>
      </c>
      <c r="L28" s="345">
        <v>45901</v>
      </c>
      <c r="M28" s="341">
        <v>0</v>
      </c>
      <c r="N28" s="342">
        <f t="shared" si="2"/>
        <v>0</v>
      </c>
      <c r="O28" s="343">
        <f>N28*'Cash-flow PLAN'!$D$56/12</f>
        <v>0</v>
      </c>
      <c r="Q28" s="345">
        <v>45901</v>
      </c>
      <c r="R28" s="341">
        <v>0</v>
      </c>
      <c r="S28" s="342">
        <f t="shared" si="3"/>
        <v>0</v>
      </c>
      <c r="T28" s="343">
        <f>S28*'Cash-flow PLAN'!$D$57/12</f>
        <v>0</v>
      </c>
    </row>
    <row r="29" spans="2:20" ht="14.1">
      <c r="B29" s="345">
        <v>45931</v>
      </c>
      <c r="C29" s="341">
        <v>0</v>
      </c>
      <c r="D29" s="342">
        <f t="shared" si="0"/>
        <v>0</v>
      </c>
      <c r="E29" s="343">
        <f>D29*'Cash-flow PLAN'!$D$54/12</f>
        <v>0</v>
      </c>
      <c r="G29" s="345">
        <v>45931</v>
      </c>
      <c r="H29" s="341">
        <v>-2000000</v>
      </c>
      <c r="I29" s="342">
        <f t="shared" si="1"/>
        <v>13485000</v>
      </c>
      <c r="J29" s="343">
        <f>I29*' Cash-flow'!$D$57/12</f>
        <v>123612.5</v>
      </c>
      <c r="L29" s="345">
        <v>45931</v>
      </c>
      <c r="M29" s="341">
        <v>0</v>
      </c>
      <c r="N29" s="342">
        <f t="shared" si="2"/>
        <v>0</v>
      </c>
      <c r="O29" s="343">
        <f>N29*'Cash-flow PLAN'!$D$56/12</f>
        <v>0</v>
      </c>
      <c r="Q29" s="345">
        <v>45931</v>
      </c>
      <c r="R29" s="341">
        <v>0</v>
      </c>
      <c r="S29" s="342">
        <f t="shared" si="3"/>
        <v>0</v>
      </c>
      <c r="T29" s="343">
        <f>S29*'Cash-flow PLAN'!$D$57/12</f>
        <v>0</v>
      </c>
    </row>
    <row r="30" spans="2:20" ht="14.1">
      <c r="B30" s="345">
        <v>45962</v>
      </c>
      <c r="C30" s="341">
        <v>0</v>
      </c>
      <c r="D30" s="342">
        <f t="shared" si="0"/>
        <v>0</v>
      </c>
      <c r="E30" s="343">
        <f>D30*'Cash-flow PLAN'!$D$54/12</f>
        <v>0</v>
      </c>
      <c r="G30" s="345">
        <v>45962</v>
      </c>
      <c r="H30" s="341">
        <v>0</v>
      </c>
      <c r="I30" s="342">
        <f t="shared" si="1"/>
        <v>13485000</v>
      </c>
      <c r="J30" s="343">
        <f>I30*' Cash-flow'!$D$57/12</f>
        <v>123612.5</v>
      </c>
      <c r="L30" s="345">
        <v>45962</v>
      </c>
      <c r="M30" s="341">
        <v>0</v>
      </c>
      <c r="N30" s="342">
        <f t="shared" si="2"/>
        <v>0</v>
      </c>
      <c r="O30" s="343">
        <f>N30*'Cash-flow PLAN'!$D$56/12</f>
        <v>0</v>
      </c>
      <c r="Q30" s="345">
        <v>45962</v>
      </c>
      <c r="R30" s="341">
        <v>0</v>
      </c>
      <c r="S30" s="342">
        <f t="shared" si="3"/>
        <v>0</v>
      </c>
      <c r="T30" s="343">
        <f>S30*'Cash-flow PLAN'!$D$57/12</f>
        <v>0</v>
      </c>
    </row>
    <row r="31" spans="2:20" ht="14.1">
      <c r="B31" s="345">
        <v>45992</v>
      </c>
      <c r="C31" s="341">
        <v>0</v>
      </c>
      <c r="D31" s="342">
        <f t="shared" si="0"/>
        <v>0</v>
      </c>
      <c r="E31" s="343">
        <f>D31*'Cash-flow PLAN'!$D$54/12</f>
        <v>0</v>
      </c>
      <c r="G31" s="345">
        <v>45992</v>
      </c>
      <c r="H31" s="341">
        <v>29850002</v>
      </c>
      <c r="I31" s="342">
        <f t="shared" si="1"/>
        <v>-16365002</v>
      </c>
      <c r="J31" s="343">
        <f>I31*' Cash-flow'!$D$57/12</f>
        <v>-150012.51833333334</v>
      </c>
      <c r="L31" s="345">
        <v>45992</v>
      </c>
      <c r="M31" s="341">
        <v>0</v>
      </c>
      <c r="N31" s="342">
        <f t="shared" si="2"/>
        <v>0</v>
      </c>
      <c r="O31" s="343">
        <f>N31*'Cash-flow PLAN'!$D$56/12</f>
        <v>0</v>
      </c>
      <c r="Q31" s="345">
        <v>45992</v>
      </c>
      <c r="R31" s="341">
        <v>0</v>
      </c>
      <c r="S31" s="342">
        <f t="shared" si="3"/>
        <v>0</v>
      </c>
      <c r="T31" s="343">
        <f>S31*'Cash-flow PLAN'!$D$57/12</f>
        <v>0</v>
      </c>
    </row>
    <row r="32" spans="2:20" ht="14.1">
      <c r="B32" s="340">
        <v>46023</v>
      </c>
      <c r="C32" s="341">
        <v>0</v>
      </c>
      <c r="D32" s="342">
        <f t="shared" si="0"/>
        <v>0</v>
      </c>
      <c r="E32" s="343">
        <f>D32*'Cash-flow PLAN'!$D$54/12</f>
        <v>0</v>
      </c>
      <c r="G32" s="340">
        <v>46023</v>
      </c>
      <c r="H32" s="341">
        <v>0</v>
      </c>
      <c r="I32" s="342">
        <f t="shared" si="1"/>
        <v>-16365002</v>
      </c>
      <c r="J32" s="343">
        <f>I32*'Cash-flow PLAN'!$D$55/12</f>
        <v>-143193.76749999999</v>
      </c>
      <c r="L32" s="340">
        <v>46023</v>
      </c>
      <c r="M32" s="341">
        <v>0</v>
      </c>
      <c r="N32" s="342">
        <f t="shared" si="2"/>
        <v>0</v>
      </c>
      <c r="O32" s="343">
        <f>N32*'Cash-flow PLAN'!$D$56/12</f>
        <v>0</v>
      </c>
      <c r="Q32" s="340">
        <v>46023</v>
      </c>
      <c r="R32" s="341">
        <v>0</v>
      </c>
      <c r="S32" s="342">
        <f t="shared" si="3"/>
        <v>0</v>
      </c>
      <c r="T32" s="343">
        <f>S32*'Cash-flow PLAN'!$D$57/12</f>
        <v>0</v>
      </c>
    </row>
    <row r="33" spans="2:20" ht="14.1">
      <c r="B33" s="345">
        <v>46054</v>
      </c>
      <c r="C33" s="341">
        <v>0</v>
      </c>
      <c r="D33" s="342">
        <f t="shared" si="0"/>
        <v>0</v>
      </c>
      <c r="E33" s="343">
        <f>D33*'Cash-flow PLAN'!$D$54/12</f>
        <v>0</v>
      </c>
      <c r="G33" s="345">
        <v>46054</v>
      </c>
      <c r="H33" s="341">
        <v>0</v>
      </c>
      <c r="I33" s="342">
        <f t="shared" si="1"/>
        <v>-16365002</v>
      </c>
      <c r="J33" s="343">
        <f>I33*'Cash-flow PLAN'!$D$55/12</f>
        <v>-143193.76749999999</v>
      </c>
      <c r="L33" s="345">
        <v>46054</v>
      </c>
      <c r="M33" s="341">
        <v>0</v>
      </c>
      <c r="N33" s="342">
        <f t="shared" si="2"/>
        <v>0</v>
      </c>
      <c r="O33" s="343">
        <f>N33*'Cash-flow PLAN'!$D$56/12</f>
        <v>0</v>
      </c>
      <c r="Q33" s="345">
        <v>46054</v>
      </c>
      <c r="R33" s="341">
        <v>0</v>
      </c>
      <c r="S33" s="342">
        <f t="shared" si="3"/>
        <v>0</v>
      </c>
      <c r="T33" s="343">
        <f>S33*'Cash-flow PLAN'!$D$57/12</f>
        <v>0</v>
      </c>
    </row>
    <row r="34" spans="2:20" ht="14.1">
      <c r="B34" s="345">
        <v>46082</v>
      </c>
      <c r="C34" s="341">
        <v>0</v>
      </c>
      <c r="D34" s="342">
        <f t="shared" si="0"/>
        <v>0</v>
      </c>
      <c r="E34" s="343">
        <f>D34*'Cash-flow PLAN'!$D$54/12</f>
        <v>0</v>
      </c>
      <c r="G34" s="345">
        <v>46082</v>
      </c>
      <c r="H34" s="341">
        <v>0</v>
      </c>
      <c r="I34" s="342">
        <f t="shared" si="1"/>
        <v>-16365002</v>
      </c>
      <c r="J34" s="343">
        <f>I34*'Cash-flow PLAN'!$D$55/12</f>
        <v>-143193.76749999999</v>
      </c>
      <c r="L34" s="345">
        <v>46082</v>
      </c>
      <c r="M34" s="341">
        <v>0</v>
      </c>
      <c r="N34" s="342">
        <f t="shared" si="2"/>
        <v>0</v>
      </c>
      <c r="O34" s="343">
        <f>N34*'Cash-flow PLAN'!$D$56/12</f>
        <v>0</v>
      </c>
      <c r="Q34" s="345">
        <v>46082</v>
      </c>
      <c r="R34" s="341">
        <v>0</v>
      </c>
      <c r="S34" s="342">
        <f t="shared" si="3"/>
        <v>0</v>
      </c>
      <c r="T34" s="343">
        <f>S34*'Cash-flow PLAN'!$D$57/12</f>
        <v>0</v>
      </c>
    </row>
    <row r="35" spans="2:20" ht="14.1">
      <c r="B35" s="345">
        <v>46113</v>
      </c>
      <c r="C35" s="341">
        <v>0</v>
      </c>
      <c r="D35" s="342">
        <f t="shared" si="0"/>
        <v>0</v>
      </c>
      <c r="E35" s="343">
        <f>D35*'Cash-flow PLAN'!$D$54/12</f>
        <v>0</v>
      </c>
      <c r="G35" s="345">
        <v>46113</v>
      </c>
      <c r="H35" s="341">
        <v>0</v>
      </c>
      <c r="I35" s="342">
        <f t="shared" si="1"/>
        <v>-16365002</v>
      </c>
      <c r="J35" s="343">
        <f>I35*'Cash-flow PLAN'!$D$55/12</f>
        <v>-143193.76749999999</v>
      </c>
      <c r="L35" s="345">
        <v>46113</v>
      </c>
      <c r="M35" s="341">
        <v>0</v>
      </c>
      <c r="N35" s="342">
        <f t="shared" si="2"/>
        <v>0</v>
      </c>
      <c r="O35" s="343">
        <f>N35*'Cash-flow PLAN'!$D$56/12</f>
        <v>0</v>
      </c>
      <c r="Q35" s="345">
        <v>46113</v>
      </c>
      <c r="R35" s="341">
        <v>0</v>
      </c>
      <c r="S35" s="342">
        <f t="shared" si="3"/>
        <v>0</v>
      </c>
      <c r="T35" s="343">
        <f>S35*'Cash-flow PLAN'!$D$57/12</f>
        <v>0</v>
      </c>
    </row>
    <row r="36" spans="2:20" ht="14.1">
      <c r="B36" s="345">
        <v>46143</v>
      </c>
      <c r="C36" s="341">
        <v>0</v>
      </c>
      <c r="D36" s="342">
        <f t="shared" si="0"/>
        <v>0</v>
      </c>
      <c r="E36" s="343">
        <f>D36*'Cash-flow PLAN'!$D$54/12</f>
        <v>0</v>
      </c>
      <c r="G36" s="345">
        <v>46143</v>
      </c>
      <c r="H36" s="341">
        <v>0</v>
      </c>
      <c r="I36" s="342">
        <f t="shared" si="1"/>
        <v>-16365002</v>
      </c>
      <c r="J36" s="343">
        <f>I36*'Cash-flow PLAN'!$D$55/12</f>
        <v>-143193.76749999999</v>
      </c>
      <c r="L36" s="345">
        <v>46143</v>
      </c>
      <c r="M36" s="341">
        <v>0</v>
      </c>
      <c r="N36" s="342">
        <f t="shared" si="2"/>
        <v>0</v>
      </c>
      <c r="O36" s="343">
        <f>N36*'Cash-flow PLAN'!$D$56/12</f>
        <v>0</v>
      </c>
      <c r="Q36" s="345">
        <v>46143</v>
      </c>
      <c r="R36" s="341">
        <v>0</v>
      </c>
      <c r="S36" s="342">
        <f t="shared" si="3"/>
        <v>0</v>
      </c>
      <c r="T36" s="343">
        <f>S36*'Cash-flow PLAN'!$D$57/12</f>
        <v>0</v>
      </c>
    </row>
    <row r="37" spans="2:20" ht="14.1">
      <c r="B37" s="346">
        <v>46174</v>
      </c>
      <c r="C37" s="341">
        <v>0</v>
      </c>
      <c r="D37" s="342">
        <f t="shared" si="0"/>
        <v>0</v>
      </c>
      <c r="E37" s="343">
        <f>D37*'Cash-flow PLAN'!$D$54/12</f>
        <v>0</v>
      </c>
      <c r="G37" s="346">
        <v>46174</v>
      </c>
      <c r="H37" s="341">
        <v>0</v>
      </c>
      <c r="I37" s="342">
        <f t="shared" si="1"/>
        <v>-16365002</v>
      </c>
      <c r="J37" s="343">
        <f>I37*'Cash-flow PLAN'!$D$55/12</f>
        <v>-143193.76749999999</v>
      </c>
      <c r="L37" s="346">
        <v>46174</v>
      </c>
      <c r="M37" s="341">
        <v>0</v>
      </c>
      <c r="N37" s="342">
        <f t="shared" si="2"/>
        <v>0</v>
      </c>
      <c r="O37" s="343">
        <f>N37*'Cash-flow PLAN'!$D$56/12</f>
        <v>0</v>
      </c>
      <c r="Q37" s="346">
        <v>46174</v>
      </c>
      <c r="R37" s="341">
        <v>0</v>
      </c>
      <c r="S37" s="342">
        <f t="shared" si="3"/>
        <v>0</v>
      </c>
      <c r="T37" s="343">
        <f>S37*'Cash-flow PLAN'!$D$57/12</f>
        <v>0</v>
      </c>
    </row>
    <row r="38" spans="2:20" ht="14.1">
      <c r="B38" s="345">
        <v>46204</v>
      </c>
      <c r="C38" s="341">
        <v>0</v>
      </c>
      <c r="D38" s="342">
        <f t="shared" si="0"/>
        <v>0</v>
      </c>
      <c r="E38" s="343">
        <f>D38*'Cash-flow PLAN'!$D$54/12</f>
        <v>0</v>
      </c>
      <c r="G38" s="345">
        <v>46204</v>
      </c>
      <c r="H38" s="341">
        <v>0</v>
      </c>
      <c r="I38" s="342">
        <f t="shared" si="1"/>
        <v>-16365002</v>
      </c>
      <c r="J38" s="343">
        <f>I38*'Cash-flow PLAN'!$D$55/12</f>
        <v>-143193.76749999999</v>
      </c>
      <c r="L38" s="345">
        <v>46204</v>
      </c>
      <c r="M38" s="341">
        <v>0</v>
      </c>
      <c r="N38" s="342">
        <f t="shared" si="2"/>
        <v>0</v>
      </c>
      <c r="O38" s="343">
        <f>N38*'Cash-flow PLAN'!$D$56/12</f>
        <v>0</v>
      </c>
      <c r="Q38" s="345">
        <v>46204</v>
      </c>
      <c r="R38" s="341">
        <v>0</v>
      </c>
      <c r="S38" s="342">
        <f t="shared" si="3"/>
        <v>0</v>
      </c>
      <c r="T38" s="343">
        <f>S38*'Cash-flow PLAN'!$D$57/12</f>
        <v>0</v>
      </c>
    </row>
    <row r="39" spans="2:20" ht="14.1">
      <c r="B39" s="345">
        <v>46235</v>
      </c>
      <c r="C39" s="341">
        <v>0</v>
      </c>
      <c r="D39" s="342">
        <f t="shared" si="0"/>
        <v>0</v>
      </c>
      <c r="E39" s="343">
        <f>D39*'Cash-flow PLAN'!$D$54/12</f>
        <v>0</v>
      </c>
      <c r="G39" s="345">
        <v>46235</v>
      </c>
      <c r="H39" s="341">
        <v>0</v>
      </c>
      <c r="I39" s="342">
        <f t="shared" si="1"/>
        <v>-16365002</v>
      </c>
      <c r="J39" s="343">
        <f>I39*'Cash-flow PLAN'!$D$55/12</f>
        <v>-143193.76749999999</v>
      </c>
      <c r="L39" s="345">
        <v>46235</v>
      </c>
      <c r="M39" s="341">
        <v>0</v>
      </c>
      <c r="N39" s="342">
        <f t="shared" si="2"/>
        <v>0</v>
      </c>
      <c r="O39" s="343">
        <f>N39*'Cash-flow PLAN'!$D$56/12</f>
        <v>0</v>
      </c>
      <c r="Q39" s="345">
        <v>46235</v>
      </c>
      <c r="R39" s="341">
        <v>0</v>
      </c>
      <c r="S39" s="342">
        <f t="shared" si="3"/>
        <v>0</v>
      </c>
      <c r="T39" s="343">
        <f>S39*'Cash-flow PLAN'!$D$57/12</f>
        <v>0</v>
      </c>
    </row>
    <row r="40" spans="2:20" ht="14.1">
      <c r="B40" s="345">
        <v>46266</v>
      </c>
      <c r="C40" s="341">
        <v>0</v>
      </c>
      <c r="D40" s="342">
        <f t="shared" si="0"/>
        <v>0</v>
      </c>
      <c r="E40" s="343">
        <f>D40*'Cash-flow PLAN'!$D$54/12</f>
        <v>0</v>
      </c>
      <c r="G40" s="345">
        <v>46266</v>
      </c>
      <c r="H40" s="341">
        <v>0</v>
      </c>
      <c r="I40" s="342">
        <f t="shared" si="1"/>
        <v>-16365002</v>
      </c>
      <c r="J40" s="343">
        <f>I40*'Cash-flow PLAN'!$D$55/12</f>
        <v>-143193.76749999999</v>
      </c>
      <c r="L40" s="345">
        <v>46266</v>
      </c>
      <c r="M40" s="341">
        <v>0</v>
      </c>
      <c r="N40" s="342">
        <f t="shared" si="2"/>
        <v>0</v>
      </c>
      <c r="O40" s="343">
        <f>N40*'Cash-flow PLAN'!$D$56/12</f>
        <v>0</v>
      </c>
      <c r="Q40" s="345">
        <v>46266</v>
      </c>
      <c r="R40" s="341">
        <v>0</v>
      </c>
      <c r="S40" s="342">
        <f t="shared" si="3"/>
        <v>0</v>
      </c>
      <c r="T40" s="343">
        <f>S40*'Cash-flow PLAN'!$D$57/12</f>
        <v>0</v>
      </c>
    </row>
    <row r="41" spans="2:20" ht="14.1">
      <c r="B41" s="345">
        <v>46296</v>
      </c>
      <c r="C41" s="341">
        <v>0</v>
      </c>
      <c r="D41" s="342">
        <f t="shared" si="0"/>
        <v>0</v>
      </c>
      <c r="E41" s="343">
        <f>D41*'Cash-flow PLAN'!$D$54/12</f>
        <v>0</v>
      </c>
      <c r="G41" s="345">
        <v>46296</v>
      </c>
      <c r="H41" s="341">
        <v>0</v>
      </c>
      <c r="I41" s="342">
        <f t="shared" si="1"/>
        <v>-16365002</v>
      </c>
      <c r="J41" s="343">
        <f>I41*'Cash-flow PLAN'!$D$55/12</f>
        <v>-143193.76749999999</v>
      </c>
      <c r="L41" s="345">
        <v>46296</v>
      </c>
      <c r="M41" s="341">
        <v>0</v>
      </c>
      <c r="N41" s="342">
        <f t="shared" si="2"/>
        <v>0</v>
      </c>
      <c r="O41" s="343">
        <f>N41*'Cash-flow PLAN'!$D$56/12</f>
        <v>0</v>
      </c>
      <c r="Q41" s="345">
        <v>46296</v>
      </c>
      <c r="R41" s="341">
        <v>0</v>
      </c>
      <c r="S41" s="342">
        <f t="shared" si="3"/>
        <v>0</v>
      </c>
      <c r="T41" s="343">
        <f>S41*'Cash-flow PLAN'!$D$57/12</f>
        <v>0</v>
      </c>
    </row>
    <row r="42" spans="2:20" ht="14.1">
      <c r="B42" s="345">
        <v>46327</v>
      </c>
      <c r="C42" s="341">
        <v>0</v>
      </c>
      <c r="D42" s="342">
        <f t="shared" si="0"/>
        <v>0</v>
      </c>
      <c r="E42" s="343">
        <f>D42*'Cash-flow PLAN'!$D$54/12</f>
        <v>0</v>
      </c>
      <c r="G42" s="345">
        <v>46327</v>
      </c>
      <c r="H42" s="341">
        <v>0</v>
      </c>
      <c r="I42" s="342">
        <f t="shared" si="1"/>
        <v>-16365002</v>
      </c>
      <c r="J42" s="343">
        <f>I42*'Cash-flow PLAN'!$D$55/12</f>
        <v>-143193.76749999999</v>
      </c>
      <c r="L42" s="345">
        <v>46327</v>
      </c>
      <c r="M42" s="341">
        <v>0</v>
      </c>
      <c r="N42" s="342">
        <f t="shared" si="2"/>
        <v>0</v>
      </c>
      <c r="O42" s="343">
        <f>N42*'Cash-flow PLAN'!$D$56/12</f>
        <v>0</v>
      </c>
      <c r="Q42" s="345">
        <v>46327</v>
      </c>
      <c r="R42" s="341">
        <v>0</v>
      </c>
      <c r="S42" s="342">
        <f t="shared" si="3"/>
        <v>0</v>
      </c>
      <c r="T42" s="343">
        <f>S42*'Cash-flow PLAN'!$D$57/12</f>
        <v>0</v>
      </c>
    </row>
    <row r="43" spans="2:20" ht="14.1">
      <c r="B43" s="345">
        <v>46357</v>
      </c>
      <c r="C43" s="341">
        <v>0</v>
      </c>
      <c r="D43" s="342">
        <f t="shared" si="0"/>
        <v>0</v>
      </c>
      <c r="E43" s="343">
        <f>D43*'Cash-flow PLAN'!$D$54/12</f>
        <v>0</v>
      </c>
      <c r="G43" s="345">
        <v>46357</v>
      </c>
      <c r="H43" s="341">
        <v>0</v>
      </c>
      <c r="I43" s="342">
        <f t="shared" si="1"/>
        <v>-16365002</v>
      </c>
      <c r="J43" s="343">
        <f>I43*'Cash-flow PLAN'!$D$55/12</f>
        <v>-143193.76749999999</v>
      </c>
      <c r="L43" s="345">
        <v>46357</v>
      </c>
      <c r="M43" s="341">
        <v>0</v>
      </c>
      <c r="N43" s="342">
        <f t="shared" si="2"/>
        <v>0</v>
      </c>
      <c r="O43" s="343">
        <f>N43*'Cash-flow PLAN'!$D$56/12</f>
        <v>0</v>
      </c>
      <c r="Q43" s="345">
        <v>46357</v>
      </c>
      <c r="R43" s="341">
        <v>0</v>
      </c>
      <c r="S43" s="342">
        <f t="shared" si="3"/>
        <v>0</v>
      </c>
      <c r="T43" s="343">
        <f>S43*'Cash-flow PLAN'!$D$57/12</f>
        <v>0</v>
      </c>
    </row>
    <row r="44" spans="2:20" ht="14.1">
      <c r="B44" s="340">
        <v>46388</v>
      </c>
      <c r="C44" s="341">
        <v>0</v>
      </c>
      <c r="D44" s="342">
        <f t="shared" si="0"/>
        <v>0</v>
      </c>
      <c r="E44" s="343">
        <f>D44*'Cash-flow PLAN'!$D$54/12</f>
        <v>0</v>
      </c>
      <c r="G44" s="340">
        <v>46388</v>
      </c>
      <c r="H44" s="341">
        <v>0</v>
      </c>
      <c r="I44" s="342">
        <f t="shared" si="1"/>
        <v>-16365002</v>
      </c>
      <c r="J44" s="343">
        <f>I44*'Cash-flow PLAN'!$D$55/12</f>
        <v>-143193.76749999999</v>
      </c>
      <c r="L44" s="340">
        <v>46388</v>
      </c>
      <c r="M44" s="341">
        <v>0</v>
      </c>
      <c r="N44" s="342">
        <f t="shared" si="2"/>
        <v>0</v>
      </c>
      <c r="O44" s="343">
        <f>N44*'Cash-flow PLAN'!$D$56/12</f>
        <v>0</v>
      </c>
      <c r="Q44" s="340">
        <v>46388</v>
      </c>
      <c r="R44" s="341">
        <v>0</v>
      </c>
      <c r="S44" s="342">
        <f t="shared" si="3"/>
        <v>0</v>
      </c>
      <c r="T44" s="343">
        <f>S44*'Cash-flow PLAN'!$D$57/12</f>
        <v>0</v>
      </c>
    </row>
    <row r="45" spans="2:20" ht="14.1">
      <c r="B45" s="345">
        <v>46419</v>
      </c>
      <c r="C45" s="341">
        <v>0</v>
      </c>
      <c r="D45" s="342">
        <f t="shared" si="0"/>
        <v>0</v>
      </c>
      <c r="E45" s="343">
        <f>D45*'Cash-flow PLAN'!$D$54/12</f>
        <v>0</v>
      </c>
      <c r="G45" s="345">
        <v>46419</v>
      </c>
      <c r="H45" s="341">
        <v>0</v>
      </c>
      <c r="I45" s="342">
        <f t="shared" si="1"/>
        <v>-16365002</v>
      </c>
      <c r="J45" s="343">
        <f>I45*'Cash-flow PLAN'!$D$55/12</f>
        <v>-143193.76749999999</v>
      </c>
      <c r="L45" s="345">
        <v>46419</v>
      </c>
      <c r="M45" s="341">
        <v>0</v>
      </c>
      <c r="N45" s="342">
        <f t="shared" si="2"/>
        <v>0</v>
      </c>
      <c r="O45" s="343">
        <f>N45*'Cash-flow PLAN'!$D$56/12</f>
        <v>0</v>
      </c>
      <c r="Q45" s="345">
        <v>46419</v>
      </c>
      <c r="R45" s="341">
        <v>0</v>
      </c>
      <c r="S45" s="342">
        <f t="shared" si="3"/>
        <v>0</v>
      </c>
      <c r="T45" s="343">
        <f>S45*'Cash-flow PLAN'!$D$57/12</f>
        <v>0</v>
      </c>
    </row>
    <row r="46" spans="2:20" ht="14.1">
      <c r="B46" s="345">
        <v>46447</v>
      </c>
      <c r="C46" s="341">
        <v>0</v>
      </c>
      <c r="D46" s="342">
        <f t="shared" si="0"/>
        <v>0</v>
      </c>
      <c r="E46" s="343">
        <f>D46*'Cash-flow PLAN'!$D$54/12</f>
        <v>0</v>
      </c>
      <c r="G46" s="345">
        <v>46447</v>
      </c>
      <c r="H46" s="341">
        <v>0</v>
      </c>
      <c r="I46" s="342">
        <f t="shared" si="1"/>
        <v>-16365002</v>
      </c>
      <c r="J46" s="343">
        <f>I46*'Cash-flow PLAN'!$D$55/12</f>
        <v>-143193.76749999999</v>
      </c>
      <c r="L46" s="345">
        <v>46447</v>
      </c>
      <c r="M46" s="341">
        <v>0</v>
      </c>
      <c r="N46" s="342">
        <f t="shared" si="2"/>
        <v>0</v>
      </c>
      <c r="O46" s="343">
        <f>N46*'Cash-flow PLAN'!$D$56/12</f>
        <v>0</v>
      </c>
      <c r="Q46" s="345">
        <v>46447</v>
      </c>
      <c r="R46" s="341">
        <v>0</v>
      </c>
      <c r="S46" s="342">
        <f t="shared" si="3"/>
        <v>0</v>
      </c>
      <c r="T46" s="343">
        <f>S46*'Cash-flow PLAN'!$D$57/12</f>
        <v>0</v>
      </c>
    </row>
    <row r="47" spans="2:20" ht="14.1">
      <c r="B47" s="345">
        <v>46478</v>
      </c>
      <c r="C47" s="341">
        <v>0</v>
      </c>
      <c r="D47" s="342">
        <f t="shared" si="0"/>
        <v>0</v>
      </c>
      <c r="E47" s="343">
        <f>D47*'Cash-flow PLAN'!$D$54/12</f>
        <v>0</v>
      </c>
      <c r="G47" s="345">
        <v>46478</v>
      </c>
      <c r="H47" s="341">
        <v>0</v>
      </c>
      <c r="I47" s="342">
        <f t="shared" si="1"/>
        <v>-16365002</v>
      </c>
      <c r="J47" s="343">
        <f>I47*'Cash-flow PLAN'!$D$55/12</f>
        <v>-143193.76749999999</v>
      </c>
      <c r="L47" s="345">
        <v>46478</v>
      </c>
      <c r="M47" s="341">
        <v>0</v>
      </c>
      <c r="N47" s="342">
        <f t="shared" si="2"/>
        <v>0</v>
      </c>
      <c r="O47" s="343">
        <f>N47*'Cash-flow PLAN'!$D$56/12</f>
        <v>0</v>
      </c>
      <c r="Q47" s="345">
        <v>46478</v>
      </c>
      <c r="R47" s="341">
        <v>0</v>
      </c>
      <c r="S47" s="342">
        <f t="shared" si="3"/>
        <v>0</v>
      </c>
      <c r="T47" s="343">
        <f>S47*'Cash-flow PLAN'!$D$57/12</f>
        <v>0</v>
      </c>
    </row>
    <row r="48" spans="2:20" ht="14.1">
      <c r="B48" s="345">
        <v>46508</v>
      </c>
      <c r="C48" s="341">
        <v>0</v>
      </c>
      <c r="D48" s="342">
        <f t="shared" si="0"/>
        <v>0</v>
      </c>
      <c r="E48" s="343">
        <f>D48*'Cash-flow PLAN'!$D$54/12</f>
        <v>0</v>
      </c>
      <c r="G48" s="345">
        <v>46508</v>
      </c>
      <c r="H48" s="341">
        <v>0</v>
      </c>
      <c r="I48" s="342">
        <f t="shared" si="1"/>
        <v>-16365002</v>
      </c>
      <c r="J48" s="343">
        <f>I48*'Cash-flow PLAN'!$D$55/12</f>
        <v>-143193.76749999999</v>
      </c>
      <c r="L48" s="345">
        <v>46508</v>
      </c>
      <c r="M48" s="341">
        <v>0</v>
      </c>
      <c r="N48" s="342">
        <f t="shared" si="2"/>
        <v>0</v>
      </c>
      <c r="O48" s="343">
        <f>N48*'Cash-flow PLAN'!$D$56/12</f>
        <v>0</v>
      </c>
      <c r="Q48" s="345">
        <v>46508</v>
      </c>
      <c r="R48" s="341">
        <v>0</v>
      </c>
      <c r="S48" s="342">
        <f t="shared" si="3"/>
        <v>0</v>
      </c>
      <c r="T48" s="343">
        <f>S48*'Cash-flow PLAN'!$D$57/12</f>
        <v>0</v>
      </c>
    </row>
    <row r="49" spans="2:20" ht="14.1">
      <c r="B49" s="346">
        <v>46539</v>
      </c>
      <c r="C49" s="341">
        <v>0</v>
      </c>
      <c r="D49" s="342">
        <f t="shared" si="0"/>
        <v>0</v>
      </c>
      <c r="E49" s="343">
        <f>D49*'Cash-flow PLAN'!$D$54/12</f>
        <v>0</v>
      </c>
      <c r="G49" s="346">
        <v>46539</v>
      </c>
      <c r="H49" s="341">
        <v>0</v>
      </c>
      <c r="I49" s="342">
        <f t="shared" si="1"/>
        <v>-16365002</v>
      </c>
      <c r="J49" s="343">
        <f>I49*'Cash-flow PLAN'!$D$55/12</f>
        <v>-143193.76749999999</v>
      </c>
      <c r="L49" s="346">
        <v>46539</v>
      </c>
      <c r="M49" s="341">
        <v>0</v>
      </c>
      <c r="N49" s="342">
        <f t="shared" si="2"/>
        <v>0</v>
      </c>
      <c r="O49" s="343">
        <f>N49*'Cash-flow PLAN'!$D$56/12</f>
        <v>0</v>
      </c>
      <c r="Q49" s="346">
        <v>46539</v>
      </c>
      <c r="R49" s="341">
        <v>0</v>
      </c>
      <c r="S49" s="342">
        <f t="shared" si="3"/>
        <v>0</v>
      </c>
      <c r="T49" s="343">
        <f>S49*'Cash-flow PLAN'!$D$57/12</f>
        <v>0</v>
      </c>
    </row>
    <row r="50" spans="2:20" ht="14.1">
      <c r="B50" s="345">
        <v>46569</v>
      </c>
      <c r="C50" s="341">
        <v>0</v>
      </c>
      <c r="D50" s="342">
        <f t="shared" si="0"/>
        <v>0</v>
      </c>
      <c r="E50" s="343">
        <f>D50*'Cash-flow PLAN'!$D$54/12</f>
        <v>0</v>
      </c>
      <c r="G50" s="345">
        <v>46569</v>
      </c>
      <c r="H50" s="341">
        <v>0</v>
      </c>
      <c r="I50" s="342">
        <f t="shared" si="1"/>
        <v>-16365002</v>
      </c>
      <c r="J50" s="343">
        <f>I50*'Cash-flow PLAN'!$D$55/12</f>
        <v>-143193.76749999999</v>
      </c>
      <c r="L50" s="345">
        <v>46569</v>
      </c>
      <c r="M50" s="341">
        <v>0</v>
      </c>
      <c r="N50" s="342">
        <f t="shared" si="2"/>
        <v>0</v>
      </c>
      <c r="O50" s="343">
        <f>N50*'Cash-flow PLAN'!$D$56/12</f>
        <v>0</v>
      </c>
      <c r="Q50" s="345">
        <v>46569</v>
      </c>
      <c r="R50" s="341">
        <v>0</v>
      </c>
      <c r="S50" s="342">
        <f t="shared" si="3"/>
        <v>0</v>
      </c>
      <c r="T50" s="343">
        <f>S50*'Cash-flow PLAN'!$D$57/12</f>
        <v>0</v>
      </c>
    </row>
    <row r="51" spans="2:20" ht="14.1">
      <c r="B51" s="345">
        <v>46600</v>
      </c>
      <c r="C51" s="341">
        <v>0</v>
      </c>
      <c r="D51" s="342">
        <f t="shared" si="0"/>
        <v>0</v>
      </c>
      <c r="E51" s="343">
        <f>D51*'Cash-flow PLAN'!$D$54/12</f>
        <v>0</v>
      </c>
      <c r="G51" s="345">
        <v>46600</v>
      </c>
      <c r="H51" s="341">
        <v>0</v>
      </c>
      <c r="I51" s="342">
        <f t="shared" si="1"/>
        <v>-16365002</v>
      </c>
      <c r="J51" s="343">
        <f>I51*'Cash-flow PLAN'!$D$55/12</f>
        <v>-143193.76749999999</v>
      </c>
      <c r="L51" s="345">
        <v>46600</v>
      </c>
      <c r="M51" s="341">
        <v>0</v>
      </c>
      <c r="N51" s="342">
        <f t="shared" si="2"/>
        <v>0</v>
      </c>
      <c r="O51" s="343">
        <f>N51*'Cash-flow PLAN'!$D$56/12</f>
        <v>0</v>
      </c>
      <c r="Q51" s="345">
        <v>46600</v>
      </c>
      <c r="R51" s="341">
        <v>0</v>
      </c>
      <c r="S51" s="342">
        <f t="shared" si="3"/>
        <v>0</v>
      </c>
      <c r="T51" s="343">
        <f>S51*'Cash-flow PLAN'!$D$57/12</f>
        <v>0</v>
      </c>
    </row>
    <row r="52" spans="2:20" ht="14.1">
      <c r="B52" s="345">
        <v>46631</v>
      </c>
      <c r="C52" s="341">
        <v>0</v>
      </c>
      <c r="D52" s="342">
        <f t="shared" si="0"/>
        <v>0</v>
      </c>
      <c r="E52" s="343">
        <f>D52*'Cash-flow PLAN'!$D$54/12</f>
        <v>0</v>
      </c>
      <c r="G52" s="345">
        <v>46631</v>
      </c>
      <c r="H52" s="341">
        <v>0</v>
      </c>
      <c r="I52" s="342">
        <f t="shared" si="1"/>
        <v>-16365002</v>
      </c>
      <c r="J52" s="343">
        <f>I52*'Cash-flow PLAN'!$D$55/12</f>
        <v>-143193.76749999999</v>
      </c>
      <c r="L52" s="345">
        <v>46631</v>
      </c>
      <c r="M52" s="341">
        <v>0</v>
      </c>
      <c r="N52" s="342">
        <f t="shared" si="2"/>
        <v>0</v>
      </c>
      <c r="O52" s="343">
        <f>N52*'Cash-flow PLAN'!$D$56/12</f>
        <v>0</v>
      </c>
      <c r="Q52" s="345">
        <v>46631</v>
      </c>
      <c r="R52" s="341">
        <v>0</v>
      </c>
      <c r="S52" s="342">
        <f t="shared" si="3"/>
        <v>0</v>
      </c>
      <c r="T52" s="343">
        <f>S52*'Cash-flow PLAN'!$D$57/12</f>
        <v>0</v>
      </c>
    </row>
    <row r="53" spans="2:20" ht="14.1">
      <c r="B53" s="345">
        <v>46661</v>
      </c>
      <c r="C53" s="341">
        <v>0</v>
      </c>
      <c r="D53" s="342">
        <f t="shared" si="0"/>
        <v>0</v>
      </c>
      <c r="E53" s="343">
        <f>D53*'Cash-flow PLAN'!$D$54/12</f>
        <v>0</v>
      </c>
      <c r="G53" s="345">
        <v>46661</v>
      </c>
      <c r="H53" s="341">
        <v>0</v>
      </c>
      <c r="I53" s="342">
        <f t="shared" si="1"/>
        <v>-16365002</v>
      </c>
      <c r="J53" s="343">
        <f>I53*'Cash-flow PLAN'!$D$55/12</f>
        <v>-143193.76749999999</v>
      </c>
      <c r="L53" s="345">
        <v>46661</v>
      </c>
      <c r="M53" s="341">
        <v>0</v>
      </c>
      <c r="N53" s="342">
        <f t="shared" si="2"/>
        <v>0</v>
      </c>
      <c r="O53" s="343">
        <f>N53*'Cash-flow PLAN'!$D$56/12</f>
        <v>0</v>
      </c>
      <c r="Q53" s="345">
        <v>46661</v>
      </c>
      <c r="R53" s="341">
        <v>0</v>
      </c>
      <c r="S53" s="342">
        <f t="shared" si="3"/>
        <v>0</v>
      </c>
      <c r="T53" s="343">
        <f>S53*'Cash-flow PLAN'!$D$57/12</f>
        <v>0</v>
      </c>
    </row>
    <row r="54" spans="2:20" ht="14.1">
      <c r="B54" s="345">
        <v>46692</v>
      </c>
      <c r="C54" s="341">
        <v>0</v>
      </c>
      <c r="D54" s="342">
        <f t="shared" si="0"/>
        <v>0</v>
      </c>
      <c r="E54" s="343">
        <f>D54*'Cash-flow PLAN'!$D$54/12</f>
        <v>0</v>
      </c>
      <c r="G54" s="345">
        <v>46692</v>
      </c>
      <c r="H54" s="341">
        <v>0</v>
      </c>
      <c r="I54" s="342">
        <f t="shared" si="1"/>
        <v>-16365002</v>
      </c>
      <c r="J54" s="343">
        <f>I54*'Cash-flow PLAN'!$D$55/12</f>
        <v>-143193.76749999999</v>
      </c>
      <c r="L54" s="345">
        <v>46692</v>
      </c>
      <c r="M54" s="341">
        <v>0</v>
      </c>
      <c r="N54" s="342">
        <f t="shared" si="2"/>
        <v>0</v>
      </c>
      <c r="O54" s="343">
        <f>N54*'Cash-flow PLAN'!$D$56/12</f>
        <v>0</v>
      </c>
      <c r="Q54" s="345">
        <v>46692</v>
      </c>
      <c r="R54" s="341">
        <v>0</v>
      </c>
      <c r="S54" s="342">
        <f t="shared" si="3"/>
        <v>0</v>
      </c>
      <c r="T54" s="343">
        <f>S54*'Cash-flow PLAN'!$D$57/12</f>
        <v>0</v>
      </c>
    </row>
    <row r="55" spans="2:20" ht="14.1">
      <c r="B55" s="345">
        <v>46722</v>
      </c>
      <c r="C55" s="341">
        <v>0</v>
      </c>
      <c r="D55" s="342">
        <f t="shared" si="0"/>
        <v>0</v>
      </c>
      <c r="E55" s="343">
        <f>D55*'Cash-flow PLAN'!$D$54/12</f>
        <v>0</v>
      </c>
      <c r="G55" s="345">
        <v>46722</v>
      </c>
      <c r="H55" s="341">
        <v>0</v>
      </c>
      <c r="I55" s="342">
        <f t="shared" si="1"/>
        <v>-16365002</v>
      </c>
      <c r="J55" s="343">
        <f>I55*'Cash-flow PLAN'!$D$55/12</f>
        <v>-143193.76749999999</v>
      </c>
      <c r="L55" s="345">
        <v>46722</v>
      </c>
      <c r="M55" s="341">
        <v>0</v>
      </c>
      <c r="N55" s="342">
        <f t="shared" si="2"/>
        <v>0</v>
      </c>
      <c r="O55" s="343">
        <f>N55*'Cash-flow PLAN'!$D$56/12</f>
        <v>0</v>
      </c>
      <c r="Q55" s="345">
        <v>46722</v>
      </c>
      <c r="R55" s="341">
        <v>0</v>
      </c>
      <c r="S55" s="342">
        <f t="shared" si="3"/>
        <v>0</v>
      </c>
      <c r="T55" s="343">
        <f>S55*'Cash-flow PLAN'!$D$57/12</f>
        <v>0</v>
      </c>
    </row>
    <row r="56" spans="2:20" ht="14.1">
      <c r="B56" s="340">
        <v>46753</v>
      </c>
      <c r="C56" s="341">
        <v>0</v>
      </c>
      <c r="D56" s="342">
        <f t="shared" si="0"/>
        <v>0</v>
      </c>
      <c r="E56" s="343">
        <f>D56*'Cash-flow PLAN'!$D$54/12</f>
        <v>0</v>
      </c>
      <c r="G56" s="340">
        <v>46753</v>
      </c>
      <c r="H56" s="341">
        <v>0</v>
      </c>
      <c r="I56" s="342">
        <f t="shared" si="1"/>
        <v>-16365002</v>
      </c>
      <c r="J56" s="343">
        <f>I56*'Cash-flow PLAN'!$D$55/12</f>
        <v>-143193.76749999999</v>
      </c>
      <c r="L56" s="340">
        <v>46753</v>
      </c>
      <c r="M56" s="341">
        <v>0</v>
      </c>
      <c r="N56" s="342">
        <f t="shared" si="2"/>
        <v>0</v>
      </c>
      <c r="O56" s="343">
        <f>N56*'Cash-flow PLAN'!$D$56/12</f>
        <v>0</v>
      </c>
      <c r="Q56" s="340">
        <v>46753</v>
      </c>
      <c r="R56" s="341">
        <v>0</v>
      </c>
      <c r="S56" s="342">
        <f t="shared" si="3"/>
        <v>0</v>
      </c>
      <c r="T56" s="343">
        <f>S56*'Cash-flow PLAN'!$D$57/12</f>
        <v>0</v>
      </c>
    </row>
    <row r="57" spans="2:20" ht="14.1">
      <c r="B57" s="345">
        <v>46784</v>
      </c>
      <c r="C57" s="341">
        <v>0</v>
      </c>
      <c r="D57" s="342">
        <f t="shared" si="0"/>
        <v>0</v>
      </c>
      <c r="E57" s="343">
        <f>D57*'Cash-flow PLAN'!$D$54/12</f>
        <v>0</v>
      </c>
      <c r="G57" s="345">
        <v>46784</v>
      </c>
      <c r="H57" s="341">
        <v>0</v>
      </c>
      <c r="I57" s="342">
        <f t="shared" si="1"/>
        <v>-16365002</v>
      </c>
      <c r="J57" s="343">
        <f>I57*'Cash-flow PLAN'!$D$55/12</f>
        <v>-143193.76749999999</v>
      </c>
      <c r="L57" s="345">
        <v>46784</v>
      </c>
      <c r="M57" s="341">
        <v>0</v>
      </c>
      <c r="N57" s="342">
        <f t="shared" si="2"/>
        <v>0</v>
      </c>
      <c r="O57" s="343">
        <f>N57*'Cash-flow PLAN'!$D$56/12</f>
        <v>0</v>
      </c>
      <c r="Q57" s="345">
        <v>46784</v>
      </c>
      <c r="R57" s="341">
        <v>0</v>
      </c>
      <c r="S57" s="342">
        <f t="shared" si="3"/>
        <v>0</v>
      </c>
      <c r="T57" s="343">
        <f>S57*'Cash-flow PLAN'!$D$57/12</f>
        <v>0</v>
      </c>
    </row>
    <row r="58" spans="2:20" ht="14.1">
      <c r="B58" s="345">
        <v>46813</v>
      </c>
      <c r="C58" s="341">
        <v>0</v>
      </c>
      <c r="D58" s="342">
        <f t="shared" si="0"/>
        <v>0</v>
      </c>
      <c r="E58" s="343">
        <f>D58*'Cash-flow PLAN'!$D$54/12</f>
        <v>0</v>
      </c>
      <c r="G58" s="345">
        <v>46813</v>
      </c>
      <c r="H58" s="341">
        <v>0</v>
      </c>
      <c r="I58" s="342">
        <f t="shared" si="1"/>
        <v>-16365002</v>
      </c>
      <c r="J58" s="343">
        <f>I58*'Cash-flow PLAN'!$D$55/12</f>
        <v>-143193.76749999999</v>
      </c>
      <c r="L58" s="345">
        <v>46813</v>
      </c>
      <c r="M58" s="341">
        <v>0</v>
      </c>
      <c r="N58" s="342">
        <f t="shared" si="2"/>
        <v>0</v>
      </c>
      <c r="O58" s="343">
        <f>N58*'Cash-flow PLAN'!$D$56/12</f>
        <v>0</v>
      </c>
      <c r="Q58" s="345">
        <v>46813</v>
      </c>
      <c r="R58" s="341">
        <v>0</v>
      </c>
      <c r="S58" s="342">
        <f t="shared" si="3"/>
        <v>0</v>
      </c>
      <c r="T58" s="343">
        <f>S58*'Cash-flow PLAN'!$D$57/12</f>
        <v>0</v>
      </c>
    </row>
    <row r="59" spans="2:20" ht="14.1">
      <c r="B59" s="345">
        <v>46844</v>
      </c>
      <c r="C59" s="341">
        <v>0</v>
      </c>
      <c r="D59" s="342">
        <f t="shared" si="0"/>
        <v>0</v>
      </c>
      <c r="E59" s="343">
        <f>D59*'Cash-flow PLAN'!$D$54/12</f>
        <v>0</v>
      </c>
      <c r="G59" s="345">
        <v>46844</v>
      </c>
      <c r="H59" s="341">
        <v>0</v>
      </c>
      <c r="I59" s="342">
        <f t="shared" si="1"/>
        <v>-16365002</v>
      </c>
      <c r="J59" s="343">
        <f>I59*'Cash-flow PLAN'!$D$55/12</f>
        <v>-143193.76749999999</v>
      </c>
      <c r="L59" s="345">
        <v>46844</v>
      </c>
      <c r="M59" s="341">
        <v>0</v>
      </c>
      <c r="N59" s="342">
        <f t="shared" si="2"/>
        <v>0</v>
      </c>
      <c r="O59" s="343">
        <f>N59*'Cash-flow PLAN'!$D$56/12</f>
        <v>0</v>
      </c>
      <c r="Q59" s="345">
        <v>46844</v>
      </c>
      <c r="R59" s="341">
        <v>0</v>
      </c>
      <c r="S59" s="342">
        <f t="shared" si="3"/>
        <v>0</v>
      </c>
      <c r="T59" s="343">
        <f>S59*'Cash-flow PLAN'!$D$57/12</f>
        <v>0</v>
      </c>
    </row>
    <row r="60" spans="2:20" ht="14.1">
      <c r="B60" s="345">
        <v>46874</v>
      </c>
      <c r="C60" s="341">
        <v>0</v>
      </c>
      <c r="D60" s="342">
        <f t="shared" si="0"/>
        <v>0</v>
      </c>
      <c r="E60" s="343">
        <f>D60*'Cash-flow PLAN'!$D$54/12</f>
        <v>0</v>
      </c>
      <c r="G60" s="345">
        <v>46874</v>
      </c>
      <c r="H60" s="341">
        <v>0</v>
      </c>
      <c r="I60" s="342">
        <f t="shared" si="1"/>
        <v>-16365002</v>
      </c>
      <c r="J60" s="343">
        <f>I60*'Cash-flow PLAN'!$D$55/12</f>
        <v>-143193.76749999999</v>
      </c>
      <c r="L60" s="345">
        <v>46874</v>
      </c>
      <c r="M60" s="341">
        <v>0</v>
      </c>
      <c r="N60" s="342">
        <f t="shared" si="2"/>
        <v>0</v>
      </c>
      <c r="O60" s="343">
        <f>N60*'Cash-flow PLAN'!$D$56/12</f>
        <v>0</v>
      </c>
      <c r="Q60" s="345">
        <v>46874</v>
      </c>
      <c r="R60" s="341">
        <v>0</v>
      </c>
      <c r="S60" s="342">
        <f t="shared" si="3"/>
        <v>0</v>
      </c>
      <c r="T60" s="343">
        <f>S60*'Cash-flow PLAN'!$D$57/12</f>
        <v>0</v>
      </c>
    </row>
    <row r="61" spans="2:20" ht="14.1">
      <c r="B61" s="346">
        <v>46905</v>
      </c>
      <c r="C61" s="341">
        <v>0</v>
      </c>
      <c r="D61" s="342">
        <f t="shared" si="0"/>
        <v>0</v>
      </c>
      <c r="E61" s="343">
        <f>D61*'Cash-flow PLAN'!$D$54/12</f>
        <v>0</v>
      </c>
      <c r="G61" s="346">
        <v>46905</v>
      </c>
      <c r="H61" s="341">
        <v>0</v>
      </c>
      <c r="I61" s="342">
        <f t="shared" si="1"/>
        <v>-16365002</v>
      </c>
      <c r="J61" s="343">
        <f>I61*'Cash-flow PLAN'!$D$55/12</f>
        <v>-143193.76749999999</v>
      </c>
      <c r="L61" s="346">
        <v>46905</v>
      </c>
      <c r="M61" s="341">
        <v>0</v>
      </c>
      <c r="N61" s="342">
        <f t="shared" si="2"/>
        <v>0</v>
      </c>
      <c r="O61" s="343">
        <f>N61*'Cash-flow PLAN'!$D$56/12</f>
        <v>0</v>
      </c>
      <c r="Q61" s="346">
        <v>46905</v>
      </c>
      <c r="R61" s="341">
        <v>0</v>
      </c>
      <c r="S61" s="342">
        <f t="shared" si="3"/>
        <v>0</v>
      </c>
      <c r="T61" s="343">
        <f>S61*'Cash-flow PLAN'!$D$57/12</f>
        <v>0</v>
      </c>
    </row>
    <row r="62" spans="2:20" ht="14.1">
      <c r="B62" s="345">
        <v>46935</v>
      </c>
      <c r="C62" s="341">
        <v>0</v>
      </c>
      <c r="D62" s="342">
        <f t="shared" si="0"/>
        <v>0</v>
      </c>
      <c r="E62" s="343">
        <f>D62*'Cash-flow PLAN'!$D$54/12</f>
        <v>0</v>
      </c>
      <c r="G62" s="345">
        <v>46935</v>
      </c>
      <c r="H62" s="341">
        <v>0</v>
      </c>
      <c r="I62" s="342">
        <f t="shared" si="1"/>
        <v>-16365002</v>
      </c>
      <c r="J62" s="343">
        <f>I62*'Cash-flow PLAN'!$D$55/12</f>
        <v>-143193.76749999999</v>
      </c>
      <c r="L62" s="345">
        <v>46935</v>
      </c>
      <c r="M62" s="341">
        <v>0</v>
      </c>
      <c r="N62" s="342">
        <f t="shared" si="2"/>
        <v>0</v>
      </c>
      <c r="O62" s="343">
        <f>N62*'Cash-flow PLAN'!$D$56/12</f>
        <v>0</v>
      </c>
      <c r="Q62" s="345">
        <v>46935</v>
      </c>
      <c r="R62" s="341">
        <v>0</v>
      </c>
      <c r="S62" s="342">
        <f t="shared" si="3"/>
        <v>0</v>
      </c>
      <c r="T62" s="343">
        <f>S62*'Cash-flow PLAN'!$D$57/12</f>
        <v>0</v>
      </c>
    </row>
    <row r="63" spans="2:20" ht="14.1">
      <c r="B63" s="345">
        <v>46966</v>
      </c>
      <c r="C63" s="341">
        <v>0</v>
      </c>
      <c r="D63" s="342">
        <f t="shared" si="0"/>
        <v>0</v>
      </c>
      <c r="E63" s="343">
        <f>D63*'Cash-flow PLAN'!$D$54/12</f>
        <v>0</v>
      </c>
      <c r="G63" s="345">
        <v>46966</v>
      </c>
      <c r="H63" s="341">
        <v>0</v>
      </c>
      <c r="I63" s="342">
        <f t="shared" si="1"/>
        <v>-16365002</v>
      </c>
      <c r="J63" s="343">
        <f>I63*'Cash-flow PLAN'!$D$55/12</f>
        <v>-143193.76749999999</v>
      </c>
      <c r="L63" s="345">
        <v>46966</v>
      </c>
      <c r="M63" s="341">
        <v>0</v>
      </c>
      <c r="N63" s="342">
        <f t="shared" si="2"/>
        <v>0</v>
      </c>
      <c r="O63" s="343">
        <f>N63*'Cash-flow PLAN'!$D$56/12</f>
        <v>0</v>
      </c>
      <c r="Q63" s="345">
        <v>46966</v>
      </c>
      <c r="R63" s="341">
        <v>0</v>
      </c>
      <c r="S63" s="342">
        <f t="shared" si="3"/>
        <v>0</v>
      </c>
      <c r="T63" s="343">
        <f>S63*'Cash-flow PLAN'!$D$57/12</f>
        <v>0</v>
      </c>
    </row>
    <row r="64" spans="2:20" ht="14.1">
      <c r="B64" s="345">
        <v>46997</v>
      </c>
      <c r="C64" s="341">
        <v>0</v>
      </c>
      <c r="D64" s="342">
        <f t="shared" si="0"/>
        <v>0</v>
      </c>
      <c r="E64" s="343">
        <f>D64*'Cash-flow PLAN'!$D$54/12</f>
        <v>0</v>
      </c>
      <c r="G64" s="345">
        <v>46997</v>
      </c>
      <c r="H64" s="341">
        <v>0</v>
      </c>
      <c r="I64" s="342">
        <f t="shared" si="1"/>
        <v>-16365002</v>
      </c>
      <c r="J64" s="343">
        <f>I64*'Cash-flow PLAN'!$D$55/12</f>
        <v>-143193.76749999999</v>
      </c>
      <c r="L64" s="345">
        <v>46997</v>
      </c>
      <c r="M64" s="341">
        <v>0</v>
      </c>
      <c r="N64" s="342">
        <f t="shared" si="2"/>
        <v>0</v>
      </c>
      <c r="O64" s="343">
        <f>N64*'Cash-flow PLAN'!$D$56/12</f>
        <v>0</v>
      </c>
      <c r="Q64" s="345">
        <v>46997</v>
      </c>
      <c r="R64" s="341">
        <v>0</v>
      </c>
      <c r="S64" s="342">
        <f t="shared" si="3"/>
        <v>0</v>
      </c>
      <c r="T64" s="343">
        <f>S64*'Cash-flow PLAN'!$D$57/12</f>
        <v>0</v>
      </c>
    </row>
    <row r="65" spans="2:20" ht="14.1">
      <c r="B65" s="345">
        <v>47027</v>
      </c>
      <c r="C65" s="341">
        <v>0</v>
      </c>
      <c r="D65" s="342">
        <f t="shared" si="0"/>
        <v>0</v>
      </c>
      <c r="E65" s="343">
        <f>D65*'Cash-flow PLAN'!$D$54/12</f>
        <v>0</v>
      </c>
      <c r="G65" s="345">
        <v>47027</v>
      </c>
      <c r="H65" s="341">
        <v>0</v>
      </c>
      <c r="I65" s="342">
        <f t="shared" si="1"/>
        <v>-16365002</v>
      </c>
      <c r="J65" s="343">
        <f>I65*'Cash-flow PLAN'!$D$55/12</f>
        <v>-143193.76749999999</v>
      </c>
      <c r="L65" s="345">
        <v>47027</v>
      </c>
      <c r="M65" s="341">
        <v>0</v>
      </c>
      <c r="N65" s="342">
        <f t="shared" si="2"/>
        <v>0</v>
      </c>
      <c r="O65" s="343">
        <f>N65*'Cash-flow PLAN'!$D$56/12</f>
        <v>0</v>
      </c>
      <c r="Q65" s="345">
        <v>47027</v>
      </c>
      <c r="R65" s="341">
        <v>0</v>
      </c>
      <c r="S65" s="342">
        <f t="shared" si="3"/>
        <v>0</v>
      </c>
      <c r="T65" s="343">
        <f>S65*'Cash-flow PLAN'!$D$57/12</f>
        <v>0</v>
      </c>
    </row>
    <row r="66" spans="2:20" ht="14.1">
      <c r="B66" s="345">
        <v>47058</v>
      </c>
      <c r="C66" s="341">
        <v>0</v>
      </c>
      <c r="D66" s="342">
        <f t="shared" si="0"/>
        <v>0</v>
      </c>
      <c r="E66" s="343">
        <f>D66*'Cash-flow PLAN'!$D$54/12</f>
        <v>0</v>
      </c>
      <c r="G66" s="345">
        <v>47058</v>
      </c>
      <c r="H66" s="341">
        <v>0</v>
      </c>
      <c r="I66" s="342">
        <f t="shared" si="1"/>
        <v>-16365002</v>
      </c>
      <c r="J66" s="343">
        <f>I66*'Cash-flow PLAN'!$D$55/12</f>
        <v>-143193.76749999999</v>
      </c>
      <c r="L66" s="345">
        <v>47058</v>
      </c>
      <c r="M66" s="341">
        <v>0</v>
      </c>
      <c r="N66" s="342">
        <f t="shared" si="2"/>
        <v>0</v>
      </c>
      <c r="O66" s="343">
        <f>N66*'Cash-flow PLAN'!$D$56/12</f>
        <v>0</v>
      </c>
      <c r="Q66" s="345">
        <v>47058</v>
      </c>
      <c r="R66" s="341">
        <v>0</v>
      </c>
      <c r="S66" s="342">
        <f t="shared" si="3"/>
        <v>0</v>
      </c>
      <c r="T66" s="343">
        <f>S66*'Cash-flow PLAN'!$D$57/12</f>
        <v>0</v>
      </c>
    </row>
    <row r="67" spans="2:20" ht="14.1">
      <c r="B67" s="345">
        <v>47088</v>
      </c>
      <c r="C67" s="341">
        <v>0</v>
      </c>
      <c r="D67" s="342">
        <f t="shared" si="0"/>
        <v>0</v>
      </c>
      <c r="E67" s="343">
        <f>D67*'Cash-flow PLAN'!$D$54/12</f>
        <v>0</v>
      </c>
      <c r="G67" s="345">
        <v>47088</v>
      </c>
      <c r="H67" s="341">
        <v>0</v>
      </c>
      <c r="I67" s="342">
        <f t="shared" si="1"/>
        <v>-16365002</v>
      </c>
      <c r="J67" s="343">
        <f>I67*'Cash-flow PLAN'!$D$55/12</f>
        <v>-143193.76749999999</v>
      </c>
      <c r="L67" s="345">
        <v>47088</v>
      </c>
      <c r="M67" s="341">
        <v>0</v>
      </c>
      <c r="N67" s="342">
        <f t="shared" si="2"/>
        <v>0</v>
      </c>
      <c r="O67" s="343">
        <f>N67*'Cash-flow PLAN'!$D$56/12</f>
        <v>0</v>
      </c>
      <c r="Q67" s="345">
        <v>47088</v>
      </c>
      <c r="R67" s="341">
        <v>0</v>
      </c>
      <c r="S67" s="342">
        <f t="shared" si="3"/>
        <v>0</v>
      </c>
      <c r="T67" s="343">
        <f>S67*'Cash-flow PLAN'!$D$57/12</f>
        <v>0</v>
      </c>
    </row>
    <row r="68" spans="2:20" ht="14.1">
      <c r="B68" s="340">
        <v>47119</v>
      </c>
      <c r="C68" s="341">
        <v>0</v>
      </c>
      <c r="D68" s="342">
        <f t="shared" si="0"/>
        <v>0</v>
      </c>
      <c r="E68" s="343">
        <f>D68*'Cash-flow PLAN'!$D$54/12</f>
        <v>0</v>
      </c>
      <c r="G68" s="340">
        <v>47119</v>
      </c>
      <c r="H68" s="341">
        <v>0</v>
      </c>
      <c r="I68" s="342">
        <f t="shared" si="1"/>
        <v>-16365002</v>
      </c>
      <c r="J68" s="343">
        <f>I68*'Cash-flow PLAN'!$D$55/12</f>
        <v>-143193.76749999999</v>
      </c>
      <c r="L68" s="340">
        <v>47119</v>
      </c>
      <c r="M68" s="341">
        <v>0</v>
      </c>
      <c r="N68" s="342">
        <f t="shared" si="2"/>
        <v>0</v>
      </c>
      <c r="O68" s="343">
        <f>N68*'Cash-flow PLAN'!$D$56/12</f>
        <v>0</v>
      </c>
      <c r="Q68" s="340">
        <v>47119</v>
      </c>
      <c r="R68" s="341">
        <v>0</v>
      </c>
      <c r="S68" s="342">
        <f t="shared" si="3"/>
        <v>0</v>
      </c>
      <c r="T68" s="343">
        <f>S68*'Cash-flow PLAN'!$D$57/12</f>
        <v>0</v>
      </c>
    </row>
    <row r="69" spans="2:20" ht="14.1">
      <c r="B69" s="345">
        <v>47150</v>
      </c>
      <c r="C69" s="341">
        <v>0</v>
      </c>
      <c r="D69" s="342">
        <f t="shared" si="0"/>
        <v>0</v>
      </c>
      <c r="E69" s="343">
        <f>D69*'Cash-flow PLAN'!$D$54/12</f>
        <v>0</v>
      </c>
      <c r="G69" s="345">
        <v>47150</v>
      </c>
      <c r="H69" s="341">
        <v>0</v>
      </c>
      <c r="I69" s="342">
        <f t="shared" si="1"/>
        <v>-16365002</v>
      </c>
      <c r="J69" s="343">
        <f>I69*'Cash-flow PLAN'!$D$55/12</f>
        <v>-143193.76749999999</v>
      </c>
      <c r="L69" s="345">
        <v>47150</v>
      </c>
      <c r="M69" s="341">
        <v>0</v>
      </c>
      <c r="N69" s="342">
        <f t="shared" si="2"/>
        <v>0</v>
      </c>
      <c r="O69" s="343">
        <f>N69*'Cash-flow PLAN'!$D$56/12</f>
        <v>0</v>
      </c>
      <c r="Q69" s="345">
        <v>47150</v>
      </c>
      <c r="R69" s="341">
        <v>0</v>
      </c>
      <c r="S69" s="342">
        <f t="shared" si="3"/>
        <v>0</v>
      </c>
      <c r="T69" s="343">
        <f>S69*'Cash-flow PLAN'!$D$57/12</f>
        <v>0</v>
      </c>
    </row>
    <row r="70" spans="2:20" ht="14.1">
      <c r="B70" s="345">
        <v>47178</v>
      </c>
      <c r="C70" s="341">
        <v>0</v>
      </c>
      <c r="D70" s="342">
        <f t="shared" si="0"/>
        <v>0</v>
      </c>
      <c r="E70" s="343">
        <f>D70*'Cash-flow PLAN'!$D$54/12</f>
        <v>0</v>
      </c>
      <c r="G70" s="345">
        <v>47178</v>
      </c>
      <c r="H70" s="341">
        <v>0</v>
      </c>
      <c r="I70" s="342">
        <f t="shared" si="1"/>
        <v>-16365002</v>
      </c>
      <c r="J70" s="343">
        <f>I70*'Cash-flow PLAN'!$D$55/12</f>
        <v>-143193.76749999999</v>
      </c>
      <c r="L70" s="345">
        <v>47178</v>
      </c>
      <c r="M70" s="341">
        <v>0</v>
      </c>
      <c r="N70" s="342">
        <f t="shared" si="2"/>
        <v>0</v>
      </c>
      <c r="O70" s="343">
        <f>N70*'Cash-flow PLAN'!$D$56/12</f>
        <v>0</v>
      </c>
      <c r="Q70" s="345">
        <v>47178</v>
      </c>
      <c r="R70" s="341">
        <v>0</v>
      </c>
      <c r="S70" s="342">
        <f t="shared" si="3"/>
        <v>0</v>
      </c>
      <c r="T70" s="343">
        <f>S70*'Cash-flow PLAN'!$D$57/12</f>
        <v>0</v>
      </c>
    </row>
    <row r="71" spans="2:20" ht="14.1">
      <c r="B71" s="345">
        <v>47209</v>
      </c>
      <c r="C71" s="341">
        <v>0</v>
      </c>
      <c r="D71" s="342">
        <f t="shared" si="0"/>
        <v>0</v>
      </c>
      <c r="E71" s="343">
        <f>D71*'Cash-flow PLAN'!$D$54/12</f>
        <v>0</v>
      </c>
      <c r="G71" s="345">
        <v>47209</v>
      </c>
      <c r="H71" s="341">
        <v>0</v>
      </c>
      <c r="I71" s="342">
        <f t="shared" si="1"/>
        <v>-16365002</v>
      </c>
      <c r="J71" s="343">
        <f>I71*'Cash-flow PLAN'!$D$55/12</f>
        <v>-143193.76749999999</v>
      </c>
      <c r="L71" s="345">
        <v>47209</v>
      </c>
      <c r="M71" s="341">
        <v>0</v>
      </c>
      <c r="N71" s="342">
        <f t="shared" si="2"/>
        <v>0</v>
      </c>
      <c r="O71" s="343">
        <f>N71*'Cash-flow PLAN'!$D$56/12</f>
        <v>0</v>
      </c>
      <c r="Q71" s="345">
        <v>47209</v>
      </c>
      <c r="R71" s="341">
        <v>0</v>
      </c>
      <c r="S71" s="342">
        <f t="shared" si="3"/>
        <v>0</v>
      </c>
      <c r="T71" s="343">
        <f>S71*'Cash-flow PLAN'!$D$57/12</f>
        <v>0</v>
      </c>
    </row>
    <row r="72" spans="2:20" ht="14.1">
      <c r="B72" s="345">
        <v>47239</v>
      </c>
      <c r="C72" s="341">
        <v>0</v>
      </c>
      <c r="D72" s="342">
        <f t="shared" si="0"/>
        <v>0</v>
      </c>
      <c r="E72" s="343">
        <f>D72*'Cash-flow PLAN'!$D$54/12</f>
        <v>0</v>
      </c>
      <c r="G72" s="345">
        <v>47239</v>
      </c>
      <c r="H72" s="341">
        <v>0</v>
      </c>
      <c r="I72" s="342">
        <f t="shared" si="1"/>
        <v>-16365002</v>
      </c>
      <c r="J72" s="343">
        <f>I72*'Cash-flow PLAN'!$D$55/12</f>
        <v>-143193.76749999999</v>
      </c>
      <c r="L72" s="345">
        <v>47239</v>
      </c>
      <c r="M72" s="341">
        <v>0</v>
      </c>
      <c r="N72" s="342">
        <f t="shared" si="2"/>
        <v>0</v>
      </c>
      <c r="O72" s="343">
        <f>N72*'Cash-flow PLAN'!$D$56/12</f>
        <v>0</v>
      </c>
      <c r="Q72" s="345">
        <v>47239</v>
      </c>
      <c r="R72" s="341">
        <v>0</v>
      </c>
      <c r="S72" s="342">
        <f t="shared" si="3"/>
        <v>0</v>
      </c>
      <c r="T72" s="343">
        <f>S72*'Cash-flow PLAN'!$D$57/12</f>
        <v>0</v>
      </c>
    </row>
    <row r="73" spans="2:20" ht="14.1">
      <c r="B73" s="346">
        <v>47270</v>
      </c>
      <c r="C73" s="341">
        <v>0</v>
      </c>
      <c r="D73" s="342">
        <f t="shared" si="0"/>
        <v>0</v>
      </c>
      <c r="E73" s="343">
        <f>D73*'Cash-flow PLAN'!$D$54/12</f>
        <v>0</v>
      </c>
      <c r="G73" s="346">
        <v>47270</v>
      </c>
      <c r="H73" s="341">
        <v>0</v>
      </c>
      <c r="I73" s="342">
        <f t="shared" si="1"/>
        <v>-16365002</v>
      </c>
      <c r="J73" s="343">
        <f>I73*'Cash-flow PLAN'!$D$55/12</f>
        <v>-143193.76749999999</v>
      </c>
      <c r="L73" s="346">
        <v>47270</v>
      </c>
      <c r="M73" s="341">
        <v>0</v>
      </c>
      <c r="N73" s="342">
        <f t="shared" si="2"/>
        <v>0</v>
      </c>
      <c r="O73" s="343">
        <f>N73*'Cash-flow PLAN'!$D$56/12</f>
        <v>0</v>
      </c>
      <c r="Q73" s="346">
        <v>47270</v>
      </c>
      <c r="R73" s="341">
        <v>0</v>
      </c>
      <c r="S73" s="342">
        <f t="shared" si="3"/>
        <v>0</v>
      </c>
      <c r="T73" s="343">
        <f>S73*'Cash-flow PLAN'!$D$57/12</f>
        <v>0</v>
      </c>
    </row>
    <row r="74" spans="2:20" ht="14.1">
      <c r="B74" s="345">
        <v>47300</v>
      </c>
      <c r="C74" s="341">
        <v>0</v>
      </c>
      <c r="D74" s="342">
        <f t="shared" si="0"/>
        <v>0</v>
      </c>
      <c r="E74" s="343">
        <f>D74*'Cash-flow PLAN'!$D$54/12</f>
        <v>0</v>
      </c>
      <c r="G74" s="345">
        <v>47300</v>
      </c>
      <c r="H74" s="341">
        <v>0</v>
      </c>
      <c r="I74" s="342">
        <f t="shared" si="1"/>
        <v>-16365002</v>
      </c>
      <c r="J74" s="343">
        <f>I74*'Cash-flow PLAN'!$D$55/12</f>
        <v>-143193.76749999999</v>
      </c>
      <c r="L74" s="345">
        <v>47300</v>
      </c>
      <c r="M74" s="341">
        <v>0</v>
      </c>
      <c r="N74" s="342">
        <f t="shared" si="2"/>
        <v>0</v>
      </c>
      <c r="O74" s="343">
        <f>N74*'Cash-flow PLAN'!$D$56/12</f>
        <v>0</v>
      </c>
      <c r="Q74" s="345">
        <v>47300</v>
      </c>
      <c r="R74" s="341">
        <v>0</v>
      </c>
      <c r="S74" s="342">
        <f t="shared" si="3"/>
        <v>0</v>
      </c>
      <c r="T74" s="343">
        <f>S74*'Cash-flow PLAN'!$D$57/12</f>
        <v>0</v>
      </c>
    </row>
    <row r="75" spans="2:20" ht="14.1">
      <c r="B75" s="345">
        <v>47331</v>
      </c>
      <c r="C75" s="341">
        <v>0</v>
      </c>
      <c r="D75" s="342">
        <f t="shared" si="0"/>
        <v>0</v>
      </c>
      <c r="E75" s="343">
        <f>D75*'Cash-flow PLAN'!$D$54/12</f>
        <v>0</v>
      </c>
      <c r="G75" s="345">
        <v>47331</v>
      </c>
      <c r="H75" s="341">
        <v>0</v>
      </c>
      <c r="I75" s="342">
        <f t="shared" si="1"/>
        <v>-16365002</v>
      </c>
      <c r="J75" s="343">
        <f>I75*'Cash-flow PLAN'!$D$55/12</f>
        <v>-143193.76749999999</v>
      </c>
      <c r="L75" s="345">
        <v>47331</v>
      </c>
      <c r="M75" s="341">
        <v>0</v>
      </c>
      <c r="N75" s="342">
        <f t="shared" si="2"/>
        <v>0</v>
      </c>
      <c r="O75" s="343">
        <f>N75*'Cash-flow PLAN'!$D$56/12</f>
        <v>0</v>
      </c>
      <c r="Q75" s="345">
        <v>47331</v>
      </c>
      <c r="R75" s="341">
        <v>0</v>
      </c>
      <c r="S75" s="342">
        <f t="shared" si="3"/>
        <v>0</v>
      </c>
      <c r="T75" s="343">
        <f>S75*'Cash-flow PLAN'!$D$57/12</f>
        <v>0</v>
      </c>
    </row>
    <row r="76" spans="2:20" ht="14.1">
      <c r="B76" s="345">
        <v>47362</v>
      </c>
      <c r="C76" s="341">
        <v>0</v>
      </c>
      <c r="D76" s="342">
        <f t="shared" si="0"/>
        <v>0</v>
      </c>
      <c r="E76" s="343">
        <f>D76*'Cash-flow PLAN'!$D$54/12</f>
        <v>0</v>
      </c>
      <c r="G76" s="345">
        <v>47362</v>
      </c>
      <c r="H76" s="341">
        <v>0</v>
      </c>
      <c r="I76" s="342">
        <f t="shared" si="1"/>
        <v>-16365002</v>
      </c>
      <c r="J76" s="343">
        <f>I76*'Cash-flow PLAN'!$D$55/12</f>
        <v>-143193.76749999999</v>
      </c>
      <c r="L76" s="345">
        <v>47362</v>
      </c>
      <c r="M76" s="341">
        <v>0</v>
      </c>
      <c r="N76" s="342">
        <f t="shared" si="2"/>
        <v>0</v>
      </c>
      <c r="O76" s="343">
        <f>N76*'Cash-flow PLAN'!$D$56/12</f>
        <v>0</v>
      </c>
      <c r="Q76" s="345">
        <v>47362</v>
      </c>
      <c r="R76" s="341">
        <v>0</v>
      </c>
      <c r="S76" s="342">
        <f t="shared" si="3"/>
        <v>0</v>
      </c>
      <c r="T76" s="343">
        <f>S76*'Cash-flow PLAN'!$D$57/12</f>
        <v>0</v>
      </c>
    </row>
    <row r="77" spans="2:20" ht="14.1">
      <c r="B77" s="345">
        <v>47392</v>
      </c>
      <c r="C77" s="341">
        <v>0</v>
      </c>
      <c r="D77" s="342">
        <f t="shared" si="0"/>
        <v>0</v>
      </c>
      <c r="E77" s="343">
        <f>D77*'Cash-flow PLAN'!$D$54/12</f>
        <v>0</v>
      </c>
      <c r="G77" s="345">
        <v>47392</v>
      </c>
      <c r="H77" s="341">
        <v>0</v>
      </c>
      <c r="I77" s="342">
        <f t="shared" si="1"/>
        <v>-16365002</v>
      </c>
      <c r="J77" s="343">
        <f>I77*'Cash-flow PLAN'!$D$55/12</f>
        <v>-143193.76749999999</v>
      </c>
      <c r="L77" s="345">
        <v>47392</v>
      </c>
      <c r="M77" s="341">
        <v>0</v>
      </c>
      <c r="N77" s="342">
        <f t="shared" si="2"/>
        <v>0</v>
      </c>
      <c r="O77" s="343">
        <f>N77*'Cash-flow PLAN'!$D$56/12</f>
        <v>0</v>
      </c>
      <c r="Q77" s="345">
        <v>47392</v>
      </c>
      <c r="R77" s="341">
        <v>0</v>
      </c>
      <c r="S77" s="342">
        <f t="shared" si="3"/>
        <v>0</v>
      </c>
      <c r="T77" s="343">
        <f>S77*'Cash-flow PLAN'!$D$57/12</f>
        <v>0</v>
      </c>
    </row>
    <row r="78" spans="2:20" ht="14.1">
      <c r="B78" s="345">
        <v>47423</v>
      </c>
      <c r="C78" s="341">
        <v>0</v>
      </c>
      <c r="D78" s="342">
        <f t="shared" si="0"/>
        <v>0</v>
      </c>
      <c r="E78" s="343">
        <f>D78*'Cash-flow PLAN'!$D$54/12</f>
        <v>0</v>
      </c>
      <c r="G78" s="345">
        <v>47423</v>
      </c>
      <c r="H78" s="341">
        <v>0</v>
      </c>
      <c r="I78" s="342">
        <f t="shared" si="1"/>
        <v>-16365002</v>
      </c>
      <c r="J78" s="343">
        <f>I78*'Cash-flow PLAN'!$D$55/12</f>
        <v>-143193.76749999999</v>
      </c>
      <c r="L78" s="345">
        <v>47423</v>
      </c>
      <c r="M78" s="341">
        <v>0</v>
      </c>
      <c r="N78" s="342">
        <f t="shared" si="2"/>
        <v>0</v>
      </c>
      <c r="O78" s="343">
        <f>N78*'Cash-flow PLAN'!$D$56/12</f>
        <v>0</v>
      </c>
      <c r="Q78" s="345">
        <v>47423</v>
      </c>
      <c r="R78" s="341">
        <v>0</v>
      </c>
      <c r="S78" s="342">
        <f t="shared" si="3"/>
        <v>0</v>
      </c>
      <c r="T78" s="343">
        <f>S78*'Cash-flow PLAN'!$D$57/12</f>
        <v>0</v>
      </c>
    </row>
    <row r="79" spans="2:20" ht="14.1">
      <c r="B79" s="345">
        <v>47453</v>
      </c>
      <c r="C79" s="341">
        <v>0</v>
      </c>
      <c r="D79" s="342">
        <f>D78</f>
        <v>0</v>
      </c>
      <c r="E79" s="343">
        <f>D79*'Cash-flow PLAN'!$D$54/12</f>
        <v>0</v>
      </c>
      <c r="G79" s="345">
        <v>47453</v>
      </c>
      <c r="H79" s="341">
        <v>0</v>
      </c>
      <c r="I79" s="342">
        <f>I78</f>
        <v>-16365002</v>
      </c>
      <c r="J79" s="343">
        <f>I79*'Cash-flow PLAN'!$D$55/12</f>
        <v>-143193.76749999999</v>
      </c>
      <c r="L79" s="345">
        <v>47453</v>
      </c>
      <c r="M79" s="341">
        <v>-13002832.540510181</v>
      </c>
      <c r="N79" s="342">
        <f>N78</f>
        <v>0</v>
      </c>
      <c r="O79" s="343">
        <f>N79*'Cash-flow PLAN'!$D$56/12</f>
        <v>0</v>
      </c>
      <c r="Q79" s="345">
        <v>47453</v>
      </c>
      <c r="R79" s="341">
        <v>0</v>
      </c>
      <c r="S79" s="342">
        <f>S78</f>
        <v>0</v>
      </c>
      <c r="T79" s="343">
        <f>S79*'Cash-flow PLAN'!$D$57/12</f>
        <v>0</v>
      </c>
    </row>
  </sheetData>
  <mergeCells count="4">
    <mergeCell ref="B2:E3"/>
    <mergeCell ref="G2:J3"/>
    <mergeCell ref="L2:O3"/>
    <mergeCell ref="Q2:T3"/>
  </mergeCells>
  <pageMargins left="0" right="0" top="0" bottom="0" header="0" footer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B996"/>
  <sheetViews>
    <sheetView workbookViewId="0"/>
  </sheetViews>
  <sheetFormatPr defaultColWidth="12.625" defaultRowHeight="15" customHeight="1"/>
  <cols>
    <col min="1" max="1" width="4.375" customWidth="1"/>
    <col min="2" max="2" width="48.5" customWidth="1"/>
    <col min="3" max="3" width="8" customWidth="1"/>
    <col min="4" max="4" width="14.125" customWidth="1"/>
    <col min="5" max="5" width="16.625" customWidth="1"/>
    <col min="6" max="6" width="22.625" customWidth="1"/>
    <col min="7" max="7" width="4" customWidth="1"/>
    <col min="8" max="8" width="4.375" customWidth="1"/>
    <col min="9" max="9" width="36.125" customWidth="1"/>
    <col min="10" max="10" width="8.625" customWidth="1"/>
    <col min="11" max="11" width="14.5" customWidth="1"/>
    <col min="12" max="12" width="9.625" customWidth="1"/>
    <col min="13" max="13" width="12.875" customWidth="1"/>
    <col min="14" max="14" width="20.125" customWidth="1"/>
    <col min="15" max="16" width="4.375" customWidth="1"/>
    <col min="17" max="17" width="40.875" customWidth="1"/>
    <col min="18" max="18" width="77" customWidth="1"/>
    <col min="19" max="19" width="7" customWidth="1"/>
    <col min="20" max="20" width="40.625" customWidth="1"/>
    <col min="21" max="21" width="20.625" customWidth="1"/>
    <col min="22" max="28" width="7" customWidth="1"/>
  </cols>
  <sheetData>
    <row r="1" spans="1:28" ht="30" customHeight="1">
      <c r="A1" s="59"/>
      <c r="B1" s="531" t="s">
        <v>77</v>
      </c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8" customHeight="1">
      <c r="A2" s="61"/>
      <c r="B2" s="62"/>
      <c r="C2" s="63"/>
      <c r="D2" s="64"/>
      <c r="E2" s="65"/>
      <c r="F2" s="66"/>
      <c r="G2" s="66"/>
      <c r="H2" s="67"/>
      <c r="I2" s="67"/>
      <c r="J2" s="63"/>
      <c r="K2" s="63"/>
      <c r="L2" s="64"/>
      <c r="M2" s="65"/>
      <c r="N2" s="68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</row>
    <row r="3" spans="1:28" ht="18" customHeight="1">
      <c r="A3" s="61"/>
      <c r="B3" s="60"/>
      <c r="C3" s="69"/>
      <c r="D3" s="70"/>
      <c r="G3" s="71"/>
      <c r="H3" s="60"/>
      <c r="I3" s="60"/>
      <c r="J3" s="69"/>
      <c r="K3" s="69"/>
      <c r="L3" s="70"/>
      <c r="M3" s="72"/>
      <c r="N3" s="71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30" customHeight="1">
      <c r="A4" s="61"/>
      <c r="B4" s="532" t="s">
        <v>78</v>
      </c>
      <c r="C4" s="589"/>
      <c r="D4" s="589"/>
      <c r="E4" s="589"/>
      <c r="F4" s="590"/>
      <c r="G4" s="73"/>
      <c r="H4" s="60"/>
      <c r="I4" s="533" t="s">
        <v>79</v>
      </c>
      <c r="J4" s="589"/>
      <c r="K4" s="589"/>
      <c r="L4" s="589"/>
      <c r="M4" s="589"/>
      <c r="N4" s="590"/>
      <c r="O4" s="60"/>
      <c r="P4" s="60"/>
      <c r="Q4" s="533" t="s">
        <v>80</v>
      </c>
      <c r="R4" s="59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18" customHeight="1">
      <c r="A5" s="61"/>
      <c r="B5" s="60"/>
      <c r="C5" s="69"/>
      <c r="D5" s="70"/>
      <c r="E5" s="69"/>
      <c r="F5" s="69"/>
      <c r="G5" s="74"/>
      <c r="H5" s="60"/>
      <c r="I5" s="60"/>
      <c r="J5" s="69"/>
      <c r="K5" s="69"/>
      <c r="L5" s="70"/>
      <c r="M5" s="72"/>
      <c r="N5" s="71"/>
      <c r="O5" s="60"/>
      <c r="P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8" customHeight="1">
      <c r="A6" s="61" t="s">
        <v>81</v>
      </c>
      <c r="B6" s="534" t="s">
        <v>82</v>
      </c>
      <c r="C6" s="589"/>
      <c r="D6" s="589"/>
      <c r="E6" s="589"/>
      <c r="F6" s="590"/>
      <c r="G6" s="75"/>
      <c r="H6" s="60"/>
      <c r="I6" s="535" t="s">
        <v>79</v>
      </c>
      <c r="J6" s="589"/>
      <c r="K6" s="589"/>
      <c r="L6" s="589"/>
      <c r="M6" s="589"/>
      <c r="N6" s="590"/>
      <c r="O6" s="60"/>
      <c r="P6" s="60"/>
      <c r="Q6" s="535" t="s">
        <v>83</v>
      </c>
      <c r="R6" s="59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18" customHeight="1">
      <c r="A7" s="61"/>
      <c r="B7" s="76"/>
      <c r="C7" s="77" t="s">
        <v>84</v>
      </c>
      <c r="D7" s="77" t="s">
        <v>85</v>
      </c>
      <c r="E7" s="78" t="s">
        <v>86</v>
      </c>
      <c r="F7" s="79"/>
      <c r="G7" s="74"/>
      <c r="H7" s="60"/>
      <c r="I7" s="80"/>
      <c r="J7" s="78" t="s">
        <v>87</v>
      </c>
      <c r="K7" s="78" t="s">
        <v>88</v>
      </c>
      <c r="L7" s="78" t="s">
        <v>89</v>
      </c>
      <c r="M7" s="78" t="s">
        <v>90</v>
      </c>
      <c r="N7" s="81" t="s">
        <v>91</v>
      </c>
      <c r="O7" s="60"/>
      <c r="P7" s="60"/>
      <c r="Q7" s="82" t="s">
        <v>92</v>
      </c>
      <c r="R7" s="83">
        <v>0</v>
      </c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8" customHeight="1">
      <c r="A8" s="61"/>
      <c r="B8" s="473" t="str">
        <f>'Cash-flow PLAN'!C18</f>
        <v>Nákup nemovitosti/pozemků</v>
      </c>
      <c r="C8" s="84" t="s">
        <v>93</v>
      </c>
      <c r="D8" s="84">
        <v>0</v>
      </c>
      <c r="E8" s="85"/>
      <c r="F8" s="86" t="e">
        <f t="shared" ref="F8:F9" si="0">SUM(#REF!)</f>
        <v>#REF!</v>
      </c>
      <c r="G8" s="74" t="s">
        <v>94</v>
      </c>
      <c r="H8" s="60"/>
      <c r="I8" s="87" t="str">
        <f>Rentroll!A2</f>
        <v>Penny</v>
      </c>
      <c r="J8" s="88">
        <f>Rentroll!C2</f>
        <v>1168.5999999999999</v>
      </c>
      <c r="K8" s="88" t="str">
        <f>Rentroll!B2</f>
        <v>full fit-out</v>
      </c>
      <c r="L8" s="89">
        <f>Rentroll!F2</f>
        <v>378</v>
      </c>
      <c r="M8" s="89">
        <f>Rentroll!I2</f>
        <v>39</v>
      </c>
      <c r="N8" s="90">
        <f>(Rentroll!G2+Rentroll!J2)*1.023</f>
        <v>498514.24259999988</v>
      </c>
      <c r="O8" s="60"/>
      <c r="P8" s="60"/>
      <c r="Q8" s="91" t="s">
        <v>95</v>
      </c>
      <c r="R8" s="92">
        <v>7</v>
      </c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8" customHeight="1">
      <c r="A9" s="61"/>
      <c r="B9" s="473" t="s">
        <v>96</v>
      </c>
      <c r="C9" s="84"/>
      <c r="D9" s="84"/>
      <c r="E9" s="93"/>
      <c r="F9" s="94" t="e">
        <f t="shared" si="0"/>
        <v>#REF!</v>
      </c>
      <c r="G9" s="74" t="s">
        <v>94</v>
      </c>
      <c r="H9" s="60"/>
      <c r="I9" s="87" t="str">
        <f>Rentroll!A3</f>
        <v>Alza</v>
      </c>
      <c r="J9" s="88">
        <f>Rentroll!C3</f>
        <v>1</v>
      </c>
      <c r="K9" s="88" t="str">
        <f>Rentroll!B3</f>
        <v>pozemek</v>
      </c>
      <c r="L9" s="89">
        <f>Rentroll!F3</f>
        <v>3500</v>
      </c>
      <c r="M9" s="89">
        <f>Rentroll!I3</f>
        <v>500</v>
      </c>
      <c r="N9" s="90">
        <f>Rentroll!G3+Rentroll!J3</f>
        <v>4000</v>
      </c>
      <c r="O9" s="60"/>
      <c r="P9" s="60"/>
      <c r="Q9" s="87" t="s">
        <v>97</v>
      </c>
      <c r="R9" s="95">
        <v>2</v>
      </c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8" customHeight="1">
      <c r="A10" s="61"/>
      <c r="B10" s="473" t="str">
        <f>'Cash-flow PLAN'!$C$19</f>
        <v>ZPF</v>
      </c>
      <c r="C10" s="84" t="s">
        <v>93</v>
      </c>
      <c r="D10" s="84"/>
      <c r="E10" s="93">
        <v>0</v>
      </c>
      <c r="F10" s="94">
        <f>D10*E10</f>
        <v>0</v>
      </c>
      <c r="G10" s="96"/>
      <c r="H10" s="60"/>
      <c r="I10" s="87" t="str">
        <f>Rentroll!A4</f>
        <v>Myčka</v>
      </c>
      <c r="J10" s="88">
        <f>Rentroll!C4</f>
        <v>0</v>
      </c>
      <c r="K10" s="88" t="str">
        <f>Rentroll!B4</f>
        <v>pozemek</v>
      </c>
      <c r="L10" s="89">
        <f>Rentroll!F4</f>
        <v>0</v>
      </c>
      <c r="M10" s="89">
        <f>Rentroll!I4</f>
        <v>0</v>
      </c>
      <c r="N10" s="90">
        <f>Rentroll!G4+Rentroll!J4</f>
        <v>15000</v>
      </c>
      <c r="O10" s="60"/>
      <c r="P10" s="60"/>
      <c r="Q10" s="97" t="s">
        <v>98</v>
      </c>
      <c r="R10" s="98">
        <v>3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8" customHeight="1">
      <c r="A11" s="61"/>
      <c r="B11" s="473" t="str">
        <f>'Cash-flow PLAN'!$C$20</f>
        <v>Předakviziční analýza</v>
      </c>
      <c r="C11" s="84" t="s">
        <v>93</v>
      </c>
      <c r="D11" s="84"/>
      <c r="E11" s="93"/>
      <c r="F11" s="94"/>
      <c r="G11" s="96"/>
      <c r="H11" s="60"/>
      <c r="I11" s="87" t="str">
        <f>Rentroll!A5</f>
        <v>Pepco</v>
      </c>
      <c r="J11" s="88">
        <f>Rentroll!C5</f>
        <v>500</v>
      </c>
      <c r="K11" s="88" t="str">
        <f>Rentroll!B5</f>
        <v>full fit-out</v>
      </c>
      <c r="L11" s="89">
        <f>Rentroll!F5</f>
        <v>311.21999999999997</v>
      </c>
      <c r="M11" s="89">
        <f>Rentroll!I5</f>
        <v>45.36</v>
      </c>
      <c r="N11" s="90">
        <f>Rentroll!G5+Rentroll!J5</f>
        <v>178289.99999999997</v>
      </c>
      <c r="O11" s="60"/>
      <c r="P11" s="60"/>
      <c r="Q11" s="87" t="s">
        <v>99</v>
      </c>
      <c r="R11" s="95">
        <v>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8" customHeight="1">
      <c r="B12" s="473" t="str">
        <f>'Cash-flow PLAN'!$C$21</f>
        <v>Provize za nákup (INT)</v>
      </c>
      <c r="C12" s="84" t="s">
        <v>100</v>
      </c>
      <c r="D12" s="99">
        <v>0</v>
      </c>
      <c r="E12" s="93">
        <v>0</v>
      </c>
      <c r="F12" s="94" t="e">
        <f>F8*D12</f>
        <v>#REF!</v>
      </c>
      <c r="G12" s="96"/>
      <c r="H12" s="60"/>
      <c r="I12" s="87" t="str">
        <f>Rentroll!A6</f>
        <v>Teta</v>
      </c>
      <c r="J12" s="88">
        <f>Rentroll!C6</f>
        <v>220.5</v>
      </c>
      <c r="K12" s="88" t="str">
        <f>Rentroll!B6</f>
        <v>full fit-out</v>
      </c>
      <c r="L12" s="89">
        <f>Rentroll!F6</f>
        <v>335.16</v>
      </c>
      <c r="M12" s="89">
        <f>Rentroll!I6</f>
        <v>37.799999999999997</v>
      </c>
      <c r="N12" s="90">
        <f>Rentroll!G6+Rentroll!J6</f>
        <v>82237.679999999993</v>
      </c>
      <c r="O12" s="60"/>
      <c r="P12" s="60"/>
      <c r="Q12" s="87" t="s">
        <v>101</v>
      </c>
      <c r="R12" s="95">
        <v>6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8" customHeight="1">
      <c r="B13" s="473" t="str">
        <f>'Cash-flow PLAN'!$C$22</f>
        <v>Provize za nákup (EXT)</v>
      </c>
      <c r="C13" s="84" t="s">
        <v>100</v>
      </c>
      <c r="D13" s="99">
        <v>0</v>
      </c>
      <c r="E13" s="93">
        <v>0</v>
      </c>
      <c r="F13" s="94" t="e">
        <f>F8*D13</f>
        <v>#REF!</v>
      </c>
      <c r="G13" s="100"/>
      <c r="H13" s="60"/>
      <c r="I13" s="87" t="str">
        <f>Rentroll!A7</f>
        <v>Traficon</v>
      </c>
      <c r="J13" s="88">
        <f>Rentroll!C7</f>
        <v>49</v>
      </c>
      <c r="K13" s="88" t="str">
        <f>Rentroll!B7</f>
        <v>full fit-out</v>
      </c>
      <c r="L13" s="89">
        <f>Rentroll!F7</f>
        <v>1134</v>
      </c>
      <c r="M13" s="89">
        <f>Rentroll!I7</f>
        <v>37.799999999999997</v>
      </c>
      <c r="N13" s="90">
        <f>Rentroll!G7+Rentroll!J7</f>
        <v>57418.2</v>
      </c>
      <c r="O13" s="60"/>
      <c r="P13" s="60"/>
      <c r="Q13" s="101" t="s">
        <v>102</v>
      </c>
      <c r="R13" s="102">
        <v>0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8" customHeight="1">
      <c r="B14" s="103" t="s">
        <v>103</v>
      </c>
      <c r="C14" s="536" t="e">
        <f>SUM(F8:F13)</f>
        <v>#REF!</v>
      </c>
      <c r="D14" s="589"/>
      <c r="E14" s="589"/>
      <c r="F14" s="590"/>
      <c r="G14" s="104"/>
      <c r="H14" s="60"/>
      <c r="I14" s="87" t="str">
        <f>Rentroll!A8</f>
        <v>Salon Beauty</v>
      </c>
      <c r="J14" s="88">
        <f>Rentroll!C8</f>
        <v>141.5</v>
      </c>
      <c r="K14" s="88" t="str">
        <f>Rentroll!B8</f>
        <v>full fit-out</v>
      </c>
      <c r="L14" s="89">
        <f>Rentroll!F8</f>
        <v>327.59999999999997</v>
      </c>
      <c r="M14" s="89">
        <f>Rentroll!I8</f>
        <v>37.799999999999997</v>
      </c>
      <c r="N14" s="90">
        <f>Rentroll!G8+Rentroll!J8</f>
        <v>51704.099999999991</v>
      </c>
      <c r="O14" s="60"/>
      <c r="P14" s="60"/>
      <c r="Q14" s="105" t="s">
        <v>104</v>
      </c>
      <c r="R14" s="106">
        <f>SUM(R7:R13)</f>
        <v>19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8" customHeight="1">
      <c r="A15" s="61"/>
      <c r="B15" s="107" t="s">
        <v>105</v>
      </c>
      <c r="C15" s="27"/>
      <c r="D15" s="27"/>
      <c r="E15" s="27"/>
      <c r="F15" s="108" t="e">
        <f>C14/$J$17</f>
        <v>#REF!</v>
      </c>
      <c r="G15" s="104"/>
      <c r="H15" s="60"/>
      <c r="I15" s="87" t="str">
        <f>Rentroll!A9</f>
        <v>Z-Box</v>
      </c>
      <c r="J15" s="88">
        <f>Rentroll!C9</f>
        <v>1</v>
      </c>
      <c r="K15" s="88" t="str">
        <f>Rentroll!B9</f>
        <v>pozemek</v>
      </c>
      <c r="L15" s="89">
        <f>Rentroll!F9</f>
        <v>0</v>
      </c>
      <c r="M15" s="89">
        <f>Rentroll!I9</f>
        <v>0</v>
      </c>
      <c r="N15" s="90">
        <f>Rentroll!G9+Rentroll!J9</f>
        <v>4166.666666666667</v>
      </c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8" customHeight="1">
      <c r="A16" s="61" t="s">
        <v>106</v>
      </c>
      <c r="B16" s="27"/>
      <c r="C16" s="27"/>
      <c r="D16" s="70"/>
      <c r="E16" s="72"/>
      <c r="F16" s="71"/>
      <c r="G16" s="104"/>
      <c r="H16" s="60"/>
      <c r="I16" s="87">
        <f>Rentroll!A10</f>
        <v>0</v>
      </c>
      <c r="J16" s="88">
        <f>Rentroll!C10</f>
        <v>0</v>
      </c>
      <c r="K16" s="88">
        <f>Rentroll!B10</f>
        <v>0</v>
      </c>
      <c r="L16" s="89">
        <f>Rentroll!F10</f>
        <v>0</v>
      </c>
      <c r="M16" s="89">
        <f>Rentroll!I10</f>
        <v>0</v>
      </c>
      <c r="N16" s="90">
        <f>Rentroll!G10+Rentroll!J10</f>
        <v>0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8" customHeight="1">
      <c r="A17" s="61"/>
      <c r="B17" s="537" t="str">
        <f>'Cash-flow PLAN'!C23</f>
        <v>B. Architecture &amp; Engineering</v>
      </c>
      <c r="C17" s="589"/>
      <c r="D17" s="589"/>
      <c r="E17" s="589"/>
      <c r="F17" s="590"/>
      <c r="G17" s="104"/>
      <c r="H17" s="60"/>
      <c r="I17" s="109" t="s">
        <v>107</v>
      </c>
      <c r="J17" s="110">
        <f>SUM(J8:J16)</f>
        <v>2081.6</v>
      </c>
      <c r="K17" s="111" t="s">
        <v>108</v>
      </c>
      <c r="L17" s="112">
        <f t="shared" ref="L17:M17" si="1">SUM(L8:L16)</f>
        <v>5985.9800000000005</v>
      </c>
      <c r="M17" s="113">
        <f t="shared" si="1"/>
        <v>697.75999999999988</v>
      </c>
      <c r="N17" s="114">
        <f>SUM(N8:N16)</f>
        <v>891330.88926666649</v>
      </c>
      <c r="O17" s="60"/>
      <c r="P17" s="60"/>
      <c r="Q17" s="538" t="s">
        <v>109</v>
      </c>
      <c r="R17" s="59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8" customHeight="1">
      <c r="A18" s="61"/>
      <c r="B18" s="115"/>
      <c r="C18" s="116" t="s">
        <v>84</v>
      </c>
      <c r="D18" s="77" t="s">
        <v>110</v>
      </c>
      <c r="E18" s="116" t="s">
        <v>111</v>
      </c>
      <c r="F18" s="117"/>
      <c r="G18" s="104"/>
      <c r="H18" s="60"/>
      <c r="I18" s="118" t="s">
        <v>112</v>
      </c>
      <c r="J18" s="539">
        <f>SUM(N8:N16)*12</f>
        <v>10695970.671199998</v>
      </c>
      <c r="K18" s="589"/>
      <c r="L18" s="589"/>
      <c r="M18" s="589"/>
      <c r="N18" s="590"/>
      <c r="O18" s="60"/>
      <c r="P18" s="60"/>
      <c r="Q18" s="119" t="s">
        <v>113</v>
      </c>
      <c r="R18" s="120">
        <v>0.09</v>
      </c>
      <c r="S18" s="60"/>
      <c r="V18" s="60"/>
      <c r="W18" s="60"/>
      <c r="X18" s="60"/>
      <c r="Y18" s="60"/>
      <c r="Z18" s="60"/>
      <c r="AA18" s="60"/>
      <c r="AB18" s="60"/>
    </row>
    <row r="19" spans="1:28" ht="18" customHeight="1">
      <c r="B19" s="121" t="str">
        <f>'Cash-flow PLAN'!C24</f>
        <v>Projekt , architekt</v>
      </c>
      <c r="C19" s="122">
        <v>1</v>
      </c>
      <c r="D19" s="123" t="s">
        <v>100</v>
      </c>
      <c r="E19" s="124"/>
      <c r="F19" s="125">
        <f>SUM(F20:F21)</f>
        <v>1325000</v>
      </c>
      <c r="G19" s="126"/>
      <c r="H19" s="60"/>
      <c r="I19" s="119" t="s">
        <v>114</v>
      </c>
      <c r="J19" s="127"/>
      <c r="K19" s="127"/>
      <c r="L19" s="127"/>
      <c r="M19" s="128">
        <v>39</v>
      </c>
      <c r="N19" s="129">
        <f>J17*M19*12</f>
        <v>974188.79999999993</v>
      </c>
      <c r="O19" s="60"/>
      <c r="P19" s="60"/>
      <c r="Q19" s="130" t="s">
        <v>115</v>
      </c>
      <c r="R19" s="131">
        <f>J18</f>
        <v>10695970.671199998</v>
      </c>
      <c r="S19" s="60"/>
      <c r="V19" s="60"/>
      <c r="W19" s="60"/>
      <c r="X19" s="60"/>
      <c r="Y19" s="60"/>
      <c r="Z19" s="60"/>
      <c r="AA19" s="60"/>
      <c r="AB19" s="60"/>
    </row>
    <row r="20" spans="1:28" ht="18" customHeight="1">
      <c r="A20" s="61"/>
      <c r="B20" s="474" t="s">
        <v>116</v>
      </c>
      <c r="C20" s="122">
        <v>1</v>
      </c>
      <c r="D20" s="123" t="s">
        <v>100</v>
      </c>
      <c r="E20" s="475"/>
      <c r="F20" s="487">
        <v>675000</v>
      </c>
      <c r="G20" s="74" t="s">
        <v>94</v>
      </c>
      <c r="H20" s="60"/>
      <c r="I20" s="132" t="s">
        <v>117</v>
      </c>
      <c r="J20" s="133"/>
      <c r="K20" s="133"/>
      <c r="L20" s="134"/>
      <c r="M20" s="135"/>
      <c r="N20" s="136">
        <v>7.0000000000000007E-2</v>
      </c>
      <c r="O20" s="60"/>
      <c r="P20" s="60"/>
      <c r="Q20" s="130" t="s">
        <v>118</v>
      </c>
      <c r="R20" s="131">
        <f>C23+C43+C51+C72</f>
        <v>96589103.790082648</v>
      </c>
      <c r="S20" s="60"/>
      <c r="V20" s="60"/>
      <c r="W20" s="60"/>
      <c r="X20" s="60"/>
      <c r="Y20" s="60"/>
      <c r="Z20" s="60"/>
      <c r="AA20" s="60"/>
      <c r="AB20" s="60"/>
    </row>
    <row r="21" spans="1:28" ht="18" customHeight="1">
      <c r="A21" s="61"/>
      <c r="B21" s="474" t="s">
        <v>317</v>
      </c>
      <c r="C21" s="122">
        <v>1</v>
      </c>
      <c r="D21" s="123" t="s">
        <v>100</v>
      </c>
      <c r="E21" s="477"/>
      <c r="F21" s="487">
        <v>650000</v>
      </c>
      <c r="G21" s="126" t="s">
        <v>94</v>
      </c>
      <c r="H21" s="60"/>
      <c r="I21" s="137" t="s">
        <v>120</v>
      </c>
      <c r="J21" s="138"/>
      <c r="K21" s="138"/>
      <c r="L21" s="139"/>
      <c r="M21" s="140">
        <v>5.0000000000000001E-3</v>
      </c>
      <c r="N21" s="478">
        <f>-J24*M21</f>
        <v>-694412.99079999968</v>
      </c>
      <c r="O21" s="60"/>
      <c r="P21" s="60"/>
      <c r="Q21" s="130" t="s">
        <v>121</v>
      </c>
      <c r="R21" s="141">
        <f>R19/R18</f>
        <v>118844118.56888887</v>
      </c>
      <c r="S21" s="60"/>
      <c r="V21" s="60"/>
      <c r="W21" s="60"/>
      <c r="X21" s="60"/>
      <c r="Y21" s="60"/>
      <c r="Z21" s="60"/>
      <c r="AA21" s="60"/>
      <c r="AB21" s="60"/>
    </row>
    <row r="22" spans="1:28" ht="18" customHeight="1">
      <c r="B22" s="142" t="str">
        <f>'Cash-flow PLAN'!C25</f>
        <v>Engineering</v>
      </c>
      <c r="C22" s="429">
        <v>1</v>
      </c>
      <c r="D22" s="479" t="s">
        <v>100</v>
      </c>
      <c r="E22" s="477"/>
      <c r="F22" s="424">
        <v>151260</v>
      </c>
      <c r="G22" s="143" t="s">
        <v>122</v>
      </c>
      <c r="H22" s="60"/>
      <c r="I22" s="144" t="s">
        <v>123</v>
      </c>
      <c r="J22" s="540">
        <f>0</f>
        <v>0</v>
      </c>
      <c r="K22" s="589"/>
      <c r="L22" s="589"/>
      <c r="M22" s="589"/>
      <c r="N22" s="590"/>
      <c r="O22" s="60"/>
      <c r="P22" s="60"/>
      <c r="Q22" s="145" t="s">
        <v>124</v>
      </c>
      <c r="R22" s="146">
        <f>R21-R20</f>
        <v>22255014.778806224</v>
      </c>
      <c r="S22" s="60"/>
      <c r="V22" s="60"/>
      <c r="W22" s="60"/>
      <c r="X22" s="60"/>
      <c r="Y22" s="60"/>
      <c r="Z22" s="60"/>
      <c r="AA22" s="60"/>
      <c r="AB22" s="60"/>
    </row>
    <row r="23" spans="1:28" ht="18" customHeight="1">
      <c r="B23" s="103" t="s">
        <v>103</v>
      </c>
      <c r="C23" s="536">
        <f>F19+F22</f>
        <v>1476260</v>
      </c>
      <c r="D23" s="589"/>
      <c r="E23" s="589"/>
      <c r="F23" s="590"/>
      <c r="G23" s="147"/>
      <c r="H23" s="60"/>
      <c r="I23" s="150" t="s">
        <v>125</v>
      </c>
      <c r="J23" s="541">
        <f>IF( J22&gt;0,1000000,0)</f>
        <v>0</v>
      </c>
      <c r="K23" s="591"/>
      <c r="L23" s="591"/>
      <c r="M23" s="591"/>
      <c r="N23" s="592"/>
      <c r="O23" s="148"/>
      <c r="P23" s="60"/>
      <c r="Q23" s="481" t="s">
        <v>126</v>
      </c>
      <c r="R23" s="149">
        <f>R21-R20-C104</f>
        <v>19290904.688806225</v>
      </c>
      <c r="S23" s="60"/>
      <c r="V23" s="60"/>
      <c r="W23" s="60"/>
      <c r="X23" s="60"/>
      <c r="Y23" s="60"/>
      <c r="Z23" s="60"/>
      <c r="AA23" s="60"/>
      <c r="AB23" s="60"/>
    </row>
    <row r="24" spans="1:28" ht="18" customHeight="1">
      <c r="A24" s="61"/>
      <c r="B24" s="107" t="s">
        <v>105</v>
      </c>
      <c r="C24" s="27"/>
      <c r="D24" s="27"/>
      <c r="E24" s="27"/>
      <c r="F24" s="108">
        <f>C23/$J$17</f>
        <v>709.19485011529594</v>
      </c>
      <c r="G24" s="147"/>
      <c r="H24" s="60"/>
      <c r="I24" s="150" t="s">
        <v>127</v>
      </c>
      <c r="J24" s="541">
        <f>(J18-N19)/N20</f>
        <v>138882598.15999994</v>
      </c>
      <c r="K24" s="591"/>
      <c r="L24" s="591"/>
      <c r="M24" s="591"/>
      <c r="N24" s="592"/>
      <c r="O24" s="60"/>
      <c r="P24" s="60"/>
      <c r="Q24" s="60"/>
      <c r="R24" s="60"/>
      <c r="S24" s="60"/>
      <c r="V24" s="60"/>
      <c r="W24" s="60"/>
      <c r="X24" s="60"/>
      <c r="Y24" s="60"/>
      <c r="Z24" s="60"/>
      <c r="AA24" s="60"/>
      <c r="AB24" s="60"/>
    </row>
    <row r="25" spans="1:28" ht="18" customHeight="1">
      <c r="G25" s="147"/>
      <c r="H25" s="60"/>
      <c r="I25" s="150" t="s">
        <v>128</v>
      </c>
      <c r="J25" s="539">
        <f>J24+J23</f>
        <v>138882598.15999994</v>
      </c>
      <c r="K25" s="589"/>
      <c r="L25" s="589"/>
      <c r="M25" s="589"/>
      <c r="N25" s="59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8" customHeight="1">
      <c r="A26" s="61" t="s">
        <v>129</v>
      </c>
      <c r="G26" s="147"/>
      <c r="H26" s="60"/>
      <c r="I26" s="60"/>
      <c r="J26" s="69"/>
      <c r="K26" s="69"/>
      <c r="L26" s="70"/>
      <c r="M26" s="72"/>
      <c r="N26" s="71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8" customHeight="1">
      <c r="B27" s="537" t="str">
        <f>'Cash-flow PLAN'!C26</f>
        <v>C. Constructions costs</v>
      </c>
      <c r="C27" s="589"/>
      <c r="D27" s="589"/>
      <c r="E27" s="589"/>
      <c r="F27" s="590"/>
      <c r="G27" s="147"/>
      <c r="H27" s="60"/>
      <c r="I27" s="60"/>
      <c r="J27" s="151"/>
      <c r="K27" s="69"/>
      <c r="L27" s="70"/>
      <c r="M27" s="72"/>
      <c r="N27" s="71"/>
      <c r="O27" s="60"/>
      <c r="P27" s="60"/>
      <c r="Q27" s="535" t="s">
        <v>130</v>
      </c>
      <c r="R27" s="59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95">
      <c r="B28" s="115"/>
      <c r="C28" s="116" t="s">
        <v>84</v>
      </c>
      <c r="D28" s="77" t="s">
        <v>110</v>
      </c>
      <c r="E28" s="116" t="s">
        <v>111</v>
      </c>
      <c r="F28" s="117"/>
      <c r="G28" s="147"/>
      <c r="H28" s="60"/>
      <c r="I28" s="60"/>
      <c r="J28" s="69"/>
      <c r="K28" s="69"/>
      <c r="L28" s="70"/>
      <c r="M28" s="72"/>
      <c r="N28" s="71"/>
      <c r="O28" s="60"/>
      <c r="P28" s="60"/>
      <c r="Q28" s="154" t="s">
        <v>131</v>
      </c>
      <c r="R28" s="155">
        <v>0.2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8" customHeight="1">
      <c r="A29" s="61"/>
      <c r="B29" s="156" t="str">
        <f>'Cash-flow PLAN'!C27</f>
        <v>Náklady na realizace stavby</v>
      </c>
      <c r="C29" s="122">
        <v>1</v>
      </c>
      <c r="D29" s="123" t="s">
        <v>85</v>
      </c>
      <c r="E29" s="85"/>
      <c r="F29" s="86">
        <v>58593172</v>
      </c>
      <c r="G29" s="143" t="s">
        <v>94</v>
      </c>
      <c r="H29" s="60"/>
      <c r="I29" s="347"/>
      <c r="J29" s="348"/>
      <c r="K29" s="348"/>
      <c r="L29" s="348"/>
      <c r="M29" s="348"/>
      <c r="N29" s="349"/>
      <c r="O29" s="60"/>
      <c r="P29" s="60"/>
      <c r="Q29" s="154" t="s">
        <v>132</v>
      </c>
      <c r="R29" s="157">
        <f>J18/N20*R28</f>
        <v>30559916.203428563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27" customHeight="1">
      <c r="A30" s="61"/>
      <c r="B30" s="158" t="s">
        <v>133</v>
      </c>
      <c r="C30" s="122"/>
      <c r="D30" s="123"/>
      <c r="E30" s="85"/>
      <c r="F30" s="86">
        <v>1500000</v>
      </c>
      <c r="G30" s="143" t="s">
        <v>94</v>
      </c>
      <c r="H30" s="60"/>
      <c r="I30" s="576" t="s">
        <v>318</v>
      </c>
      <c r="J30" s="508"/>
      <c r="K30" s="508"/>
      <c r="L30" s="508"/>
      <c r="M30" s="577" t="e">
        <f>J25-C132++N21</f>
        <v>#REF!</v>
      </c>
      <c r="N30" s="597"/>
      <c r="O30" s="60"/>
      <c r="P30" s="60"/>
      <c r="Q30" s="119" t="s">
        <v>118</v>
      </c>
      <c r="R30" s="129">
        <f>C23+C43+C51+C72</f>
        <v>96589103.790082648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27" customHeight="1">
      <c r="A31" s="61"/>
      <c r="B31" s="158" t="s">
        <v>135</v>
      </c>
      <c r="C31" s="122">
        <v>1</v>
      </c>
      <c r="D31" s="123" t="s">
        <v>85</v>
      </c>
      <c r="E31" s="85">
        <v>26000</v>
      </c>
      <c r="F31" s="86">
        <f>E31*SUM(J11:J14)</f>
        <v>23686000</v>
      </c>
      <c r="G31" s="143" t="s">
        <v>122</v>
      </c>
      <c r="H31" s="60"/>
      <c r="I31" s="606"/>
      <c r="J31" s="508"/>
      <c r="K31" s="508"/>
      <c r="L31" s="508"/>
      <c r="M31" s="607"/>
      <c r="N31" s="597"/>
      <c r="O31" s="60"/>
      <c r="P31" s="60"/>
      <c r="Q31" s="159" t="s">
        <v>137</v>
      </c>
      <c r="R31" s="141" t="e">
        <f>J25+N21+#REF!+#REF!</f>
        <v>#REF!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36.950000000000003">
      <c r="A32" s="61"/>
      <c r="B32" s="160" t="s">
        <v>138</v>
      </c>
      <c r="C32" s="122">
        <v>1</v>
      </c>
      <c r="D32" s="123" t="s">
        <v>85</v>
      </c>
      <c r="E32" s="85"/>
      <c r="F32" s="86"/>
      <c r="G32" s="147"/>
      <c r="H32" s="60"/>
      <c r="I32" s="350" t="s">
        <v>319</v>
      </c>
      <c r="J32" s="351"/>
      <c r="K32" s="352" t="s">
        <v>320</v>
      </c>
      <c r="L32" s="351"/>
      <c r="M32" s="351"/>
      <c r="N32" s="509" t="e">
        <f>M30/J24</f>
        <v>#REF!</v>
      </c>
      <c r="O32" s="60"/>
      <c r="P32" s="60"/>
      <c r="Q32" s="161" t="s">
        <v>124</v>
      </c>
      <c r="R32" s="146" t="e">
        <f>R31-R30-R29</f>
        <v>#REF!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8" customHeight="1">
      <c r="A33" s="61"/>
      <c r="B33" s="160" t="s">
        <v>140</v>
      </c>
      <c r="C33" s="122">
        <v>1</v>
      </c>
      <c r="D33" s="123" t="s">
        <v>85</v>
      </c>
      <c r="E33" s="85"/>
      <c r="F33" s="86"/>
      <c r="G33" s="147"/>
      <c r="H33" s="60"/>
      <c r="I33" s="350" t="s">
        <v>321</v>
      </c>
      <c r="J33" s="351"/>
      <c r="K33" s="352" t="s">
        <v>322</v>
      </c>
      <c r="L33" s="351"/>
      <c r="M33" s="351"/>
      <c r="N33" s="509" t="e">
        <f>M30/C132</f>
        <v>#REF!</v>
      </c>
      <c r="O33" s="60"/>
      <c r="P33" s="60"/>
      <c r="Q33" s="162" t="s">
        <v>126</v>
      </c>
      <c r="R33" s="149" t="e">
        <f>R32-C104</f>
        <v>#REF!</v>
      </c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8" customHeight="1">
      <c r="A34" s="61"/>
      <c r="B34" s="160" t="s">
        <v>142</v>
      </c>
      <c r="C34" s="122">
        <v>1</v>
      </c>
      <c r="D34" s="123" t="s">
        <v>93</v>
      </c>
      <c r="E34" s="85"/>
      <c r="F34" s="86">
        <v>1300000</v>
      </c>
      <c r="G34" s="143" t="s">
        <v>122</v>
      </c>
      <c r="H34" s="60"/>
      <c r="I34" s="353" t="s">
        <v>323</v>
      </c>
      <c r="J34" s="354"/>
      <c r="K34" s="352" t="s">
        <v>324</v>
      </c>
      <c r="L34" s="354"/>
      <c r="M34" s="355">
        <v>0.1</v>
      </c>
      <c r="N34" s="510" t="e">
        <f>M30*M34</f>
        <v>#REF!</v>
      </c>
      <c r="O34" s="60"/>
      <c r="P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8" customHeight="1">
      <c r="B35" s="121" t="str">
        <f>'Cash-flow PLAN'!C28</f>
        <v>Bourací práce</v>
      </c>
      <c r="C35" s="122">
        <v>1</v>
      </c>
      <c r="D35" s="123" t="s">
        <v>93</v>
      </c>
      <c r="E35" s="85"/>
      <c r="F35" s="86">
        <f>E35</f>
        <v>0</v>
      </c>
      <c r="G35" s="147"/>
      <c r="H35" s="60"/>
      <c r="I35" s="353" t="s">
        <v>325</v>
      </c>
      <c r="J35" s="354"/>
      <c r="K35" s="354"/>
      <c r="L35" s="354"/>
      <c r="M35" s="354"/>
      <c r="N35" s="511" t="e">
        <f>M30/D128</f>
        <v>#REF!</v>
      </c>
      <c r="O35" s="60"/>
      <c r="P35" s="60"/>
      <c r="Q35" s="535" t="s">
        <v>145</v>
      </c>
      <c r="R35" s="59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8" customHeight="1">
      <c r="B36" s="121" t="s">
        <v>146</v>
      </c>
      <c r="C36" s="122">
        <v>1</v>
      </c>
      <c r="D36" s="163" t="s">
        <v>93</v>
      </c>
      <c r="E36" s="85"/>
      <c r="F36" s="164">
        <f>-50000</f>
        <v>-50000</v>
      </c>
      <c r="G36" s="71" t="s">
        <v>122</v>
      </c>
      <c r="H36" s="165"/>
      <c r="I36" s="60"/>
      <c r="J36" s="69"/>
      <c r="K36" s="69"/>
      <c r="L36" s="70"/>
      <c r="M36" s="72"/>
      <c r="N36" s="71"/>
      <c r="O36" s="60"/>
      <c r="P36" s="60"/>
      <c r="Q36" s="166" t="str">
        <f>B8</f>
        <v>Nákup nemovitosti/pozemků</v>
      </c>
      <c r="R36" s="167" t="e">
        <f>C14</f>
        <v>#REF!</v>
      </c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8" customHeight="1">
      <c r="A37" s="61"/>
      <c r="B37" s="121" t="str">
        <f>'Cash-flow PLAN'!C30</f>
        <v>Náklady na inženýrské sítě</v>
      </c>
      <c r="C37" s="122">
        <v>1</v>
      </c>
      <c r="D37" s="123" t="s">
        <v>85</v>
      </c>
      <c r="E37" s="85">
        <v>170</v>
      </c>
      <c r="F37" s="86">
        <f>E37*3000</f>
        <v>510000</v>
      </c>
      <c r="G37" s="71" t="s">
        <v>122</v>
      </c>
      <c r="H37" s="165"/>
      <c r="I37" s="60"/>
      <c r="J37" s="69"/>
      <c r="K37" s="69"/>
      <c r="L37" s="70"/>
      <c r="M37" s="72"/>
      <c r="N37" s="71"/>
      <c r="O37" s="60"/>
      <c r="P37" s="60"/>
      <c r="Q37" s="154" t="s">
        <v>148</v>
      </c>
      <c r="R37" s="168">
        <v>0.25</v>
      </c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24.75" customHeight="1">
      <c r="A38" s="61"/>
      <c r="B38" s="121" t="str">
        <f>'Cash-flow PLAN'!C31</f>
        <v>Operativní náklady spojené s realizaci stavby</v>
      </c>
      <c r="C38" s="122">
        <v>1</v>
      </c>
      <c r="D38" s="169" t="s">
        <v>100</v>
      </c>
      <c r="E38" s="170"/>
      <c r="F38" s="86">
        <v>130000</v>
      </c>
      <c r="G38" s="71" t="s">
        <v>122</v>
      </c>
      <c r="H38" s="165"/>
      <c r="I38" s="152"/>
      <c r="J38" s="60"/>
      <c r="K38" s="60"/>
      <c r="L38" s="152"/>
      <c r="M38" s="60"/>
      <c r="N38" s="356"/>
      <c r="O38" s="60"/>
      <c r="P38" s="60"/>
      <c r="Q38" s="119" t="s">
        <v>149</v>
      </c>
      <c r="R38" s="171" t="e">
        <f>M30*R37</f>
        <v>#REF!</v>
      </c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8" customHeight="1">
      <c r="A39" s="61"/>
      <c r="B39" s="121" t="s">
        <v>150</v>
      </c>
      <c r="C39" s="429">
        <v>1</v>
      </c>
      <c r="D39" s="482" t="s">
        <v>100</v>
      </c>
      <c r="E39" s="483"/>
      <c r="F39" s="424">
        <f>-SUM('Cash-flow 04.02.2025'!I32)</f>
        <v>1081909</v>
      </c>
      <c r="G39" s="71" t="s">
        <v>94</v>
      </c>
      <c r="H39" s="60"/>
      <c r="I39" s="152"/>
      <c r="J39" s="153"/>
      <c r="K39" s="153"/>
      <c r="L39" s="152"/>
      <c r="M39" s="153"/>
      <c r="N39" s="153"/>
      <c r="O39" s="60"/>
      <c r="P39" s="60"/>
      <c r="Q39" s="172" t="str">
        <f>B17</f>
        <v>B. Architecture &amp; Engineering</v>
      </c>
      <c r="R39" s="146">
        <f>C23</f>
        <v>1476260</v>
      </c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8" customHeight="1">
      <c r="B40" s="142" t="s">
        <v>151</v>
      </c>
      <c r="C40" s="429">
        <v>1</v>
      </c>
      <c r="D40" s="482" t="s">
        <v>100</v>
      </c>
      <c r="E40" s="483"/>
      <c r="F40" s="424">
        <f>102000+261000+150000+1081909+305500+50000-F39</f>
        <v>868500</v>
      </c>
      <c r="G40" s="71" t="s">
        <v>122</v>
      </c>
      <c r="H40" s="60"/>
      <c r="I40" s="152"/>
      <c r="J40" s="153"/>
      <c r="K40" s="153"/>
      <c r="L40" s="153"/>
      <c r="M40" s="153"/>
      <c r="N40" s="153"/>
      <c r="O40" s="60"/>
      <c r="P40" s="60"/>
      <c r="Q40" s="162" t="s">
        <v>145</v>
      </c>
      <c r="R40" s="149" t="e">
        <f>R36+R38+R39</f>
        <v>#REF!</v>
      </c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8" customHeight="1">
      <c r="A41" s="61"/>
      <c r="B41" s="142" t="str">
        <f>'Cash-flow PLAN'!C33</f>
        <v>Rezerva</v>
      </c>
      <c r="C41" s="429">
        <v>1</v>
      </c>
      <c r="D41" s="482" t="s">
        <v>100</v>
      </c>
      <c r="E41" s="483">
        <v>0.1</v>
      </c>
      <c r="F41" s="424">
        <f>SUM(F31,F37:F38)*E41</f>
        <v>2432600</v>
      </c>
      <c r="G41" s="71" t="s">
        <v>122</v>
      </c>
      <c r="H41" s="60"/>
      <c r="I41" s="152"/>
      <c r="J41" s="153"/>
      <c r="K41" s="153"/>
      <c r="L41" s="152"/>
      <c r="M41" s="153"/>
      <c r="N41" s="152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8" customHeight="1">
      <c r="A42" s="61"/>
      <c r="B42" s="173" t="s">
        <v>152</v>
      </c>
      <c r="C42" s="174">
        <v>1</v>
      </c>
      <c r="D42" s="175" t="s">
        <v>100</v>
      </c>
      <c r="E42" s="176"/>
      <c r="F42" s="177">
        <f>-9100000</f>
        <v>-9100000</v>
      </c>
      <c r="G42" s="71" t="s">
        <v>94</v>
      </c>
      <c r="H42" s="60"/>
      <c r="I42" s="152"/>
      <c r="J42" s="153"/>
      <c r="K42" s="153"/>
      <c r="L42" s="153"/>
      <c r="M42" s="153"/>
      <c r="N42" s="153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8" customHeight="1">
      <c r="B43" s="484" t="s">
        <v>103</v>
      </c>
      <c r="C43" s="553">
        <f>SUM(F29:F42)</f>
        <v>80952181</v>
      </c>
      <c r="D43" s="591"/>
      <c r="E43" s="591"/>
      <c r="F43" s="592"/>
      <c r="G43" s="71"/>
      <c r="H43" s="60"/>
      <c r="I43" s="153"/>
      <c r="J43" s="153"/>
      <c r="K43" s="153"/>
      <c r="L43" s="152"/>
      <c r="M43" s="153"/>
      <c r="N43" s="153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8" customHeight="1">
      <c r="A44" s="61" t="s">
        <v>153</v>
      </c>
      <c r="B44" s="107" t="s">
        <v>105</v>
      </c>
      <c r="C44" s="27"/>
      <c r="D44" s="27"/>
      <c r="E44" s="27"/>
      <c r="F44" s="108">
        <f>C43/$J$17</f>
        <v>38889.402863182171</v>
      </c>
      <c r="G44" s="71"/>
      <c r="H44" s="60"/>
      <c r="I44" s="152"/>
      <c r="J44" s="153"/>
      <c r="K44" s="153"/>
      <c r="L44" s="153"/>
      <c r="M44" s="153"/>
      <c r="N44" s="153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8" customHeight="1">
      <c r="A45" s="61"/>
      <c r="G45" s="71"/>
      <c r="H45" s="60"/>
      <c r="I45" s="153"/>
      <c r="J45" s="153"/>
      <c r="K45" s="153"/>
      <c r="L45" s="153"/>
      <c r="M45" s="153"/>
      <c r="N45" s="153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8" customHeight="1">
      <c r="A46" s="61"/>
      <c r="G46" s="71"/>
      <c r="H46" s="60"/>
      <c r="I46" s="152"/>
      <c r="J46" s="153"/>
      <c r="K46" s="153"/>
      <c r="L46" s="153"/>
      <c r="M46" s="153"/>
      <c r="N46" s="153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8" customHeight="1">
      <c r="A47" s="61"/>
      <c r="B47" s="537" t="str">
        <f>'Cash-flow PLAN'!C34</f>
        <v>D. Tenant improvements</v>
      </c>
      <c r="C47" s="589"/>
      <c r="D47" s="589"/>
      <c r="E47" s="589"/>
      <c r="F47" s="590"/>
      <c r="G47" s="71"/>
      <c r="H47" s="60"/>
      <c r="I47" s="60"/>
      <c r="J47" s="153"/>
      <c r="K47" s="153"/>
      <c r="L47" s="153"/>
      <c r="M47" s="153"/>
      <c r="N47" s="153"/>
      <c r="O47" s="60"/>
      <c r="P47" s="60"/>
      <c r="Q47" s="534" t="s">
        <v>154</v>
      </c>
      <c r="R47" s="59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8" customHeight="1">
      <c r="B48" s="115"/>
      <c r="C48" s="116" t="s">
        <v>84</v>
      </c>
      <c r="D48" s="77" t="s">
        <v>110</v>
      </c>
      <c r="E48" s="116" t="s">
        <v>111</v>
      </c>
      <c r="F48" s="117"/>
      <c r="G48" s="71"/>
      <c r="H48" s="60"/>
      <c r="I48" s="152"/>
      <c r="J48" s="153"/>
      <c r="K48" s="153"/>
      <c r="L48" s="153"/>
      <c r="M48" s="153"/>
      <c r="N48" s="153"/>
      <c r="O48" s="60"/>
      <c r="P48" s="60"/>
      <c r="Q48" s="179" t="s">
        <v>155</v>
      </c>
      <c r="R48" s="180" t="s">
        <v>156</v>
      </c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8" customHeight="1">
      <c r="A49" s="61"/>
      <c r="B49" s="121" t="str">
        <f>'Cash-flow PLAN'!C35</f>
        <v>Tenant improvement</v>
      </c>
      <c r="C49" s="122">
        <v>1</v>
      </c>
      <c r="D49" s="123" t="s">
        <v>85</v>
      </c>
      <c r="E49" s="85">
        <v>11000</v>
      </c>
      <c r="F49" s="86">
        <f>SUMIF(K9:K15,"full fit-out",J9:J15)*E49</f>
        <v>10021000</v>
      </c>
      <c r="G49" s="71" t="s">
        <v>122</v>
      </c>
      <c r="H49" s="60"/>
      <c r="I49" s="153"/>
      <c r="J49" s="153"/>
      <c r="K49" s="153"/>
      <c r="L49" s="153"/>
      <c r="M49" s="153"/>
      <c r="N49" s="153"/>
      <c r="O49" s="60"/>
      <c r="P49" s="60"/>
      <c r="Q49" s="181" t="e">
        <f t="shared" ref="Q49:Q52" si="2">IF(($J$18/R49-$C$132+$J$23+#REF!+#REF!+$N$21)&gt;0,($J$18/R49-$C$132+$J$23+#REF!+#REF!+$N$21),0)</f>
        <v>#REF!</v>
      </c>
      <c r="R49" s="182">
        <f>N20</f>
        <v>7.0000000000000007E-2</v>
      </c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8" customHeight="1">
      <c r="A50" s="61"/>
      <c r="B50" s="121" t="str">
        <f>'Cash-flow PLAN'!C36</f>
        <v>Tenant contribution</v>
      </c>
      <c r="C50" s="429">
        <v>1</v>
      </c>
      <c r="D50" s="479" t="s">
        <v>93</v>
      </c>
      <c r="E50" s="485">
        <v>0</v>
      </c>
      <c r="F50" s="424">
        <f>F49*E50</f>
        <v>0</v>
      </c>
      <c r="G50" s="71"/>
      <c r="H50" s="60"/>
      <c r="I50" s="60"/>
      <c r="J50" s="153"/>
      <c r="K50" s="153"/>
      <c r="L50" s="153"/>
      <c r="M50" s="153"/>
      <c r="N50" s="153"/>
      <c r="O50" s="60"/>
      <c r="P50" s="60"/>
      <c r="Q50" s="181" t="e">
        <f t="shared" si="2"/>
        <v>#REF!</v>
      </c>
      <c r="R50" s="184">
        <f t="shared" ref="R50:R52" si="3">R49+0.5%</f>
        <v>7.5000000000000011E-2</v>
      </c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8" customHeight="1">
      <c r="A51" s="61"/>
      <c r="B51" s="103" t="s">
        <v>103</v>
      </c>
      <c r="C51" s="536">
        <f>SUM(F49:F50)</f>
        <v>10021000</v>
      </c>
      <c r="D51" s="589"/>
      <c r="E51" s="589"/>
      <c r="F51" s="590"/>
      <c r="G51" s="71"/>
      <c r="H51" s="60"/>
      <c r="I51" s="153"/>
      <c r="J51" s="153"/>
      <c r="K51" s="153"/>
      <c r="L51" s="153"/>
      <c r="M51" s="153"/>
      <c r="N51" s="153"/>
      <c r="O51" s="60"/>
      <c r="P51" s="60"/>
      <c r="Q51" s="181" t="e">
        <f t="shared" si="2"/>
        <v>#REF!</v>
      </c>
      <c r="R51" s="185">
        <f t="shared" si="3"/>
        <v>8.0000000000000016E-2</v>
      </c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8" customHeight="1">
      <c r="A52" s="61" t="s">
        <v>157</v>
      </c>
      <c r="B52" s="107" t="s">
        <v>105</v>
      </c>
      <c r="C52" s="186"/>
      <c r="D52" s="186"/>
      <c r="E52" s="186"/>
      <c r="F52" s="108">
        <f>C51/$J$17</f>
        <v>4814.085318985396</v>
      </c>
      <c r="G52" s="71"/>
      <c r="H52" s="60"/>
      <c r="I52" s="152"/>
      <c r="J52" s="153"/>
      <c r="K52" s="153"/>
      <c r="L52" s="153"/>
      <c r="M52" s="153"/>
      <c r="N52" s="153"/>
      <c r="O52" s="60"/>
      <c r="P52" s="60"/>
      <c r="Q52" s="181" t="e">
        <f t="shared" si="2"/>
        <v>#REF!</v>
      </c>
      <c r="R52" s="486">
        <f t="shared" si="3"/>
        <v>8.500000000000002E-2</v>
      </c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8" customHeight="1">
      <c r="A53" s="61"/>
      <c r="B53" s="60"/>
      <c r="C53" s="69"/>
      <c r="D53" s="70"/>
      <c r="E53" s="72"/>
      <c r="F53" s="71"/>
      <c r="G53" s="71"/>
      <c r="H53" s="60"/>
      <c r="I53" s="60"/>
      <c r="J53" s="153"/>
      <c r="K53" s="153"/>
      <c r="L53" s="153"/>
      <c r="M53" s="153"/>
      <c r="N53" s="153"/>
      <c r="O53" s="60"/>
      <c r="P53" s="60"/>
      <c r="Q53" s="187" t="e">
        <f>$J$18/R53-$C$132+#REF!+$N$21+$J$23</f>
        <v>#REF!</v>
      </c>
      <c r="R53" s="188" t="e">
        <f>J18/($C$132-#REF!-$N$21-#REF!-$J$23)</f>
        <v>#REF!</v>
      </c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8" customHeight="1">
      <c r="A54" s="61"/>
      <c r="B54" s="60"/>
      <c r="C54" s="69"/>
      <c r="D54" s="70"/>
      <c r="E54" s="72"/>
      <c r="F54" s="71"/>
      <c r="G54" s="71"/>
      <c r="H54" s="60"/>
      <c r="I54" s="153"/>
      <c r="J54" s="153"/>
      <c r="K54" s="153"/>
      <c r="L54" s="153"/>
      <c r="M54" s="153"/>
      <c r="N54" s="153"/>
      <c r="O54" s="60"/>
      <c r="P54" s="60"/>
      <c r="Q54" s="60"/>
      <c r="R54" s="69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8" customHeight="1">
      <c r="B55" s="537" t="str">
        <f>'Cash-flow PLAN'!C37</f>
        <v>E. Soft costs</v>
      </c>
      <c r="C55" s="589"/>
      <c r="D55" s="589"/>
      <c r="E55" s="589"/>
      <c r="F55" s="590"/>
      <c r="G55" s="71"/>
      <c r="H55" s="60"/>
      <c r="I55" s="178"/>
      <c r="J55" s="153"/>
      <c r="K55" s="153"/>
      <c r="L55" s="153"/>
      <c r="M55" s="153"/>
      <c r="N55" s="153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8" customHeight="1">
      <c r="B56" s="115"/>
      <c r="C56" s="116" t="s">
        <v>84</v>
      </c>
      <c r="D56" s="77" t="s">
        <v>110</v>
      </c>
      <c r="E56" s="116" t="s">
        <v>111</v>
      </c>
      <c r="F56" s="117"/>
      <c r="G56" s="71"/>
      <c r="H56" s="60"/>
      <c r="I56" s="153"/>
      <c r="J56" s="153"/>
      <c r="K56" s="153"/>
      <c r="L56" s="153"/>
      <c r="M56" s="153"/>
      <c r="N56" s="153"/>
      <c r="O56" s="60"/>
      <c r="P56" s="60"/>
      <c r="Q56" s="60"/>
      <c r="R56" s="69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8" customHeight="1">
      <c r="A57" s="61"/>
      <c r="B57" s="121" t="str">
        <f>'Cash-flow PLAN'!C38</f>
        <v>Project management (Interní)</v>
      </c>
      <c r="C57" s="122">
        <v>1</v>
      </c>
      <c r="D57" s="123" t="s">
        <v>100</v>
      </c>
      <c r="E57" s="170">
        <f>F57/C43</f>
        <v>7.7823721636357144E-3</v>
      </c>
      <c r="F57" s="189">
        <v>630000</v>
      </c>
      <c r="G57" s="71" t="s">
        <v>94</v>
      </c>
      <c r="H57" s="60"/>
      <c r="I57" s="60"/>
      <c r="J57" s="153"/>
      <c r="K57" s="153"/>
      <c r="L57" s="153"/>
      <c r="M57" s="153"/>
      <c r="N57" s="153"/>
      <c r="O57" s="60"/>
      <c r="P57" s="60"/>
      <c r="Q57" s="534" t="s">
        <v>158</v>
      </c>
      <c r="R57" s="59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8" customHeight="1">
      <c r="A58" s="61"/>
      <c r="B58" s="121" t="str">
        <f>'Cash-flow PLAN'!C39</f>
        <v>Project management (Externí)</v>
      </c>
      <c r="C58" s="122">
        <v>1</v>
      </c>
      <c r="D58" s="123" t="s">
        <v>100</v>
      </c>
      <c r="E58" s="170">
        <f>F58/C43</f>
        <v>1.436032958766114E-2</v>
      </c>
      <c r="F58" s="125">
        <f>SUM(F59:F61)</f>
        <v>1162500</v>
      </c>
      <c r="G58" s="71" t="s">
        <v>94</v>
      </c>
      <c r="H58" s="60"/>
      <c r="I58" s="60"/>
      <c r="J58" s="153"/>
      <c r="K58" s="153"/>
      <c r="L58" s="153"/>
      <c r="M58" s="153"/>
      <c r="N58" s="153"/>
      <c r="O58" s="60"/>
      <c r="P58" s="60"/>
      <c r="Q58" s="179" t="s">
        <v>155</v>
      </c>
      <c r="R58" s="180" t="s">
        <v>159</v>
      </c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8" customHeight="1">
      <c r="A59" s="61"/>
      <c r="B59" s="190" t="s">
        <v>160</v>
      </c>
      <c r="C59" s="122">
        <v>1</v>
      </c>
      <c r="D59" s="123" t="s">
        <v>100</v>
      </c>
      <c r="E59" s="170">
        <v>0</v>
      </c>
      <c r="F59" s="555">
        <f>930000+232500</f>
        <v>1162500</v>
      </c>
      <c r="G59" s="71"/>
      <c r="H59" s="60"/>
      <c r="I59" s="153"/>
      <c r="J59" s="153"/>
      <c r="K59" s="153"/>
      <c r="L59" s="153"/>
      <c r="M59" s="153"/>
      <c r="N59" s="153"/>
      <c r="O59" s="60"/>
      <c r="P59" s="60"/>
      <c r="Q59" s="181" t="e">
        <f t="shared" ref="Q59:Q62" si="4">$J$25-$C$14-$C$23-$C$43*(1+R59)-$C$51-$C$72-$C$104+$N$21+#REF!+#REF!</f>
        <v>#REF!</v>
      </c>
      <c r="R59" s="182">
        <v>0</v>
      </c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8" customHeight="1">
      <c r="B60" s="190" t="s">
        <v>161</v>
      </c>
      <c r="C60" s="122">
        <v>1</v>
      </c>
      <c r="D60" s="123" t="s">
        <v>100</v>
      </c>
      <c r="E60" s="170">
        <v>0</v>
      </c>
      <c r="F60" s="595"/>
      <c r="G60" s="71"/>
      <c r="H60" s="60"/>
      <c r="I60" s="60"/>
      <c r="J60" s="153"/>
      <c r="K60" s="153"/>
      <c r="L60" s="153"/>
      <c r="M60" s="153"/>
      <c r="N60" s="153"/>
      <c r="O60" s="60"/>
      <c r="P60" s="60"/>
      <c r="Q60" s="181" t="e">
        <f t="shared" si="4"/>
        <v>#REF!</v>
      </c>
      <c r="R60" s="184">
        <v>0.1</v>
      </c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8" customHeight="1">
      <c r="A61" s="61"/>
      <c r="B61" s="190" t="s">
        <v>162</v>
      </c>
      <c r="C61" s="122">
        <v>1</v>
      </c>
      <c r="D61" s="123" t="s">
        <v>100</v>
      </c>
      <c r="E61" s="170">
        <v>0</v>
      </c>
      <c r="F61" s="596"/>
      <c r="G61" s="71"/>
      <c r="H61" s="60"/>
      <c r="I61" s="153"/>
      <c r="J61" s="153"/>
      <c r="K61" s="153"/>
      <c r="L61" s="153"/>
      <c r="M61" s="153"/>
      <c r="N61" s="153"/>
      <c r="O61" s="60"/>
      <c r="P61" s="60"/>
      <c r="Q61" s="181" t="e">
        <f t="shared" si="4"/>
        <v>#REF!</v>
      </c>
      <c r="R61" s="185">
        <v>0.25</v>
      </c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8" customHeight="1">
      <c r="A62" s="61"/>
      <c r="B62" s="121" t="str">
        <f>'Cash-flow PLAN'!C40</f>
        <v>Cost manager</v>
      </c>
      <c r="C62" s="122">
        <v>1</v>
      </c>
      <c r="D62" s="123" t="s">
        <v>100</v>
      </c>
      <c r="E62" s="170">
        <f>F62/C43</f>
        <v>1.053659073126146E-2</v>
      </c>
      <c r="F62" s="125">
        <f>SUM(F63:F65)</f>
        <v>852960</v>
      </c>
      <c r="G62" s="71" t="s">
        <v>94</v>
      </c>
      <c r="H62" s="60"/>
      <c r="I62" s="153"/>
      <c r="J62" s="153"/>
      <c r="K62" s="153"/>
      <c r="L62" s="153"/>
      <c r="M62" s="153"/>
      <c r="N62" s="153"/>
      <c r="O62" s="60"/>
      <c r="P62" s="60"/>
      <c r="Q62" s="187" t="e">
        <f t="shared" si="4"/>
        <v>#REF!</v>
      </c>
      <c r="R62" s="191" t="e">
        <f>($J$25-$C$14-$C$23-$C$51-$C$72-$C$104+$N$21+#REF!+#REF!)/$C$43-1</f>
        <v>#REF!</v>
      </c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8" customHeight="1">
      <c r="A63" s="61"/>
      <c r="B63" s="190" t="str">
        <f>Params!F3</f>
        <v>cost management VŘ GP</v>
      </c>
      <c r="C63" s="122">
        <v>1</v>
      </c>
      <c r="D63" s="123" t="s">
        <v>100</v>
      </c>
      <c r="E63" s="170">
        <v>0</v>
      </c>
      <c r="F63" s="192"/>
      <c r="G63" s="71"/>
      <c r="H63" s="60"/>
      <c r="I63" s="183"/>
      <c r="J63" s="153"/>
      <c r="K63" s="153"/>
      <c r="L63" s="153"/>
      <c r="M63" s="153"/>
      <c r="N63" s="153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8" customHeight="1">
      <c r="A64" s="61"/>
      <c r="B64" s="190" t="s">
        <v>163</v>
      </c>
      <c r="C64" s="122">
        <v>1</v>
      </c>
      <c r="D64" s="123" t="s">
        <v>100</v>
      </c>
      <c r="E64" s="170">
        <v>0</v>
      </c>
      <c r="F64" s="192">
        <v>690960</v>
      </c>
      <c r="G64" s="71"/>
      <c r="H64" s="60"/>
      <c r="I64" s="153"/>
      <c r="J64" s="153"/>
      <c r="K64" s="153"/>
      <c r="L64" s="153"/>
      <c r="M64" s="153"/>
      <c r="N64" s="153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8" customHeight="1">
      <c r="A65" s="61"/>
      <c r="B65" s="190" t="str">
        <f>Params!H3</f>
        <v>realizace cost management controling/měsíc</v>
      </c>
      <c r="C65" s="122">
        <v>1</v>
      </c>
      <c r="D65" s="123" t="s">
        <v>100</v>
      </c>
      <c r="E65" s="170"/>
      <c r="F65" s="192">
        <f>IF(J17&lt;Params!B4,Params!H4*R12,
    IF(AND(J17&gt;=Params!B4, J17&lt;Params!B5),Params!H5*R12,
        IF(AND(J17&gt;=Params!B5, J17&lt;Params!B6),Params!H6*R12,
            IF(J17&gt;=Params!B6,Params!H7*R12, "False")
        )
    )
)</f>
        <v>162000</v>
      </c>
      <c r="G65" s="71"/>
      <c r="H65" s="60"/>
      <c r="I65" s="153"/>
      <c r="J65" s="153"/>
      <c r="K65" s="153"/>
      <c r="L65" s="153"/>
      <c r="M65" s="153"/>
      <c r="N65" s="153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8" customHeight="1">
      <c r="A66" s="61" t="s">
        <v>164</v>
      </c>
      <c r="B66" s="121" t="str">
        <f>'Cash-flow PLAN'!C41</f>
        <v>Koordinátor BOZP</v>
      </c>
      <c r="C66" s="122">
        <v>1</v>
      </c>
      <c r="D66" s="123" t="s">
        <v>100</v>
      </c>
      <c r="E66" s="170">
        <f>F66/C43</f>
        <v>1.6394864024725905E-3</v>
      </c>
      <c r="F66" s="125">
        <f>IF(J17&lt;Params!B4, Params!I4*(R12),
    IF(AND(J17&gt;=Params!B4, J17&lt;Params!B5),Params!I5*(R12+1),
        IF(AND(J17&gt;=Params!B5, J17&lt;Params!B6),Params!I6*(R12+1),
            IF(J17&gt;=Params!B6,Params!I7*(R12+1), "False")
        )
    )
)</f>
        <v>132720</v>
      </c>
      <c r="G66" s="71" t="s">
        <v>94</v>
      </c>
      <c r="H66" s="60"/>
      <c r="I66" s="60"/>
      <c r="J66" s="60"/>
      <c r="K66" s="60"/>
      <c r="L66" s="60"/>
      <c r="M66" s="60"/>
      <c r="N66" s="60"/>
      <c r="O66" s="60"/>
      <c r="P66" s="60"/>
      <c r="Q66" s="534" t="s">
        <v>165</v>
      </c>
      <c r="R66" s="59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8" customHeight="1">
      <c r="A67" s="61"/>
      <c r="B67" s="121" t="str">
        <f>'Cash-flow PLAN'!C42</f>
        <v>Administrativní náklady</v>
      </c>
      <c r="C67" s="122">
        <v>1</v>
      </c>
      <c r="D67" s="123" t="s">
        <v>100</v>
      </c>
      <c r="E67" s="170">
        <f>F67/C43</f>
        <v>1.2712228774022767E-3</v>
      </c>
      <c r="F67" s="189">
        <f>-SUM('Cash-flow 04.02.2025'!H43:R43,'Cash-flow 04.02.2025'!H44:Q44)/1.21</f>
        <v>102908.26446280992</v>
      </c>
      <c r="G67" s="71" t="s">
        <v>94</v>
      </c>
      <c r="H67" s="60"/>
      <c r="I67" s="60"/>
      <c r="J67" s="60"/>
      <c r="K67" s="60"/>
      <c r="L67" s="60"/>
      <c r="M67" s="60"/>
      <c r="N67" s="60"/>
      <c r="O67" s="60"/>
      <c r="P67" s="60"/>
      <c r="Q67" s="179" t="s">
        <v>155</v>
      </c>
      <c r="R67" s="180" t="s">
        <v>166</v>
      </c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8" customHeight="1">
      <c r="A68" s="61"/>
      <c r="B68" s="121" t="str">
        <f>'Cash-flow PLAN'!C43</f>
        <v>Ostatní náklady</v>
      </c>
      <c r="C68" s="122">
        <v>1</v>
      </c>
      <c r="D68" s="169" t="s">
        <v>100</v>
      </c>
      <c r="E68" s="170">
        <v>2E-3</v>
      </c>
      <c r="F68" s="189">
        <f>-SUM('Cash-flow 04.02.2025'!H45:R45)/1.21</f>
        <v>188953.71900826448</v>
      </c>
      <c r="G68" s="71" t="s">
        <v>94</v>
      </c>
      <c r="H68" s="60"/>
      <c r="I68" s="60"/>
      <c r="J68" s="60"/>
      <c r="K68" s="60"/>
      <c r="L68" s="60"/>
      <c r="M68" s="60"/>
      <c r="N68" s="60"/>
      <c r="O68" s="60"/>
      <c r="P68" s="60"/>
      <c r="Q68" s="181" t="e">
        <f t="shared" ref="Q68:Q72" si="5">$J$25-$C$14-$C$23-$C$43-$C$51-$C$72+$N$21+#REF!+#REF!-$F$98-$F$102-$D$125*($E$100/12*(SUM($R$12:$R$13)+R68))</f>
        <v>#REF!</v>
      </c>
      <c r="R68" s="193">
        <v>0</v>
      </c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8" customHeight="1">
      <c r="A69" s="61"/>
      <c r="B69" s="121" t="str">
        <f>'Cash-flow PLAN'!C44</f>
        <v>Právní služby</v>
      </c>
      <c r="C69" s="122">
        <v>1</v>
      </c>
      <c r="D69" s="169" t="s">
        <v>167</v>
      </c>
      <c r="E69" s="170">
        <f>F69/C43</f>
        <v>1.2025025812654787E-3</v>
      </c>
      <c r="F69" s="189">
        <f>-SUM('Cash-flow 04.02.2025'!H46:Q46)/1.21</f>
        <v>97345.206611570247</v>
      </c>
      <c r="G69" s="71" t="s">
        <v>94</v>
      </c>
      <c r="H69" s="60"/>
      <c r="I69" s="60"/>
      <c r="J69" s="60"/>
      <c r="K69" s="60"/>
      <c r="L69" s="60"/>
      <c r="M69" s="60"/>
      <c r="N69" s="60"/>
      <c r="O69" s="60"/>
      <c r="P69" s="60"/>
      <c r="Q69" s="181" t="e">
        <f t="shared" si="5"/>
        <v>#REF!</v>
      </c>
      <c r="R69" s="193">
        <v>6</v>
      </c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8" customHeight="1">
      <c r="A70" s="61"/>
      <c r="B70" s="121" t="str">
        <f>'Cash-flow PLAN'!C45</f>
        <v>Marketing</v>
      </c>
      <c r="C70" s="122">
        <v>1</v>
      </c>
      <c r="D70" s="169" t="s">
        <v>100</v>
      </c>
      <c r="E70" s="170">
        <v>0</v>
      </c>
      <c r="F70" s="189">
        <f>$C$43*E70</f>
        <v>0</v>
      </c>
      <c r="G70" s="71" t="s">
        <v>94</v>
      </c>
      <c r="H70" s="60"/>
      <c r="I70" s="60"/>
      <c r="J70" s="60"/>
      <c r="K70" s="60"/>
      <c r="L70" s="60"/>
      <c r="M70" s="60"/>
      <c r="N70" s="60"/>
      <c r="O70" s="60"/>
      <c r="P70" s="60"/>
      <c r="Q70" s="181" t="e">
        <f t="shared" si="5"/>
        <v>#REF!</v>
      </c>
      <c r="R70" s="193">
        <v>12</v>
      </c>
      <c r="S70" s="60"/>
      <c r="T70" s="60"/>
      <c r="U70" s="60"/>
      <c r="V70" s="60"/>
      <c r="W70" s="60"/>
      <c r="X70" s="60"/>
      <c r="Y70" s="60"/>
      <c r="Z70" s="60"/>
      <c r="AA70" s="60"/>
    </row>
    <row r="71" spans="1:28" ht="18" customHeight="1">
      <c r="A71" s="61"/>
      <c r="B71" s="121" t="str">
        <f>'Cash-flow PLAN'!C46</f>
        <v>Letting fee</v>
      </c>
      <c r="C71" s="429">
        <v>1</v>
      </c>
      <c r="D71" s="482" t="s">
        <v>168</v>
      </c>
      <c r="E71" s="488">
        <v>0</v>
      </c>
      <c r="F71" s="489">
        <f>-SUM('Cash-flow 04.02.2025'!H48:R48)/1.21</f>
        <v>972275.60000000009</v>
      </c>
      <c r="G71" s="71" t="s">
        <v>94</v>
      </c>
      <c r="H71" s="60"/>
      <c r="I71" s="60"/>
      <c r="J71" s="60"/>
      <c r="K71" s="60"/>
      <c r="L71" s="60"/>
      <c r="M71" s="60"/>
      <c r="N71" s="60"/>
      <c r="O71" s="60"/>
      <c r="P71" s="60"/>
      <c r="Q71" s="181" t="e">
        <f t="shared" si="5"/>
        <v>#REF!</v>
      </c>
      <c r="R71" s="490">
        <v>24</v>
      </c>
      <c r="S71" s="60"/>
      <c r="T71" s="60"/>
      <c r="U71" s="60"/>
      <c r="V71" s="60"/>
      <c r="W71" s="60"/>
      <c r="X71" s="60"/>
      <c r="Y71" s="60"/>
    </row>
    <row r="72" spans="1:28" ht="18" customHeight="1">
      <c r="A72" s="61"/>
      <c r="B72" s="103" t="s">
        <v>103</v>
      </c>
      <c r="C72" s="536">
        <f>F57+F58+F62+F66+SUM(F67:F71)</f>
        <v>4139662.7900826447</v>
      </c>
      <c r="D72" s="589"/>
      <c r="E72" s="589"/>
      <c r="F72" s="59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187" t="e">
        <f t="shared" si="5"/>
        <v>#REF!</v>
      </c>
      <c r="R72" s="194" t="e">
        <f>(($J$25-$C$14-$C$23-$C$43-$C$51-$C$72+$N$21+#REF!-$F$98-$F$102)/D125/E100*12)-SUM($R$12:$R$13)</f>
        <v>#REF!</v>
      </c>
      <c r="S72" s="60"/>
      <c r="T72" s="60"/>
      <c r="U72" s="60"/>
      <c r="V72" s="60"/>
      <c r="W72" s="60"/>
      <c r="X72" s="60"/>
      <c r="Y72" s="60"/>
    </row>
    <row r="73" spans="1:28" ht="18" customHeight="1">
      <c r="A73" s="61"/>
      <c r="B73" s="107" t="s">
        <v>105</v>
      </c>
      <c r="C73" s="186"/>
      <c r="D73" s="186"/>
      <c r="E73" s="186"/>
      <c r="F73" s="108">
        <f>C72/$J$17</f>
        <v>1988.6927315923544</v>
      </c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8" ht="18" customHeight="1">
      <c r="A74" s="61"/>
      <c r="B74" s="60"/>
      <c r="C74" s="69"/>
      <c r="D74" s="70"/>
      <c r="E74" s="72"/>
      <c r="F74" s="71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8" ht="18" customHeight="1">
      <c r="A75" s="61"/>
      <c r="B75" s="60"/>
      <c r="C75" s="69"/>
      <c r="D75" s="70"/>
      <c r="E75" s="72"/>
      <c r="F75" s="71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8" ht="18" customHeight="1">
      <c r="A76" s="61"/>
      <c r="B76" s="537" t="s">
        <v>169</v>
      </c>
      <c r="C76" s="589"/>
      <c r="D76" s="589"/>
      <c r="E76" s="589"/>
      <c r="F76" s="590"/>
      <c r="G76" s="71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8" customHeight="1">
      <c r="A77" s="61"/>
      <c r="B77" s="491"/>
      <c r="C77" s="195" t="s">
        <v>84</v>
      </c>
      <c r="D77" s="195" t="s">
        <v>110</v>
      </c>
      <c r="E77" s="196" t="s">
        <v>111</v>
      </c>
      <c r="F77" s="492"/>
      <c r="G77" s="71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8" customHeight="1">
      <c r="A78" s="61"/>
      <c r="B78" s="197" t="s">
        <v>170</v>
      </c>
      <c r="C78" s="198">
        <v>1</v>
      </c>
      <c r="D78" s="199" t="s">
        <v>100</v>
      </c>
      <c r="E78" s="200">
        <v>0.02</v>
      </c>
      <c r="F78" s="201">
        <f>E78*SUM(F31:F38,F41,C51)</f>
        <v>760592</v>
      </c>
      <c r="G78" s="71" t="s">
        <v>94</v>
      </c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8" customHeight="1">
      <c r="A79" s="61"/>
      <c r="B79" s="197" t="s">
        <v>171</v>
      </c>
      <c r="C79" s="198">
        <v>1</v>
      </c>
      <c r="D79" s="199" t="s">
        <v>100</v>
      </c>
      <c r="E79" s="200"/>
      <c r="F79" s="202">
        <f>SUM(F80:F82)</f>
        <v>1160000</v>
      </c>
      <c r="G79" s="71" t="s">
        <v>94</v>
      </c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8" customHeight="1">
      <c r="A80" s="61"/>
      <c r="B80" s="203" t="s">
        <v>160</v>
      </c>
      <c r="C80" s="198">
        <v>1</v>
      </c>
      <c r="D80" s="199" t="s">
        <v>100</v>
      </c>
      <c r="E80" s="493"/>
      <c r="F80" s="494"/>
      <c r="G80" s="71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8" customHeight="1">
      <c r="A81" s="61"/>
      <c r="B81" s="203" t="s">
        <v>161</v>
      </c>
      <c r="C81" s="198">
        <v>1</v>
      </c>
      <c r="D81" s="199" t="s">
        <v>100</v>
      </c>
      <c r="E81" s="493"/>
      <c r="F81" s="494"/>
      <c r="G81" s="71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8" customHeight="1">
      <c r="A82" s="61"/>
      <c r="B82" s="203" t="s">
        <v>162</v>
      </c>
      <c r="C82" s="198">
        <v>1</v>
      </c>
      <c r="D82" s="199" t="s">
        <v>100</v>
      </c>
      <c r="E82" s="493"/>
      <c r="F82" s="494">
        <f>8*145000</f>
        <v>1160000</v>
      </c>
      <c r="G82" s="71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8" customHeight="1">
      <c r="A83" s="61"/>
      <c r="B83" s="197" t="s">
        <v>172</v>
      </c>
      <c r="C83" s="198">
        <v>1</v>
      </c>
      <c r="D83" s="199" t="s">
        <v>100</v>
      </c>
      <c r="E83" s="200"/>
      <c r="F83" s="202"/>
      <c r="G83" s="71"/>
      <c r="H83" s="60"/>
      <c r="I83" s="60"/>
      <c r="J83" s="69"/>
      <c r="K83" s="69"/>
      <c r="L83" s="70"/>
      <c r="M83" s="72"/>
      <c r="N83" s="71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8" customHeight="1">
      <c r="A84" s="61"/>
      <c r="B84" s="203" t="s">
        <v>173</v>
      </c>
      <c r="C84" s="198">
        <v>1</v>
      </c>
      <c r="D84" s="199" t="s">
        <v>100</v>
      </c>
      <c r="E84" s="493"/>
      <c r="F84" s="494"/>
      <c r="G84" s="71"/>
      <c r="H84" s="60"/>
      <c r="I84" s="60"/>
      <c r="J84" s="69"/>
      <c r="K84" s="69"/>
      <c r="L84" s="70"/>
      <c r="M84" s="72"/>
      <c r="N84" s="71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8" customHeight="1">
      <c r="A85" s="61"/>
      <c r="B85" s="203" t="s">
        <v>174</v>
      </c>
      <c r="C85" s="198">
        <v>1</v>
      </c>
      <c r="D85" s="199" t="s">
        <v>100</v>
      </c>
      <c r="E85" s="493"/>
      <c r="F85" s="494"/>
      <c r="G85" s="71"/>
      <c r="H85" s="60"/>
      <c r="I85" s="60"/>
      <c r="J85" s="69"/>
      <c r="K85" s="69"/>
      <c r="L85" s="70"/>
      <c r="M85" s="72"/>
      <c r="N85" s="71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8" customHeight="1">
      <c r="A86" s="61"/>
      <c r="B86" s="203" t="s">
        <v>175</v>
      </c>
      <c r="C86" s="198">
        <v>1</v>
      </c>
      <c r="D86" s="199" t="s">
        <v>100</v>
      </c>
      <c r="E86" s="493"/>
      <c r="F86" s="494"/>
      <c r="G86" s="71"/>
      <c r="H86" s="60"/>
      <c r="I86" s="60"/>
      <c r="J86" s="69"/>
      <c r="K86" s="69"/>
      <c r="L86" s="70"/>
      <c r="M86" s="72"/>
      <c r="N86" s="71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8" customHeight="1">
      <c r="A87" s="61"/>
      <c r="B87" s="197" t="s">
        <v>176</v>
      </c>
      <c r="C87" s="198">
        <v>1</v>
      </c>
      <c r="D87" s="199" t="s">
        <v>100</v>
      </c>
      <c r="E87" s="200"/>
      <c r="F87" s="202">
        <f>9*Params!I4</f>
        <v>170640</v>
      </c>
      <c r="G87" s="71" t="s">
        <v>94</v>
      </c>
      <c r="H87" s="60"/>
      <c r="I87" s="60"/>
      <c r="J87" s="69"/>
      <c r="K87" s="69"/>
      <c r="L87" s="70"/>
      <c r="M87" s="72"/>
      <c r="N87" s="71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8" customHeight="1">
      <c r="A88" s="61"/>
      <c r="B88" s="197" t="s">
        <v>177</v>
      </c>
      <c r="C88" s="198">
        <v>1</v>
      </c>
      <c r="D88" s="199" t="s">
        <v>100</v>
      </c>
      <c r="E88" s="200"/>
      <c r="F88" s="201">
        <f>10000*11+3000*25</f>
        <v>185000</v>
      </c>
      <c r="G88" s="71" t="s">
        <v>122</v>
      </c>
      <c r="H88" s="60"/>
      <c r="I88" s="60"/>
      <c r="J88" s="69"/>
      <c r="K88" s="69"/>
      <c r="L88" s="70"/>
      <c r="M88" s="72"/>
      <c r="N88" s="71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8" customHeight="1">
      <c r="A89" s="61"/>
      <c r="B89" s="197" t="s">
        <v>178</v>
      </c>
      <c r="C89" s="198">
        <v>1</v>
      </c>
      <c r="D89" s="205" t="s">
        <v>100</v>
      </c>
      <c r="E89" s="200"/>
      <c r="F89" s="201">
        <f>-SUM('Cash-flow 04.02.2025'!R45:AA45)/1.21</f>
        <v>131000</v>
      </c>
      <c r="G89" s="71" t="s">
        <v>122</v>
      </c>
      <c r="H89" s="60"/>
      <c r="I89" s="60"/>
      <c r="J89" s="69"/>
      <c r="K89" s="69"/>
      <c r="L89" s="70"/>
      <c r="M89" s="72"/>
      <c r="N89" s="71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8" customHeight="1">
      <c r="A90" s="61"/>
      <c r="B90" s="197" t="s">
        <v>179</v>
      </c>
      <c r="C90" s="198">
        <v>1</v>
      </c>
      <c r="D90" s="205" t="s">
        <v>167</v>
      </c>
      <c r="E90" s="200"/>
      <c r="F90" s="201">
        <v>0</v>
      </c>
      <c r="G90" s="71"/>
      <c r="H90" s="60"/>
      <c r="I90" s="60"/>
      <c r="J90" s="69"/>
      <c r="K90" s="69"/>
      <c r="L90" s="70"/>
      <c r="M90" s="72"/>
      <c r="N90" s="71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8" customHeight="1">
      <c r="A91" s="61"/>
      <c r="B91" s="197" t="s">
        <v>180</v>
      </c>
      <c r="C91" s="198">
        <v>1</v>
      </c>
      <c r="D91" s="205" t="s">
        <v>100</v>
      </c>
      <c r="E91" s="200"/>
      <c r="F91" s="201">
        <v>180000</v>
      </c>
      <c r="G91" s="71" t="s">
        <v>122</v>
      </c>
      <c r="H91" s="60"/>
      <c r="I91" s="60"/>
      <c r="J91" s="69"/>
      <c r="K91" s="69"/>
      <c r="L91" s="70"/>
      <c r="M91" s="72"/>
      <c r="N91" s="71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8" customHeight="1">
      <c r="A92" s="61"/>
      <c r="B92" s="197" t="s">
        <v>181</v>
      </c>
      <c r="C92" s="495">
        <v>1</v>
      </c>
      <c r="D92" s="496" t="s">
        <v>168</v>
      </c>
      <c r="E92" s="497">
        <v>2</v>
      </c>
      <c r="F92" s="498">
        <f>E92*SUM(N9:N14)</f>
        <v>777299.95999999985</v>
      </c>
      <c r="G92" s="71" t="s">
        <v>122</v>
      </c>
      <c r="H92" s="60"/>
      <c r="I92" s="60"/>
      <c r="J92" s="69"/>
      <c r="K92" s="69"/>
      <c r="L92" s="70"/>
      <c r="M92" s="72"/>
      <c r="N92" s="71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8" customHeight="1">
      <c r="A93" s="61"/>
      <c r="B93" s="103" t="s">
        <v>103</v>
      </c>
      <c r="C93" s="554">
        <f>F78+F79+F83+F87+SUM(F88:F92)</f>
        <v>3364531.96</v>
      </c>
      <c r="D93" s="589"/>
      <c r="E93" s="589"/>
      <c r="F93" s="590"/>
      <c r="G93" s="71"/>
      <c r="H93" s="60"/>
      <c r="I93" s="60"/>
      <c r="J93" s="69"/>
      <c r="K93" s="69"/>
      <c r="L93" s="70"/>
      <c r="M93" s="72"/>
      <c r="N93" s="71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8" customHeight="1">
      <c r="A94" s="61"/>
      <c r="B94" s="60"/>
      <c r="C94" s="69"/>
      <c r="D94" s="70"/>
      <c r="E94" s="72"/>
      <c r="F94" s="71"/>
      <c r="G94" s="71"/>
      <c r="H94" s="60"/>
      <c r="I94" s="60"/>
      <c r="J94" s="69"/>
      <c r="K94" s="69"/>
      <c r="L94" s="70"/>
      <c r="M94" s="72"/>
      <c r="N94" s="71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8" customHeight="1">
      <c r="A95" s="61"/>
      <c r="B95" s="60"/>
      <c r="C95" s="69"/>
      <c r="D95" s="70"/>
      <c r="E95" s="72"/>
      <c r="F95" s="71"/>
      <c r="G95" s="71"/>
      <c r="H95" s="60"/>
      <c r="I95" s="60"/>
      <c r="J95" s="69"/>
      <c r="K95" s="69"/>
      <c r="L95" s="70"/>
      <c r="M95" s="72"/>
      <c r="N95" s="71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8" customHeight="1">
      <c r="A96" s="61"/>
      <c r="B96" s="537" t="s">
        <v>182</v>
      </c>
      <c r="C96" s="589"/>
      <c r="D96" s="589"/>
      <c r="E96" s="589"/>
      <c r="F96" s="590"/>
      <c r="G96" s="71"/>
      <c r="H96" s="60"/>
      <c r="I96" s="60"/>
      <c r="J96" s="69"/>
      <c r="K96" s="69"/>
      <c r="L96" s="70"/>
      <c r="M96" s="72"/>
      <c r="N96" s="71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8" customHeight="1">
      <c r="A97" s="61"/>
      <c r="B97" s="115"/>
      <c r="C97" s="116" t="s">
        <v>84</v>
      </c>
      <c r="D97" s="77" t="s">
        <v>110</v>
      </c>
      <c r="E97" s="116" t="s">
        <v>111</v>
      </c>
      <c r="F97" s="117"/>
      <c r="G97" s="71"/>
      <c r="H97" s="60"/>
      <c r="I97" s="60"/>
      <c r="J97" s="69"/>
      <c r="K97" s="69"/>
      <c r="L97" s="70"/>
      <c r="M97" s="72"/>
      <c r="N97" s="71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8" customHeight="1">
      <c r="A98" s="61"/>
      <c r="B98" s="121" t="s">
        <v>183</v>
      </c>
      <c r="C98" s="122">
        <v>1</v>
      </c>
      <c r="D98" s="123" t="s">
        <v>100</v>
      </c>
      <c r="E98" s="170"/>
      <c r="F98" s="86">
        <v>100000</v>
      </c>
      <c r="G98" s="71" t="s">
        <v>94</v>
      </c>
      <c r="H98" s="60"/>
      <c r="I98" s="60"/>
      <c r="J98" s="69"/>
      <c r="K98" s="69"/>
      <c r="L98" s="70"/>
      <c r="M98" s="72"/>
      <c r="N98" s="71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8" customHeight="1">
      <c r="A99" s="61"/>
      <c r="B99" s="121" t="str">
        <f>'Cash-flow PLAN'!C49</f>
        <v>Poplatek za přístav</v>
      </c>
      <c r="C99" s="122">
        <v>1</v>
      </c>
      <c r="D99" s="123" t="s">
        <v>100</v>
      </c>
      <c r="E99" s="170">
        <v>5.0000000000000001E-3</v>
      </c>
      <c r="F99" s="86"/>
      <c r="G99" s="71"/>
      <c r="H99" s="60"/>
      <c r="I99" s="60"/>
      <c r="J99" s="69"/>
      <c r="K99" s="69"/>
      <c r="L99" s="70"/>
      <c r="M99" s="72"/>
      <c r="N99" s="71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8" customHeight="1">
      <c r="A100" s="61"/>
      <c r="B100" s="121" t="s">
        <v>184</v>
      </c>
      <c r="C100" s="122">
        <v>1</v>
      </c>
      <c r="D100" s="123" t="s">
        <v>185</v>
      </c>
      <c r="E100" s="170"/>
      <c r="F100" s="86">
        <f>-SUM('Cash-flow 04.02.2025'!M62:R62)</f>
        <v>1031193.8549999999</v>
      </c>
      <c r="G100" s="71" t="s">
        <v>94</v>
      </c>
      <c r="H100" s="60"/>
      <c r="I100" s="60"/>
      <c r="J100" s="69"/>
      <c r="K100" s="69"/>
      <c r="L100" s="70"/>
      <c r="M100" s="72"/>
      <c r="N100" s="71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8" customHeight="1">
      <c r="A101" s="61"/>
      <c r="B101" s="206" t="s">
        <v>186</v>
      </c>
      <c r="C101" s="207">
        <v>1</v>
      </c>
      <c r="D101" s="208" t="s">
        <v>185</v>
      </c>
      <c r="E101" s="209">
        <v>5.1499999999999997E-2</v>
      </c>
      <c r="F101" s="480">
        <f>-SUM('Cash-flow 04.02.2025'!S62:AA62)</f>
        <v>1808000</v>
      </c>
      <c r="G101" s="71" t="s">
        <v>122</v>
      </c>
      <c r="H101" s="60"/>
      <c r="I101" s="60"/>
      <c r="J101" s="69"/>
      <c r="K101" s="69"/>
      <c r="L101" s="70"/>
      <c r="M101" s="72"/>
      <c r="N101" s="71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8" customHeight="1">
      <c r="A102" s="61"/>
      <c r="B102" s="121" t="str">
        <f>'Cash-flow PLAN'!C51</f>
        <v>Bankovní poplatky</v>
      </c>
      <c r="C102" s="122">
        <v>1</v>
      </c>
      <c r="D102" s="482" t="s">
        <v>93</v>
      </c>
      <c r="E102" s="85">
        <v>2000</v>
      </c>
      <c r="F102" s="424">
        <f>-SUM('Cash-flow 04.02.2025'!H53:R53)</f>
        <v>24916.235000000001</v>
      </c>
      <c r="G102" s="71" t="s">
        <v>94</v>
      </c>
      <c r="H102" s="60"/>
      <c r="I102" s="60"/>
      <c r="J102" s="69"/>
      <c r="K102" s="69"/>
      <c r="L102" s="70"/>
      <c r="M102" s="72"/>
      <c r="N102" s="71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8" customHeight="1">
      <c r="A103" s="61"/>
      <c r="B103" s="121" t="str">
        <f>'Cash-flow PLAN'!C52</f>
        <v>Daně</v>
      </c>
      <c r="C103" s="429">
        <v>1</v>
      </c>
      <c r="D103" s="482" t="s">
        <v>93</v>
      </c>
      <c r="E103" s="430">
        <v>0</v>
      </c>
      <c r="F103" s="424">
        <f>E103</f>
        <v>0</v>
      </c>
      <c r="G103" s="71"/>
      <c r="H103" s="60"/>
      <c r="I103" s="60"/>
      <c r="J103" s="69"/>
      <c r="K103" s="69"/>
      <c r="L103" s="70"/>
      <c r="M103" s="72"/>
      <c r="N103" s="71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8" customHeight="1">
      <c r="A104" s="61"/>
      <c r="B104" s="103" t="s">
        <v>103</v>
      </c>
      <c r="C104" s="536">
        <f>SUM(F98:F103)</f>
        <v>2964110.09</v>
      </c>
      <c r="D104" s="589"/>
      <c r="E104" s="589"/>
      <c r="F104" s="590"/>
      <c r="G104" s="71"/>
      <c r="H104" s="60"/>
      <c r="I104" s="60"/>
      <c r="J104" s="69"/>
      <c r="K104" s="69"/>
      <c r="L104" s="70"/>
      <c r="M104" s="72"/>
      <c r="N104" s="71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8" customHeight="1">
      <c r="A105" s="61"/>
      <c r="B105" s="107" t="s">
        <v>105</v>
      </c>
      <c r="C105" s="186"/>
      <c r="D105" s="186"/>
      <c r="E105" s="186"/>
      <c r="F105" s="108">
        <f>C104/$J$17</f>
        <v>1423.9575759031513</v>
      </c>
      <c r="G105" s="71"/>
      <c r="H105" s="60"/>
      <c r="I105" s="60"/>
      <c r="J105" s="69"/>
      <c r="K105" s="69"/>
      <c r="L105" s="70"/>
      <c r="M105" s="72"/>
      <c r="N105" s="71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8" customHeight="1">
      <c r="A106" s="61"/>
      <c r="B106" s="60"/>
      <c r="C106" s="69"/>
      <c r="D106" s="70"/>
      <c r="E106" s="72"/>
      <c r="F106" s="71"/>
      <c r="G106" s="71"/>
      <c r="H106" s="60"/>
      <c r="I106" s="60"/>
      <c r="J106" s="69"/>
      <c r="K106" s="69"/>
      <c r="L106" s="70"/>
      <c r="M106" s="72"/>
      <c r="N106" s="71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8" customHeight="1">
      <c r="A107" s="61"/>
      <c r="B107" s="60"/>
      <c r="C107" s="69"/>
      <c r="D107" s="70"/>
      <c r="E107" s="72"/>
      <c r="F107" s="71"/>
      <c r="G107" s="71"/>
      <c r="H107" s="60"/>
      <c r="I107" s="60"/>
      <c r="J107" s="69"/>
      <c r="K107" s="69"/>
      <c r="L107" s="70"/>
      <c r="M107" s="72"/>
      <c r="N107" s="71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8" customHeight="1">
      <c r="A108" s="61"/>
      <c r="B108" s="537" t="s">
        <v>187</v>
      </c>
      <c r="C108" s="589"/>
      <c r="D108" s="589"/>
      <c r="E108" s="589"/>
      <c r="F108" s="590"/>
      <c r="G108" s="71"/>
      <c r="H108" s="60"/>
      <c r="I108" s="60"/>
      <c r="J108" s="69"/>
      <c r="K108" s="69"/>
      <c r="L108" s="70"/>
      <c r="M108" s="72"/>
      <c r="N108" s="71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8" customHeight="1">
      <c r="A109" s="61"/>
      <c r="B109" s="115"/>
      <c r="C109" s="116" t="s">
        <v>84</v>
      </c>
      <c r="D109" s="77" t="s">
        <v>110</v>
      </c>
      <c r="E109" s="116" t="s">
        <v>111</v>
      </c>
      <c r="F109" s="117"/>
      <c r="G109" s="71"/>
      <c r="H109" s="60"/>
      <c r="I109" s="60"/>
      <c r="J109" s="69"/>
      <c r="K109" s="69"/>
      <c r="L109" s="70"/>
      <c r="M109" s="72"/>
      <c r="N109" s="71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8" customHeight="1">
      <c r="A110" s="61"/>
      <c r="B110" s="121" t="s">
        <v>183</v>
      </c>
      <c r="C110" s="122">
        <v>1</v>
      </c>
      <c r="D110" s="123" t="s">
        <v>100</v>
      </c>
      <c r="E110" s="170"/>
      <c r="F110" s="86">
        <v>60000</v>
      </c>
      <c r="G110" s="71" t="s">
        <v>122</v>
      </c>
      <c r="H110" s="60"/>
      <c r="I110" s="60"/>
      <c r="J110" s="69"/>
      <c r="K110" s="69"/>
      <c r="L110" s="70"/>
      <c r="M110" s="72"/>
      <c r="N110" s="71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8" customHeight="1">
      <c r="A111" s="61"/>
      <c r="B111" s="121" t="s">
        <v>188</v>
      </c>
      <c r="C111" s="122">
        <v>1</v>
      </c>
      <c r="D111" s="123" t="s">
        <v>100</v>
      </c>
      <c r="E111" s="170"/>
      <c r="F111" s="86">
        <v>80000</v>
      </c>
      <c r="G111" s="71" t="s">
        <v>122</v>
      </c>
      <c r="H111" s="60"/>
      <c r="I111" s="60"/>
      <c r="J111" s="69"/>
      <c r="K111" s="69"/>
      <c r="L111" s="70"/>
      <c r="M111" s="72"/>
      <c r="N111" s="71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8" customHeight="1">
      <c r="A112" s="61"/>
      <c r="B112" s="121" t="s">
        <v>184</v>
      </c>
      <c r="C112" s="122">
        <v>1</v>
      </c>
      <c r="D112" s="123" t="s">
        <v>185</v>
      </c>
      <c r="E112" s="170">
        <v>5.8799999999999998E-2</v>
      </c>
      <c r="F112" s="86">
        <f>-SUM('Cash-flow 04.02.2025'!U61:AA61)</f>
        <v>545370</v>
      </c>
      <c r="G112" s="71" t="s">
        <v>122</v>
      </c>
      <c r="H112" s="60"/>
      <c r="I112" s="60"/>
      <c r="J112" s="69"/>
      <c r="K112" s="69"/>
      <c r="L112" s="70"/>
      <c r="M112" s="72"/>
      <c r="N112" s="71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8" customHeight="1">
      <c r="A113" s="61"/>
      <c r="B113" s="121" t="s">
        <v>186</v>
      </c>
      <c r="C113" s="122">
        <v>1</v>
      </c>
      <c r="D113" s="123" t="s">
        <v>185</v>
      </c>
      <c r="E113" s="210"/>
      <c r="F113" s="424">
        <v>0</v>
      </c>
      <c r="G113" s="71"/>
      <c r="H113" s="60"/>
      <c r="I113" s="60"/>
      <c r="J113" s="69"/>
      <c r="K113" s="69"/>
      <c r="L113" s="70"/>
      <c r="M113" s="72"/>
      <c r="N113" s="71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8" customHeight="1">
      <c r="A114" s="61"/>
      <c r="B114" s="121" t="s">
        <v>189</v>
      </c>
      <c r="C114" s="122">
        <v>1</v>
      </c>
      <c r="D114" s="482" t="s">
        <v>93</v>
      </c>
      <c r="E114" s="85"/>
      <c r="F114" s="424">
        <f>-SUM('Cash-flow 04.02.2025'!S53:AA53)</f>
        <v>11612.430000000002</v>
      </c>
      <c r="G114" s="71" t="s">
        <v>122</v>
      </c>
      <c r="H114" s="60"/>
      <c r="I114" s="60"/>
      <c r="J114" s="69"/>
      <c r="K114" s="69"/>
      <c r="L114" s="70"/>
      <c r="M114" s="72"/>
      <c r="N114" s="71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8" customHeight="1">
      <c r="A115" s="61"/>
      <c r="B115" s="121" t="s">
        <v>190</v>
      </c>
      <c r="C115" s="429">
        <v>1</v>
      </c>
      <c r="D115" s="482" t="s">
        <v>93</v>
      </c>
      <c r="E115" s="430"/>
      <c r="F115" s="424">
        <v>0</v>
      </c>
      <c r="G115" s="71"/>
      <c r="H115" s="60"/>
      <c r="I115" s="60"/>
      <c r="J115" s="69"/>
      <c r="K115" s="69"/>
      <c r="L115" s="70"/>
      <c r="M115" s="72"/>
      <c r="N115" s="71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8" customHeight="1">
      <c r="A116" s="61"/>
      <c r="B116" s="103" t="s">
        <v>103</v>
      </c>
      <c r="C116" s="536">
        <f>SUM(F110:F115)</f>
        <v>696982.43</v>
      </c>
      <c r="D116" s="589"/>
      <c r="E116" s="589"/>
      <c r="F116" s="590"/>
      <c r="G116" s="71"/>
      <c r="H116" s="60"/>
      <c r="I116" s="60"/>
      <c r="J116" s="69"/>
      <c r="K116" s="69"/>
      <c r="L116" s="70"/>
      <c r="M116" s="72"/>
      <c r="N116" s="71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8" customHeight="1">
      <c r="A117" s="61"/>
      <c r="B117" s="60"/>
      <c r="C117" s="69"/>
      <c r="D117" s="70"/>
      <c r="E117" s="72"/>
      <c r="F117" s="71"/>
      <c r="G117" s="71"/>
      <c r="H117" s="60"/>
      <c r="I117" s="60"/>
      <c r="J117" s="69"/>
      <c r="K117" s="69"/>
      <c r="L117" s="70"/>
      <c r="M117" s="72"/>
      <c r="N117" s="71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8" customHeight="1">
      <c r="A118" s="61"/>
      <c r="B118" s="60"/>
      <c r="C118" s="69"/>
      <c r="D118" s="70"/>
      <c r="E118" s="72"/>
      <c r="F118" s="71"/>
      <c r="G118" s="71"/>
      <c r="H118" s="60"/>
      <c r="I118" s="60"/>
      <c r="J118" s="69"/>
      <c r="K118" s="69"/>
      <c r="L118" s="70"/>
      <c r="M118" s="72"/>
      <c r="N118" s="71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8" customHeight="1">
      <c r="A119" s="61"/>
      <c r="B119" s="60"/>
      <c r="C119" s="69"/>
      <c r="D119" s="70"/>
      <c r="E119" s="72"/>
      <c r="F119" s="71"/>
      <c r="G119" s="71"/>
      <c r="H119" s="60"/>
      <c r="I119" s="60"/>
      <c r="J119" s="69"/>
      <c r="K119" s="69"/>
      <c r="L119" s="70"/>
      <c r="M119" s="72"/>
      <c r="N119" s="71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8" customHeight="1">
      <c r="A120" s="61"/>
      <c r="B120" s="60"/>
      <c r="C120" s="69"/>
      <c r="D120" s="70"/>
      <c r="E120" s="72"/>
      <c r="F120" s="71"/>
      <c r="G120" s="71"/>
      <c r="H120" s="60"/>
      <c r="I120" s="60"/>
      <c r="J120" s="69"/>
      <c r="K120" s="69"/>
      <c r="L120" s="70"/>
      <c r="M120" s="72"/>
      <c r="N120" s="71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8" customHeight="1">
      <c r="A121" s="61"/>
      <c r="B121" s="60"/>
      <c r="C121" s="69"/>
      <c r="D121" s="70"/>
      <c r="E121" s="72"/>
      <c r="F121" s="71"/>
      <c r="G121" s="71"/>
      <c r="H121" s="60"/>
      <c r="I121" s="60"/>
      <c r="J121" s="69"/>
      <c r="K121" s="69"/>
      <c r="L121" s="70"/>
      <c r="M121" s="72"/>
      <c r="N121" s="71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8" customHeight="1">
      <c r="A122" s="61"/>
      <c r="B122" s="60"/>
      <c r="C122" s="69"/>
      <c r="D122" s="70"/>
      <c r="E122" s="72"/>
      <c r="F122" s="71"/>
      <c r="G122" s="71"/>
      <c r="H122" s="60"/>
      <c r="I122" s="60"/>
      <c r="J122" s="69"/>
      <c r="K122" s="69"/>
      <c r="L122" s="70"/>
      <c r="M122" s="72"/>
      <c r="N122" s="71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8" customHeight="1">
      <c r="A123" s="61"/>
      <c r="B123" s="60"/>
      <c r="C123" s="69"/>
      <c r="D123" s="70"/>
      <c r="E123" s="72"/>
      <c r="F123" s="71"/>
      <c r="G123" s="71"/>
      <c r="H123" s="60"/>
      <c r="I123" s="60"/>
      <c r="J123" s="69"/>
      <c r="K123" s="69"/>
      <c r="L123" s="70"/>
      <c r="M123" s="72"/>
      <c r="N123" s="71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8" customHeight="1">
      <c r="A124" s="61"/>
      <c r="B124" s="211" t="s">
        <v>191</v>
      </c>
      <c r="C124" s="212"/>
      <c r="D124" s="213"/>
      <c r="E124" s="214"/>
      <c r="F124" s="215"/>
      <c r="G124" s="71"/>
      <c r="H124" s="60"/>
      <c r="I124" s="60"/>
      <c r="J124" s="69"/>
      <c r="K124" s="69"/>
      <c r="L124" s="70"/>
      <c r="M124" s="72"/>
      <c r="N124" s="71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8" customHeight="1">
      <c r="A125" s="61"/>
      <c r="B125" s="499" t="s">
        <v>192</v>
      </c>
      <c r="C125" s="216"/>
      <c r="D125" s="500" t="e">
        <f>(C14+C23+C43+C51+C72+C93)*C127</f>
        <v>#REF!</v>
      </c>
      <c r="E125" s="71"/>
      <c r="F125" s="60"/>
      <c r="G125" s="71"/>
      <c r="H125" s="60"/>
      <c r="I125" s="60"/>
      <c r="J125" s="69"/>
      <c r="K125" s="69"/>
      <c r="L125" s="70"/>
      <c r="M125" s="72"/>
      <c r="N125" s="71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8" customHeight="1">
      <c r="A126" s="61"/>
      <c r="B126" s="499" t="s">
        <v>193</v>
      </c>
      <c r="C126" s="216"/>
      <c r="D126" s="500">
        <f>(F98+F100)</f>
        <v>1131193.855</v>
      </c>
      <c r="E126" s="71"/>
      <c r="F126" s="60"/>
      <c r="G126" s="71"/>
      <c r="H126" s="60"/>
      <c r="I126" s="60"/>
      <c r="J126" s="69"/>
      <c r="K126" s="69"/>
      <c r="L126" s="70"/>
      <c r="M126" s="72"/>
      <c r="N126" s="71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8" customHeight="1">
      <c r="A127" s="61"/>
      <c r="B127" s="501" t="s">
        <v>194</v>
      </c>
      <c r="C127" s="217">
        <v>0.65</v>
      </c>
      <c r="D127" s="502" t="e">
        <f>SUM(D125:D126)</f>
        <v>#REF!</v>
      </c>
      <c r="E127" s="71"/>
      <c r="F127" s="60"/>
      <c r="G127" s="71"/>
      <c r="H127" s="60"/>
      <c r="I127" s="60"/>
      <c r="J127" s="69"/>
      <c r="K127" s="69"/>
      <c r="L127" s="70"/>
      <c r="M127" s="72"/>
      <c r="N127" s="71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8" customHeight="1">
      <c r="A128" s="61"/>
      <c r="B128" s="501" t="s">
        <v>195</v>
      </c>
      <c r="C128" s="217">
        <f>100%-C127</f>
        <v>0.35</v>
      </c>
      <c r="D128" s="503" t="e">
        <f>C132-D127</f>
        <v>#REF!</v>
      </c>
      <c r="E128" s="71"/>
      <c r="F128" s="60"/>
      <c r="G128" s="71"/>
      <c r="H128" s="60"/>
      <c r="I128" s="60"/>
      <c r="J128" s="69"/>
      <c r="K128" s="69"/>
      <c r="L128" s="70"/>
      <c r="M128" s="72"/>
      <c r="N128" s="71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8" customHeight="1">
      <c r="A129" s="61"/>
      <c r="B129" s="218" t="s">
        <v>196</v>
      </c>
      <c r="C129" s="219">
        <v>1</v>
      </c>
      <c r="D129" s="504" t="e">
        <f>C132</f>
        <v>#REF!</v>
      </c>
      <c r="E129" s="71"/>
      <c r="F129" s="60"/>
      <c r="G129" s="71"/>
      <c r="H129" s="60"/>
      <c r="I129" s="60"/>
      <c r="J129" s="69"/>
      <c r="K129" s="69"/>
      <c r="L129" s="70"/>
      <c r="M129" s="72"/>
      <c r="N129" s="71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8" customHeight="1">
      <c r="A130" s="61"/>
      <c r="B130" s="60"/>
      <c r="C130" s="69"/>
      <c r="D130" s="70"/>
      <c r="E130" s="72"/>
      <c r="F130" s="71"/>
      <c r="G130" s="71"/>
      <c r="H130" s="60"/>
      <c r="I130" s="60"/>
      <c r="J130" s="69"/>
      <c r="K130" s="69"/>
      <c r="L130" s="70"/>
      <c r="M130" s="72"/>
      <c r="N130" s="71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8" customHeight="1">
      <c r="A131" s="61"/>
      <c r="B131" s="60"/>
      <c r="C131" s="69"/>
      <c r="D131" s="70"/>
      <c r="E131" s="72"/>
      <c r="F131" s="71"/>
      <c r="G131" s="71"/>
      <c r="H131" s="60"/>
      <c r="I131" s="60"/>
      <c r="J131" s="69"/>
      <c r="K131" s="69"/>
      <c r="L131" s="70"/>
      <c r="M131" s="72"/>
      <c r="N131" s="71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8" customHeight="1">
      <c r="A132" s="61"/>
      <c r="B132" s="220" t="s">
        <v>197</v>
      </c>
      <c r="C132" s="556" t="e">
        <f>C14+C23+C43+C51+C72+C93+C104+C116</f>
        <v>#REF!</v>
      </c>
      <c r="D132" s="589"/>
      <c r="E132" s="589"/>
      <c r="F132" s="590"/>
      <c r="G132" s="71"/>
      <c r="H132" s="60"/>
      <c r="I132" s="60"/>
      <c r="J132" s="69"/>
      <c r="K132" s="69"/>
      <c r="L132" s="70"/>
      <c r="M132" s="72"/>
      <c r="N132" s="71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8" customHeight="1">
      <c r="A133" s="61"/>
      <c r="B133" s="60"/>
      <c r="C133" s="69"/>
      <c r="D133" s="70"/>
      <c r="E133" s="72"/>
      <c r="F133" s="71"/>
      <c r="G133" s="71"/>
      <c r="H133" s="60"/>
      <c r="I133" s="60"/>
      <c r="J133" s="69"/>
      <c r="K133" s="69"/>
      <c r="L133" s="70"/>
      <c r="M133" s="72"/>
      <c r="N133" s="71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8" customHeight="1">
      <c r="A134" s="61"/>
      <c r="B134" s="221" t="s">
        <v>198</v>
      </c>
      <c r="C134" s="557" t="e">
        <f>C132/$J$17</f>
        <v>#REF!</v>
      </c>
      <c r="D134" s="589"/>
      <c r="E134" s="589"/>
      <c r="F134" s="590"/>
      <c r="G134" s="71"/>
      <c r="H134" s="60"/>
      <c r="I134" s="60"/>
      <c r="J134" s="69"/>
      <c r="K134" s="69"/>
      <c r="L134" s="70"/>
      <c r="M134" s="72"/>
      <c r="N134" s="71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8" customHeight="1">
      <c r="A135" s="61"/>
      <c r="B135" s="60"/>
      <c r="C135" s="69"/>
      <c r="D135" s="70"/>
      <c r="E135" s="72"/>
      <c r="F135" s="71"/>
      <c r="G135" s="71"/>
      <c r="H135" s="60"/>
      <c r="I135" s="60"/>
      <c r="J135" s="69"/>
      <c r="K135" s="69"/>
      <c r="L135" s="70"/>
      <c r="M135" s="72"/>
      <c r="N135" s="71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8" customHeight="1">
      <c r="A136" s="61"/>
      <c r="B136" s="60"/>
      <c r="C136" s="69"/>
      <c r="D136" s="70"/>
      <c r="E136" s="72"/>
      <c r="F136" s="71"/>
      <c r="G136" s="71"/>
      <c r="H136" s="60"/>
      <c r="I136" s="60"/>
      <c r="J136" s="69"/>
      <c r="K136" s="69"/>
      <c r="L136" s="70"/>
      <c r="M136" s="72"/>
      <c r="N136" s="71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8" customHeight="1">
      <c r="A137" s="61"/>
      <c r="B137" s="60"/>
      <c r="C137" s="69"/>
      <c r="D137" s="70"/>
      <c r="E137" s="72"/>
      <c r="F137" s="71"/>
      <c r="G137" s="71"/>
      <c r="H137" s="60"/>
      <c r="I137" s="60"/>
      <c r="J137" s="69"/>
      <c r="K137" s="69"/>
      <c r="L137" s="70"/>
      <c r="M137" s="72"/>
      <c r="N137" s="71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8" customHeight="1">
      <c r="A138" s="61"/>
      <c r="B138" s="60"/>
      <c r="C138" s="69"/>
      <c r="D138" s="70"/>
      <c r="E138" s="72"/>
      <c r="F138" s="71"/>
      <c r="G138" s="71"/>
      <c r="H138" s="60"/>
      <c r="I138" s="60"/>
      <c r="J138" s="69"/>
      <c r="K138" s="69"/>
      <c r="L138" s="70"/>
      <c r="M138" s="72"/>
      <c r="N138" s="71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8" customHeight="1">
      <c r="A139" s="61"/>
      <c r="B139" s="60"/>
      <c r="C139" s="69"/>
      <c r="D139" s="70"/>
      <c r="E139" s="72"/>
      <c r="F139" s="71"/>
      <c r="G139" s="71"/>
      <c r="H139" s="60"/>
      <c r="I139" s="60"/>
      <c r="J139" s="69"/>
      <c r="K139" s="69"/>
      <c r="L139" s="70"/>
      <c r="M139" s="72"/>
      <c r="N139" s="71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8" customHeight="1">
      <c r="A140" s="61"/>
      <c r="B140" s="60"/>
      <c r="C140" s="69"/>
      <c r="D140" s="70"/>
      <c r="E140" s="72"/>
      <c r="F140" s="71"/>
      <c r="G140" s="71"/>
      <c r="H140" s="60"/>
      <c r="I140" s="60"/>
      <c r="J140" s="69"/>
      <c r="K140" s="69"/>
      <c r="L140" s="70"/>
      <c r="M140" s="72"/>
      <c r="N140" s="71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8" customHeight="1">
      <c r="A141" s="61"/>
      <c r="B141" s="60"/>
      <c r="C141" s="69"/>
      <c r="D141" s="70"/>
      <c r="E141" s="72"/>
      <c r="F141" s="71"/>
      <c r="G141" s="71"/>
      <c r="H141" s="60"/>
      <c r="I141" s="60"/>
      <c r="J141" s="69"/>
      <c r="K141" s="69"/>
      <c r="L141" s="70"/>
      <c r="M141" s="72"/>
      <c r="N141" s="71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8" customHeight="1">
      <c r="A142" s="61"/>
      <c r="B142" s="60"/>
      <c r="C142" s="69"/>
      <c r="D142" s="70"/>
      <c r="E142" s="72"/>
      <c r="F142" s="71"/>
      <c r="G142" s="71"/>
      <c r="H142" s="60"/>
      <c r="I142" s="60"/>
      <c r="J142" s="69"/>
      <c r="K142" s="69"/>
      <c r="L142" s="70"/>
      <c r="M142" s="72"/>
      <c r="N142" s="71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8" customHeight="1">
      <c r="A143" s="61"/>
      <c r="B143" s="60"/>
      <c r="C143" s="69"/>
      <c r="D143" s="70"/>
      <c r="E143" s="72"/>
      <c r="F143" s="71"/>
      <c r="G143" s="71"/>
      <c r="H143" s="60"/>
      <c r="I143" s="60"/>
      <c r="J143" s="69"/>
      <c r="K143" s="69"/>
      <c r="L143" s="70"/>
      <c r="M143" s="72"/>
      <c r="N143" s="71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8" customHeight="1">
      <c r="A144" s="61"/>
      <c r="B144" s="60"/>
      <c r="C144" s="69"/>
      <c r="D144" s="70"/>
      <c r="E144" s="72"/>
      <c r="F144" s="71"/>
      <c r="G144" s="71"/>
      <c r="H144" s="60"/>
      <c r="I144" s="60"/>
      <c r="J144" s="69"/>
      <c r="K144" s="69"/>
      <c r="L144" s="70"/>
      <c r="M144" s="72"/>
      <c r="N144" s="71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8" customHeight="1">
      <c r="A145" s="61"/>
      <c r="B145" s="60"/>
      <c r="C145" s="69"/>
      <c r="D145" s="70"/>
      <c r="E145" s="72"/>
      <c r="F145" s="71"/>
      <c r="G145" s="71"/>
      <c r="H145" s="60"/>
      <c r="I145" s="60"/>
      <c r="J145" s="69"/>
      <c r="K145" s="69"/>
      <c r="L145" s="70"/>
      <c r="M145" s="72"/>
      <c r="N145" s="71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8" customHeight="1">
      <c r="A146" s="61"/>
      <c r="B146" s="60"/>
      <c r="C146" s="69"/>
      <c r="D146" s="70"/>
      <c r="E146" s="72"/>
      <c r="F146" s="71"/>
      <c r="G146" s="71"/>
      <c r="H146" s="60"/>
      <c r="I146" s="60"/>
      <c r="J146" s="69"/>
      <c r="K146" s="69"/>
      <c r="L146" s="70"/>
      <c r="M146" s="72"/>
      <c r="N146" s="71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8" customHeight="1">
      <c r="A147" s="61"/>
      <c r="B147" s="60"/>
      <c r="C147" s="69"/>
      <c r="D147" s="70"/>
      <c r="E147" s="72"/>
      <c r="F147" s="71"/>
      <c r="G147" s="71"/>
      <c r="H147" s="60"/>
      <c r="I147" s="60"/>
      <c r="J147" s="69"/>
      <c r="K147" s="69"/>
      <c r="L147" s="70"/>
      <c r="M147" s="72"/>
      <c r="N147" s="71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8" customHeight="1">
      <c r="A148" s="61"/>
      <c r="B148" s="60"/>
      <c r="C148" s="69"/>
      <c r="D148" s="70"/>
      <c r="E148" s="72"/>
      <c r="F148" s="71"/>
      <c r="G148" s="71"/>
      <c r="H148" s="60"/>
      <c r="I148" s="60"/>
      <c r="J148" s="69"/>
      <c r="K148" s="69"/>
      <c r="L148" s="70"/>
      <c r="M148" s="72"/>
      <c r="N148" s="71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8" customHeight="1">
      <c r="A149" s="61"/>
      <c r="B149" s="60"/>
      <c r="C149" s="69"/>
      <c r="D149" s="70"/>
      <c r="E149" s="72"/>
      <c r="F149" s="71"/>
      <c r="G149" s="71"/>
      <c r="H149" s="60"/>
      <c r="I149" s="60"/>
      <c r="J149" s="69"/>
      <c r="K149" s="69"/>
      <c r="L149" s="70"/>
      <c r="M149" s="72"/>
      <c r="N149" s="71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8" customHeight="1">
      <c r="A150" s="61"/>
      <c r="B150" s="60"/>
      <c r="C150" s="69"/>
      <c r="D150" s="70"/>
      <c r="E150" s="72"/>
      <c r="F150" s="71"/>
      <c r="G150" s="71"/>
      <c r="H150" s="60"/>
      <c r="I150" s="60"/>
      <c r="J150" s="69"/>
      <c r="K150" s="69"/>
      <c r="L150" s="70"/>
      <c r="M150" s="72"/>
      <c r="N150" s="71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8" customHeight="1">
      <c r="A151" s="61"/>
      <c r="B151" s="60"/>
      <c r="C151" s="69"/>
      <c r="D151" s="70"/>
      <c r="E151" s="72"/>
      <c r="F151" s="71"/>
      <c r="G151" s="71"/>
      <c r="H151" s="60"/>
      <c r="I151" s="60"/>
      <c r="J151" s="69"/>
      <c r="K151" s="69"/>
      <c r="L151" s="70"/>
      <c r="M151" s="72"/>
      <c r="N151" s="71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8" customHeight="1">
      <c r="A152" s="61"/>
      <c r="B152" s="60"/>
      <c r="C152" s="69"/>
      <c r="D152" s="70"/>
      <c r="E152" s="72"/>
      <c r="F152" s="71"/>
      <c r="G152" s="71"/>
      <c r="H152" s="60"/>
      <c r="I152" s="60"/>
      <c r="J152" s="69"/>
      <c r="K152" s="69"/>
      <c r="L152" s="70"/>
      <c r="M152" s="72"/>
      <c r="N152" s="71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8" customHeight="1">
      <c r="A153" s="61"/>
      <c r="B153" s="60"/>
      <c r="C153" s="69"/>
      <c r="D153" s="70"/>
      <c r="E153" s="72"/>
      <c r="F153" s="71"/>
      <c r="G153" s="71"/>
      <c r="H153" s="60"/>
      <c r="I153" s="60"/>
      <c r="J153" s="69"/>
      <c r="K153" s="69"/>
      <c r="L153" s="70"/>
      <c r="M153" s="72"/>
      <c r="N153" s="71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8" customHeight="1">
      <c r="A154" s="61"/>
      <c r="B154" s="60"/>
      <c r="C154" s="69"/>
      <c r="D154" s="70"/>
      <c r="E154" s="72"/>
      <c r="F154" s="71"/>
      <c r="G154" s="71"/>
      <c r="H154" s="60"/>
      <c r="I154" s="60"/>
      <c r="J154" s="69"/>
      <c r="K154" s="69"/>
      <c r="L154" s="70"/>
      <c r="M154" s="72"/>
      <c r="N154" s="71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8" customHeight="1">
      <c r="A155" s="61"/>
      <c r="B155" s="60"/>
      <c r="C155" s="69"/>
      <c r="D155" s="70"/>
      <c r="E155" s="72"/>
      <c r="F155" s="71"/>
      <c r="G155" s="71"/>
      <c r="H155" s="60"/>
      <c r="I155" s="60"/>
      <c r="J155" s="69"/>
      <c r="K155" s="69"/>
      <c r="L155" s="70"/>
      <c r="M155" s="72"/>
      <c r="N155" s="71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8" customHeight="1">
      <c r="A156" s="61"/>
      <c r="B156" s="60"/>
      <c r="C156" s="69"/>
      <c r="D156" s="70"/>
      <c r="E156" s="72"/>
      <c r="F156" s="71"/>
      <c r="G156" s="71"/>
      <c r="H156" s="60"/>
      <c r="I156" s="60"/>
      <c r="J156" s="69"/>
      <c r="K156" s="69"/>
      <c r="L156" s="70"/>
      <c r="M156" s="72"/>
      <c r="N156" s="71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8" customHeight="1">
      <c r="A157" s="61"/>
      <c r="B157" s="60"/>
      <c r="C157" s="69"/>
      <c r="D157" s="70"/>
      <c r="E157" s="72"/>
      <c r="F157" s="71"/>
      <c r="G157" s="71"/>
      <c r="H157" s="60"/>
      <c r="I157" s="60"/>
      <c r="J157" s="69"/>
      <c r="K157" s="69"/>
      <c r="L157" s="70"/>
      <c r="M157" s="72"/>
      <c r="N157" s="71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8" customHeight="1">
      <c r="A158" s="61"/>
      <c r="B158" s="60"/>
      <c r="C158" s="69"/>
      <c r="D158" s="70"/>
      <c r="E158" s="72"/>
      <c r="F158" s="71"/>
      <c r="G158" s="71"/>
      <c r="H158" s="60"/>
      <c r="I158" s="60"/>
      <c r="J158" s="69"/>
      <c r="K158" s="69"/>
      <c r="L158" s="70"/>
      <c r="M158" s="72"/>
      <c r="N158" s="71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8" customHeight="1">
      <c r="A159" s="61"/>
      <c r="B159" s="60"/>
      <c r="C159" s="69"/>
      <c r="D159" s="70"/>
      <c r="E159" s="72"/>
      <c r="F159" s="71"/>
      <c r="G159" s="71"/>
      <c r="H159" s="60"/>
      <c r="I159" s="60"/>
      <c r="J159" s="69"/>
      <c r="K159" s="69"/>
      <c r="L159" s="70"/>
      <c r="M159" s="72"/>
      <c r="N159" s="71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8" customHeight="1">
      <c r="A160" s="61"/>
      <c r="B160" s="60"/>
      <c r="C160" s="69"/>
      <c r="D160" s="70"/>
      <c r="E160" s="72"/>
      <c r="F160" s="71"/>
      <c r="G160" s="71"/>
      <c r="H160" s="60"/>
      <c r="I160" s="60"/>
      <c r="J160" s="69"/>
      <c r="K160" s="69"/>
      <c r="L160" s="70"/>
      <c r="M160" s="72"/>
      <c r="N160" s="71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8" customHeight="1">
      <c r="A161" s="61"/>
      <c r="B161" s="60"/>
      <c r="C161" s="69"/>
      <c r="D161" s="70"/>
      <c r="E161" s="72"/>
      <c r="F161" s="71"/>
      <c r="G161" s="71"/>
      <c r="H161" s="60"/>
      <c r="I161" s="60"/>
      <c r="J161" s="69"/>
      <c r="K161" s="69"/>
      <c r="L161" s="70"/>
      <c r="M161" s="72"/>
      <c r="N161" s="71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8" customHeight="1">
      <c r="A162" s="61"/>
      <c r="B162" s="60"/>
      <c r="C162" s="69"/>
      <c r="D162" s="70"/>
      <c r="E162" s="72"/>
      <c r="F162" s="71"/>
      <c r="G162" s="71"/>
      <c r="H162" s="60"/>
      <c r="I162" s="60"/>
      <c r="J162" s="69"/>
      <c r="K162" s="69"/>
      <c r="L162" s="70"/>
      <c r="M162" s="72"/>
      <c r="N162" s="71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8" customHeight="1">
      <c r="A163" s="61"/>
      <c r="B163" s="60"/>
      <c r="C163" s="69"/>
      <c r="D163" s="70"/>
      <c r="E163" s="72"/>
      <c r="F163" s="71"/>
      <c r="G163" s="71"/>
      <c r="H163" s="60"/>
      <c r="I163" s="60"/>
      <c r="J163" s="69"/>
      <c r="K163" s="69"/>
      <c r="L163" s="70"/>
      <c r="M163" s="72"/>
      <c r="N163" s="71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8" customHeight="1">
      <c r="A164" s="61"/>
      <c r="B164" s="60"/>
      <c r="C164" s="69"/>
      <c r="D164" s="70"/>
      <c r="E164" s="72"/>
      <c r="F164" s="71"/>
      <c r="G164" s="71"/>
      <c r="H164" s="60"/>
      <c r="I164" s="60"/>
      <c r="J164" s="69"/>
      <c r="K164" s="69"/>
      <c r="L164" s="70"/>
      <c r="M164" s="72"/>
      <c r="N164" s="71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8" customHeight="1">
      <c r="A165" s="61"/>
      <c r="B165" s="60"/>
      <c r="C165" s="69"/>
      <c r="D165" s="70"/>
      <c r="E165" s="72"/>
      <c r="F165" s="71"/>
      <c r="G165" s="71"/>
      <c r="H165" s="60"/>
      <c r="I165" s="60"/>
      <c r="J165" s="69"/>
      <c r="K165" s="69"/>
      <c r="L165" s="70"/>
      <c r="M165" s="72"/>
      <c r="N165" s="71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8" customHeight="1">
      <c r="A166" s="61"/>
      <c r="B166" s="60"/>
      <c r="C166" s="69"/>
      <c r="D166" s="70"/>
      <c r="E166" s="72"/>
      <c r="F166" s="71"/>
      <c r="G166" s="71"/>
      <c r="H166" s="60"/>
      <c r="I166" s="60"/>
      <c r="J166" s="69"/>
      <c r="K166" s="69"/>
      <c r="L166" s="70"/>
      <c r="M166" s="72"/>
      <c r="N166" s="71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8" customHeight="1">
      <c r="A167" s="61"/>
      <c r="B167" s="60"/>
      <c r="C167" s="69"/>
      <c r="D167" s="70"/>
      <c r="E167" s="72"/>
      <c r="F167" s="71"/>
      <c r="G167" s="71"/>
      <c r="H167" s="60"/>
      <c r="I167" s="60"/>
      <c r="J167" s="69"/>
      <c r="K167" s="69"/>
      <c r="L167" s="70"/>
      <c r="M167" s="72"/>
      <c r="N167" s="71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8" customHeight="1">
      <c r="A168" s="61"/>
      <c r="B168" s="60"/>
      <c r="C168" s="69"/>
      <c r="D168" s="70"/>
      <c r="E168" s="72"/>
      <c r="F168" s="71"/>
      <c r="G168" s="71"/>
      <c r="H168" s="60"/>
      <c r="I168" s="60"/>
      <c r="J168" s="69"/>
      <c r="K168" s="69"/>
      <c r="L168" s="70"/>
      <c r="M168" s="72"/>
      <c r="N168" s="71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8" customHeight="1">
      <c r="A169" s="61"/>
      <c r="B169" s="60"/>
      <c r="C169" s="69"/>
      <c r="D169" s="70"/>
      <c r="E169" s="72"/>
      <c r="F169" s="71"/>
      <c r="G169" s="71"/>
      <c r="H169" s="60"/>
      <c r="I169" s="60"/>
      <c r="J169" s="69"/>
      <c r="K169" s="69"/>
      <c r="L169" s="70"/>
      <c r="M169" s="72"/>
      <c r="N169" s="71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8" customHeight="1">
      <c r="A170" s="61"/>
      <c r="B170" s="60"/>
      <c r="C170" s="69"/>
      <c r="D170" s="70"/>
      <c r="E170" s="72"/>
      <c r="F170" s="71"/>
      <c r="G170" s="71"/>
      <c r="H170" s="60"/>
      <c r="I170" s="60"/>
      <c r="J170" s="69"/>
      <c r="K170" s="69"/>
      <c r="L170" s="70"/>
      <c r="M170" s="72"/>
      <c r="N170" s="71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8" customHeight="1">
      <c r="A171" s="61"/>
      <c r="B171" s="60"/>
      <c r="C171" s="69"/>
      <c r="D171" s="70"/>
      <c r="E171" s="72"/>
      <c r="F171" s="71"/>
      <c r="G171" s="71"/>
      <c r="H171" s="60"/>
      <c r="I171" s="60"/>
      <c r="J171" s="69"/>
      <c r="K171" s="69"/>
      <c r="L171" s="70"/>
      <c r="M171" s="72"/>
      <c r="N171" s="71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8" customHeight="1">
      <c r="A172" s="61"/>
      <c r="B172" s="60"/>
      <c r="C172" s="69"/>
      <c r="D172" s="70"/>
      <c r="E172" s="72"/>
      <c r="F172" s="71"/>
      <c r="G172" s="71"/>
      <c r="H172" s="60"/>
      <c r="I172" s="60"/>
      <c r="J172" s="69"/>
      <c r="K172" s="69"/>
      <c r="L172" s="70"/>
      <c r="M172" s="72"/>
      <c r="N172" s="71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8" customHeight="1">
      <c r="A173" s="61"/>
      <c r="B173" s="60"/>
      <c r="C173" s="69"/>
      <c r="D173" s="70"/>
      <c r="E173" s="72"/>
      <c r="F173" s="71"/>
      <c r="G173" s="71"/>
      <c r="H173" s="60"/>
      <c r="I173" s="60"/>
      <c r="J173" s="69"/>
      <c r="K173" s="69"/>
      <c r="L173" s="70"/>
      <c r="M173" s="72"/>
      <c r="N173" s="71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8" customHeight="1">
      <c r="A174" s="61"/>
      <c r="B174" s="60"/>
      <c r="C174" s="69"/>
      <c r="D174" s="70"/>
      <c r="E174" s="72"/>
      <c r="F174" s="71"/>
      <c r="G174" s="71"/>
      <c r="H174" s="60"/>
      <c r="I174" s="60"/>
      <c r="J174" s="69"/>
      <c r="K174" s="69"/>
      <c r="L174" s="70"/>
      <c r="M174" s="72"/>
      <c r="N174" s="71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8" customHeight="1">
      <c r="A175" s="61"/>
      <c r="B175" s="60"/>
      <c r="C175" s="69"/>
      <c r="D175" s="70"/>
      <c r="E175" s="72"/>
      <c r="F175" s="71"/>
      <c r="G175" s="71"/>
      <c r="H175" s="60"/>
      <c r="I175" s="60"/>
      <c r="J175" s="69"/>
      <c r="K175" s="69"/>
      <c r="L175" s="70"/>
      <c r="M175" s="72"/>
      <c r="N175" s="71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8" customHeight="1">
      <c r="A176" s="61"/>
      <c r="B176" s="60"/>
      <c r="C176" s="69"/>
      <c r="D176" s="70"/>
      <c r="E176" s="72"/>
      <c r="F176" s="71"/>
      <c r="G176" s="71"/>
      <c r="H176" s="60"/>
      <c r="I176" s="60"/>
      <c r="J176" s="69"/>
      <c r="K176" s="69"/>
      <c r="L176" s="70"/>
      <c r="M176" s="72"/>
      <c r="N176" s="71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8" customHeight="1">
      <c r="A177" s="61"/>
      <c r="B177" s="60"/>
      <c r="C177" s="69"/>
      <c r="D177" s="70"/>
      <c r="E177" s="72"/>
      <c r="F177" s="71"/>
      <c r="G177" s="71"/>
      <c r="H177" s="60"/>
      <c r="I177" s="60"/>
      <c r="J177" s="69"/>
      <c r="K177" s="69"/>
      <c r="L177" s="70"/>
      <c r="M177" s="72"/>
      <c r="N177" s="71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8" customHeight="1">
      <c r="A178" s="61"/>
      <c r="B178" s="60"/>
      <c r="C178" s="69"/>
      <c r="D178" s="70"/>
      <c r="E178" s="72"/>
      <c r="F178" s="71"/>
      <c r="G178" s="71"/>
      <c r="H178" s="60"/>
      <c r="I178" s="60"/>
      <c r="J178" s="69"/>
      <c r="K178" s="69"/>
      <c r="L178" s="70"/>
      <c r="M178" s="72"/>
      <c r="N178" s="71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8" customHeight="1">
      <c r="A179" s="61"/>
      <c r="B179" s="60"/>
      <c r="C179" s="69"/>
      <c r="D179" s="70"/>
      <c r="E179" s="72"/>
      <c r="F179" s="71"/>
      <c r="G179" s="71"/>
      <c r="H179" s="60"/>
      <c r="I179" s="60"/>
      <c r="J179" s="69"/>
      <c r="K179" s="69"/>
      <c r="L179" s="70"/>
      <c r="M179" s="72"/>
      <c r="N179" s="71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8" customHeight="1">
      <c r="A180" s="61"/>
      <c r="B180" s="60"/>
      <c r="C180" s="69"/>
      <c r="D180" s="70"/>
      <c r="E180" s="72"/>
      <c r="F180" s="71"/>
      <c r="G180" s="71"/>
      <c r="H180" s="60"/>
      <c r="I180" s="60"/>
      <c r="J180" s="69"/>
      <c r="K180" s="69"/>
      <c r="L180" s="70"/>
      <c r="M180" s="72"/>
      <c r="N180" s="71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8" customHeight="1">
      <c r="A181" s="61"/>
      <c r="B181" s="60"/>
      <c r="C181" s="69"/>
      <c r="D181" s="70"/>
      <c r="E181" s="72"/>
      <c r="F181" s="71"/>
      <c r="G181" s="71"/>
      <c r="H181" s="60"/>
      <c r="I181" s="60"/>
      <c r="J181" s="69"/>
      <c r="K181" s="69"/>
      <c r="L181" s="70"/>
      <c r="M181" s="72"/>
      <c r="N181" s="71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8" customHeight="1">
      <c r="A182" s="61"/>
      <c r="B182" s="60"/>
      <c r="C182" s="69"/>
      <c r="D182" s="70"/>
      <c r="E182" s="72"/>
      <c r="F182" s="71"/>
      <c r="G182" s="71"/>
      <c r="H182" s="60"/>
      <c r="I182" s="60"/>
      <c r="J182" s="69"/>
      <c r="K182" s="69"/>
      <c r="L182" s="70"/>
      <c r="M182" s="72"/>
      <c r="N182" s="71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8" customHeight="1">
      <c r="A183" s="61"/>
      <c r="B183" s="60"/>
      <c r="C183" s="69"/>
      <c r="D183" s="70"/>
      <c r="E183" s="72"/>
      <c r="F183" s="71"/>
      <c r="G183" s="71"/>
      <c r="H183" s="60"/>
      <c r="I183" s="60"/>
      <c r="J183" s="69"/>
      <c r="K183" s="69"/>
      <c r="L183" s="70"/>
      <c r="M183" s="72"/>
      <c r="N183" s="71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8" customHeight="1">
      <c r="A184" s="61"/>
      <c r="B184" s="60"/>
      <c r="C184" s="69"/>
      <c r="D184" s="70"/>
      <c r="E184" s="72"/>
      <c r="F184" s="71"/>
      <c r="G184" s="71"/>
      <c r="H184" s="60"/>
      <c r="I184" s="60"/>
      <c r="J184" s="69"/>
      <c r="K184" s="69"/>
      <c r="L184" s="70"/>
      <c r="M184" s="72"/>
      <c r="N184" s="71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8" customHeight="1">
      <c r="A185" s="61"/>
      <c r="B185" s="60"/>
      <c r="C185" s="69"/>
      <c r="D185" s="70"/>
      <c r="E185" s="72"/>
      <c r="F185" s="71"/>
      <c r="G185" s="71"/>
      <c r="H185" s="60"/>
      <c r="I185" s="60"/>
      <c r="J185" s="69"/>
      <c r="K185" s="69"/>
      <c r="L185" s="70"/>
      <c r="M185" s="72"/>
      <c r="N185" s="71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8" customHeight="1">
      <c r="A186" s="61"/>
      <c r="B186" s="60"/>
      <c r="C186" s="69"/>
      <c r="D186" s="70"/>
      <c r="E186" s="72"/>
      <c r="F186" s="71"/>
      <c r="G186" s="71"/>
      <c r="H186" s="60"/>
      <c r="I186" s="60"/>
      <c r="J186" s="69"/>
      <c r="K186" s="69"/>
      <c r="L186" s="70"/>
      <c r="M186" s="72"/>
      <c r="N186" s="71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8" customHeight="1">
      <c r="A187" s="61"/>
      <c r="B187" s="60"/>
      <c r="C187" s="69"/>
      <c r="D187" s="70"/>
      <c r="E187" s="72"/>
      <c r="F187" s="71"/>
      <c r="G187" s="71"/>
      <c r="H187" s="60"/>
      <c r="I187" s="60"/>
      <c r="J187" s="69"/>
      <c r="K187" s="69"/>
      <c r="L187" s="70"/>
      <c r="M187" s="72"/>
      <c r="N187" s="71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8" customHeight="1">
      <c r="A188" s="61"/>
      <c r="B188" s="60"/>
      <c r="C188" s="69"/>
      <c r="D188" s="70"/>
      <c r="E188" s="72"/>
      <c r="F188" s="71"/>
      <c r="G188" s="71"/>
      <c r="H188" s="60"/>
      <c r="I188" s="60"/>
      <c r="J188" s="69"/>
      <c r="K188" s="69"/>
      <c r="L188" s="70"/>
      <c r="M188" s="72"/>
      <c r="N188" s="71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8" customHeight="1">
      <c r="A189" s="61"/>
      <c r="B189" s="60"/>
      <c r="C189" s="69"/>
      <c r="D189" s="70"/>
      <c r="E189" s="72"/>
      <c r="F189" s="71"/>
      <c r="G189" s="71"/>
      <c r="H189" s="60"/>
      <c r="I189" s="60"/>
      <c r="J189" s="69"/>
      <c r="K189" s="69"/>
      <c r="L189" s="70"/>
      <c r="M189" s="72"/>
      <c r="N189" s="71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8" customHeight="1">
      <c r="A190" s="61"/>
      <c r="B190" s="60"/>
      <c r="C190" s="69"/>
      <c r="D190" s="70"/>
      <c r="E190" s="72"/>
      <c r="F190" s="71"/>
      <c r="G190" s="71"/>
      <c r="H190" s="60"/>
      <c r="I190" s="60"/>
      <c r="J190" s="69"/>
      <c r="K190" s="69"/>
      <c r="L190" s="70"/>
      <c r="M190" s="72"/>
      <c r="N190" s="71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8" customHeight="1">
      <c r="A191" s="61"/>
      <c r="B191" s="60"/>
      <c r="C191" s="69"/>
      <c r="D191" s="70"/>
      <c r="E191" s="72"/>
      <c r="F191" s="71"/>
      <c r="G191" s="71"/>
      <c r="H191" s="60"/>
      <c r="I191" s="60"/>
      <c r="J191" s="69"/>
      <c r="K191" s="69"/>
      <c r="L191" s="70"/>
      <c r="M191" s="72"/>
      <c r="N191" s="71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8" customHeight="1">
      <c r="A192" s="61"/>
      <c r="B192" s="60"/>
      <c r="C192" s="69"/>
      <c r="D192" s="70"/>
      <c r="E192" s="72"/>
      <c r="F192" s="71"/>
      <c r="G192" s="71"/>
      <c r="H192" s="60"/>
      <c r="I192" s="60"/>
      <c r="J192" s="69"/>
      <c r="K192" s="69"/>
      <c r="L192" s="70"/>
      <c r="M192" s="72"/>
      <c r="N192" s="71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8" customHeight="1">
      <c r="A193" s="61"/>
      <c r="B193" s="60"/>
      <c r="C193" s="69"/>
      <c r="D193" s="70"/>
      <c r="E193" s="72"/>
      <c r="F193" s="71"/>
      <c r="G193" s="71"/>
      <c r="H193" s="60"/>
      <c r="I193" s="60"/>
      <c r="J193" s="69"/>
      <c r="K193" s="69"/>
      <c r="L193" s="70"/>
      <c r="M193" s="72"/>
      <c r="N193" s="71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8" customHeight="1">
      <c r="A194" s="61"/>
      <c r="B194" s="60"/>
      <c r="C194" s="69"/>
      <c r="D194" s="70"/>
      <c r="E194" s="72"/>
      <c r="F194" s="71"/>
      <c r="G194" s="71"/>
      <c r="H194" s="60"/>
      <c r="I194" s="60"/>
      <c r="J194" s="69"/>
      <c r="K194" s="69"/>
      <c r="L194" s="70"/>
      <c r="M194" s="72"/>
      <c r="N194" s="71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8" customHeight="1">
      <c r="A195" s="61"/>
      <c r="B195" s="60"/>
      <c r="C195" s="69"/>
      <c r="D195" s="70"/>
      <c r="E195" s="72"/>
      <c r="F195" s="71"/>
      <c r="G195" s="71"/>
      <c r="H195" s="60"/>
      <c r="I195" s="60"/>
      <c r="J195" s="69"/>
      <c r="K195" s="69"/>
      <c r="L195" s="70"/>
      <c r="M195" s="72"/>
      <c r="N195" s="71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8" customHeight="1">
      <c r="A196" s="61"/>
      <c r="B196" s="60"/>
      <c r="C196" s="69"/>
      <c r="D196" s="70"/>
      <c r="E196" s="72"/>
      <c r="F196" s="71"/>
      <c r="G196" s="71"/>
      <c r="H196" s="60"/>
      <c r="I196" s="60"/>
      <c r="J196" s="69"/>
      <c r="K196" s="69"/>
      <c r="L196" s="70"/>
      <c r="M196" s="72"/>
      <c r="N196" s="71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8" customHeight="1">
      <c r="A197" s="61"/>
      <c r="B197" s="60"/>
      <c r="C197" s="69"/>
      <c r="D197" s="70"/>
      <c r="E197" s="72"/>
      <c r="F197" s="71"/>
      <c r="G197" s="71"/>
      <c r="H197" s="60"/>
      <c r="I197" s="60"/>
      <c r="J197" s="69"/>
      <c r="K197" s="69"/>
      <c r="L197" s="70"/>
      <c r="M197" s="72"/>
      <c r="N197" s="71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8" customHeight="1">
      <c r="A198" s="61"/>
      <c r="B198" s="60"/>
      <c r="C198" s="69"/>
      <c r="D198" s="70"/>
      <c r="E198" s="72"/>
      <c r="F198" s="71"/>
      <c r="G198" s="71"/>
      <c r="H198" s="60"/>
      <c r="I198" s="60"/>
      <c r="J198" s="69"/>
      <c r="K198" s="69"/>
      <c r="L198" s="70"/>
      <c r="M198" s="72"/>
      <c r="N198" s="71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8" customHeight="1">
      <c r="A199" s="61"/>
      <c r="B199" s="60"/>
      <c r="C199" s="69"/>
      <c r="D199" s="70"/>
      <c r="E199" s="72"/>
      <c r="F199" s="71"/>
      <c r="G199" s="71"/>
      <c r="H199" s="60"/>
      <c r="I199" s="60"/>
      <c r="J199" s="69"/>
      <c r="K199" s="69"/>
      <c r="L199" s="70"/>
      <c r="M199" s="72"/>
      <c r="N199" s="71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8" customHeight="1">
      <c r="A200" s="61"/>
      <c r="B200" s="60"/>
      <c r="C200" s="69"/>
      <c r="D200" s="70"/>
      <c r="E200" s="72"/>
      <c r="F200" s="71"/>
      <c r="G200" s="71"/>
      <c r="H200" s="60"/>
      <c r="I200" s="60"/>
      <c r="J200" s="69"/>
      <c r="K200" s="69"/>
      <c r="L200" s="70"/>
      <c r="M200" s="72"/>
      <c r="N200" s="71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8" customHeight="1">
      <c r="A201" s="61"/>
      <c r="B201" s="60"/>
      <c r="C201" s="69"/>
      <c r="D201" s="70"/>
      <c r="E201" s="72"/>
      <c r="F201" s="71"/>
      <c r="G201" s="71"/>
      <c r="H201" s="60"/>
      <c r="I201" s="60"/>
      <c r="J201" s="69"/>
      <c r="K201" s="69"/>
      <c r="L201" s="70"/>
      <c r="M201" s="72"/>
      <c r="N201" s="71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8" customHeight="1">
      <c r="A202" s="61"/>
      <c r="B202" s="60"/>
      <c r="C202" s="69"/>
      <c r="D202" s="70"/>
      <c r="E202" s="72"/>
      <c r="F202" s="71"/>
      <c r="G202" s="71"/>
      <c r="H202" s="60"/>
      <c r="I202" s="60"/>
      <c r="J202" s="69"/>
      <c r="K202" s="69"/>
      <c r="L202" s="70"/>
      <c r="M202" s="72"/>
      <c r="N202" s="71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8" customHeight="1">
      <c r="A203" s="61"/>
      <c r="B203" s="60"/>
      <c r="C203" s="69"/>
      <c r="D203" s="70"/>
      <c r="E203" s="72"/>
      <c r="F203" s="71"/>
      <c r="G203" s="71"/>
      <c r="H203" s="60"/>
      <c r="I203" s="60"/>
      <c r="J203" s="69"/>
      <c r="K203" s="69"/>
      <c r="L203" s="70"/>
      <c r="M203" s="72"/>
      <c r="N203" s="71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8" customHeight="1">
      <c r="A204" s="61"/>
      <c r="B204" s="60"/>
      <c r="C204" s="69"/>
      <c r="D204" s="70"/>
      <c r="E204" s="72"/>
      <c r="F204" s="71"/>
      <c r="G204" s="71"/>
      <c r="H204" s="60"/>
      <c r="I204" s="60"/>
      <c r="J204" s="69"/>
      <c r="K204" s="69"/>
      <c r="L204" s="70"/>
      <c r="M204" s="72"/>
      <c r="N204" s="71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8" customHeight="1">
      <c r="A205" s="61"/>
      <c r="B205" s="60"/>
      <c r="C205" s="69"/>
      <c r="D205" s="70"/>
      <c r="E205" s="72"/>
      <c r="F205" s="71"/>
      <c r="G205" s="71"/>
      <c r="H205" s="60"/>
      <c r="I205" s="60"/>
      <c r="J205" s="69"/>
      <c r="K205" s="69"/>
      <c r="L205" s="70"/>
      <c r="M205" s="72"/>
      <c r="N205" s="71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8" customHeight="1">
      <c r="A206" s="61"/>
      <c r="B206" s="60"/>
      <c r="C206" s="69"/>
      <c r="D206" s="70"/>
      <c r="E206" s="72"/>
      <c r="F206" s="71"/>
      <c r="G206" s="71"/>
      <c r="H206" s="60"/>
      <c r="I206" s="60"/>
      <c r="J206" s="69"/>
      <c r="K206" s="69"/>
      <c r="L206" s="70"/>
      <c r="M206" s="72"/>
      <c r="N206" s="71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8" customHeight="1">
      <c r="A207" s="61"/>
      <c r="B207" s="60"/>
      <c r="C207" s="69"/>
      <c r="D207" s="70"/>
      <c r="E207" s="72"/>
      <c r="F207" s="71"/>
      <c r="G207" s="71"/>
      <c r="H207" s="60"/>
      <c r="I207" s="60"/>
      <c r="J207" s="69"/>
      <c r="K207" s="69"/>
      <c r="L207" s="70"/>
      <c r="M207" s="72"/>
      <c r="N207" s="71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8" customHeight="1">
      <c r="A208" s="61"/>
      <c r="B208" s="60"/>
      <c r="C208" s="69"/>
      <c r="D208" s="70"/>
      <c r="E208" s="72"/>
      <c r="F208" s="71"/>
      <c r="G208" s="71"/>
      <c r="H208" s="60"/>
      <c r="I208" s="60"/>
      <c r="J208" s="69"/>
      <c r="K208" s="69"/>
      <c r="L208" s="70"/>
      <c r="M208" s="72"/>
      <c r="N208" s="71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8" customHeight="1">
      <c r="A209" s="61"/>
      <c r="B209" s="60"/>
      <c r="C209" s="69"/>
      <c r="D209" s="70"/>
      <c r="E209" s="72"/>
      <c r="F209" s="71"/>
      <c r="G209" s="71"/>
      <c r="H209" s="60"/>
      <c r="I209" s="60"/>
      <c r="J209" s="69"/>
      <c r="K209" s="69"/>
      <c r="L209" s="70"/>
      <c r="M209" s="72"/>
      <c r="N209" s="71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8" customHeight="1">
      <c r="A210" s="61"/>
      <c r="B210" s="60"/>
      <c r="C210" s="69"/>
      <c r="D210" s="70"/>
      <c r="E210" s="72"/>
      <c r="F210" s="71"/>
      <c r="G210" s="71"/>
      <c r="H210" s="60"/>
      <c r="I210" s="60"/>
      <c r="J210" s="69"/>
      <c r="K210" s="69"/>
      <c r="L210" s="70"/>
      <c r="M210" s="72"/>
      <c r="N210" s="71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8" customHeight="1">
      <c r="A211" s="61"/>
      <c r="B211" s="60"/>
      <c r="C211" s="69"/>
      <c r="D211" s="70"/>
      <c r="E211" s="72"/>
      <c r="F211" s="71"/>
      <c r="G211" s="71"/>
      <c r="H211" s="60"/>
      <c r="I211" s="60"/>
      <c r="J211" s="69"/>
      <c r="K211" s="69"/>
      <c r="L211" s="70"/>
      <c r="M211" s="72"/>
      <c r="N211" s="71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8" customHeight="1">
      <c r="A212" s="61"/>
      <c r="B212" s="60"/>
      <c r="C212" s="69"/>
      <c r="D212" s="70"/>
      <c r="E212" s="72"/>
      <c r="F212" s="71"/>
      <c r="G212" s="71"/>
      <c r="H212" s="60"/>
      <c r="I212" s="60"/>
      <c r="J212" s="69"/>
      <c r="K212" s="69"/>
      <c r="L212" s="70"/>
      <c r="M212" s="72"/>
      <c r="N212" s="71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8" customHeight="1">
      <c r="A213" s="61"/>
      <c r="B213" s="60"/>
      <c r="C213" s="69"/>
      <c r="D213" s="70"/>
      <c r="E213" s="72"/>
      <c r="F213" s="71"/>
      <c r="G213" s="71"/>
      <c r="H213" s="60"/>
      <c r="I213" s="60"/>
      <c r="J213" s="69"/>
      <c r="K213" s="69"/>
      <c r="L213" s="70"/>
      <c r="M213" s="72"/>
      <c r="N213" s="71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8" customHeight="1">
      <c r="A214" s="61"/>
      <c r="B214" s="60"/>
      <c r="C214" s="69"/>
      <c r="D214" s="70"/>
      <c r="E214" s="72"/>
      <c r="F214" s="71"/>
      <c r="G214" s="71"/>
      <c r="H214" s="60"/>
      <c r="I214" s="60"/>
      <c r="J214" s="69"/>
      <c r="K214" s="69"/>
      <c r="L214" s="70"/>
      <c r="M214" s="72"/>
      <c r="N214" s="71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8" customHeight="1">
      <c r="A215" s="61"/>
      <c r="B215" s="60"/>
      <c r="C215" s="69"/>
      <c r="D215" s="70"/>
      <c r="E215" s="72"/>
      <c r="F215" s="71"/>
      <c r="G215" s="71"/>
      <c r="H215" s="60"/>
      <c r="I215" s="60"/>
      <c r="J215" s="69"/>
      <c r="K215" s="69"/>
      <c r="L215" s="70"/>
      <c r="M215" s="72"/>
      <c r="N215" s="71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8" customHeight="1">
      <c r="A216" s="61"/>
      <c r="B216" s="60"/>
      <c r="C216" s="69"/>
      <c r="D216" s="70"/>
      <c r="E216" s="72"/>
      <c r="F216" s="71"/>
      <c r="G216" s="71"/>
      <c r="H216" s="60"/>
      <c r="I216" s="60"/>
      <c r="J216" s="69"/>
      <c r="K216" s="69"/>
      <c r="L216" s="70"/>
      <c r="M216" s="72"/>
      <c r="N216" s="71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8" customHeight="1">
      <c r="A217" s="61"/>
      <c r="B217" s="60"/>
      <c r="C217" s="69"/>
      <c r="D217" s="70"/>
      <c r="E217" s="72"/>
      <c r="F217" s="71"/>
      <c r="G217" s="71"/>
      <c r="H217" s="60"/>
      <c r="I217" s="60"/>
      <c r="J217" s="69"/>
      <c r="K217" s="69"/>
      <c r="L217" s="70"/>
      <c r="M217" s="72"/>
      <c r="N217" s="71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8" customHeight="1">
      <c r="A218" s="61"/>
      <c r="B218" s="60"/>
      <c r="C218" s="69"/>
      <c r="D218" s="70"/>
      <c r="E218" s="72"/>
      <c r="F218" s="71"/>
      <c r="G218" s="71"/>
      <c r="H218" s="60"/>
      <c r="I218" s="60"/>
      <c r="J218" s="69"/>
      <c r="K218" s="69"/>
      <c r="L218" s="70"/>
      <c r="M218" s="72"/>
      <c r="N218" s="71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8" customHeight="1">
      <c r="A219" s="61"/>
      <c r="B219" s="60"/>
      <c r="C219" s="69"/>
      <c r="D219" s="70"/>
      <c r="E219" s="72"/>
      <c r="F219" s="71"/>
      <c r="G219" s="71"/>
      <c r="H219" s="60"/>
      <c r="I219" s="60"/>
      <c r="J219" s="69"/>
      <c r="K219" s="69"/>
      <c r="L219" s="70"/>
      <c r="M219" s="72"/>
      <c r="N219" s="71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8" customHeight="1">
      <c r="A220" s="61"/>
      <c r="B220" s="60"/>
      <c r="C220" s="69"/>
      <c r="D220" s="70"/>
      <c r="E220" s="72"/>
      <c r="F220" s="71"/>
      <c r="G220" s="71"/>
      <c r="H220" s="60"/>
      <c r="I220" s="60"/>
      <c r="J220" s="69"/>
      <c r="K220" s="69"/>
      <c r="L220" s="70"/>
      <c r="M220" s="72"/>
      <c r="N220" s="71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8" customHeight="1">
      <c r="A221" s="61"/>
      <c r="B221" s="60"/>
      <c r="C221" s="69"/>
      <c r="D221" s="70"/>
      <c r="E221" s="72"/>
      <c r="F221" s="71"/>
      <c r="G221" s="71"/>
      <c r="H221" s="60"/>
      <c r="I221" s="60"/>
      <c r="J221" s="69"/>
      <c r="K221" s="69"/>
      <c r="L221" s="70"/>
      <c r="M221" s="72"/>
      <c r="N221" s="71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8" customHeight="1">
      <c r="A222" s="61"/>
      <c r="B222" s="60"/>
      <c r="C222" s="69"/>
      <c r="D222" s="70"/>
      <c r="E222" s="72"/>
      <c r="F222" s="71"/>
      <c r="G222" s="71"/>
      <c r="H222" s="60"/>
      <c r="I222" s="60"/>
      <c r="J222" s="69"/>
      <c r="K222" s="69"/>
      <c r="L222" s="70"/>
      <c r="M222" s="72"/>
      <c r="N222" s="71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8" customHeight="1">
      <c r="A223" s="61"/>
      <c r="B223" s="60"/>
      <c r="C223" s="69"/>
      <c r="D223" s="70"/>
      <c r="E223" s="72"/>
      <c r="F223" s="71"/>
      <c r="G223" s="71"/>
      <c r="H223" s="60"/>
      <c r="I223" s="60"/>
      <c r="J223" s="69"/>
      <c r="K223" s="69"/>
      <c r="L223" s="70"/>
      <c r="M223" s="72"/>
      <c r="N223" s="71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8" customHeight="1">
      <c r="A224" s="61"/>
      <c r="B224" s="60"/>
      <c r="C224" s="69"/>
      <c r="D224" s="70"/>
      <c r="E224" s="72"/>
      <c r="F224" s="71"/>
      <c r="G224" s="71"/>
      <c r="H224" s="60"/>
      <c r="I224" s="60"/>
      <c r="J224" s="69"/>
      <c r="K224" s="69"/>
      <c r="L224" s="70"/>
      <c r="M224" s="72"/>
      <c r="N224" s="71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8" customHeight="1">
      <c r="A225" s="61"/>
      <c r="B225" s="60"/>
      <c r="C225" s="69"/>
      <c r="D225" s="70"/>
      <c r="E225" s="72"/>
      <c r="F225" s="71"/>
      <c r="G225" s="71"/>
      <c r="H225" s="60"/>
      <c r="I225" s="60"/>
      <c r="J225" s="69"/>
      <c r="K225" s="69"/>
      <c r="L225" s="70"/>
      <c r="M225" s="72"/>
      <c r="N225" s="71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8" customHeight="1">
      <c r="A226" s="61"/>
      <c r="B226" s="60"/>
      <c r="C226" s="69"/>
      <c r="D226" s="70"/>
      <c r="E226" s="72"/>
      <c r="F226" s="71"/>
      <c r="G226" s="71"/>
      <c r="H226" s="60"/>
      <c r="I226" s="60"/>
      <c r="J226" s="69"/>
      <c r="K226" s="69"/>
      <c r="L226" s="70"/>
      <c r="M226" s="72"/>
      <c r="N226" s="71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ht="18" customHeight="1">
      <c r="A227" s="61"/>
      <c r="B227" s="60"/>
      <c r="C227" s="69"/>
      <c r="D227" s="70"/>
      <c r="E227" s="72"/>
      <c r="F227" s="71"/>
      <c r="G227" s="71"/>
      <c r="H227" s="60"/>
      <c r="I227" s="60"/>
      <c r="J227" s="69"/>
      <c r="K227" s="69"/>
      <c r="L227" s="70"/>
      <c r="M227" s="72"/>
      <c r="N227" s="71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ht="18" customHeight="1">
      <c r="A228" s="61"/>
      <c r="B228" s="60"/>
      <c r="C228" s="69"/>
      <c r="D228" s="70"/>
      <c r="E228" s="72"/>
      <c r="F228" s="71"/>
      <c r="G228" s="71"/>
      <c r="H228" s="60"/>
      <c r="I228" s="60"/>
      <c r="J228" s="69"/>
      <c r="K228" s="69"/>
      <c r="L228" s="70"/>
      <c r="M228" s="72"/>
      <c r="N228" s="71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</row>
    <row r="229" spans="1:28" ht="18" customHeight="1">
      <c r="A229" s="61"/>
      <c r="B229" s="60"/>
      <c r="C229" s="69"/>
      <c r="D229" s="70"/>
      <c r="E229" s="72"/>
      <c r="F229" s="71"/>
      <c r="G229" s="71"/>
      <c r="H229" s="60"/>
      <c r="I229" s="60"/>
      <c r="J229" s="69"/>
      <c r="K229" s="69"/>
      <c r="L229" s="70"/>
      <c r="M229" s="72"/>
      <c r="N229" s="71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</row>
    <row r="230" spans="1:28" ht="18" customHeight="1">
      <c r="A230" s="61"/>
      <c r="B230" s="60"/>
      <c r="C230" s="69"/>
      <c r="D230" s="70"/>
      <c r="E230" s="72"/>
      <c r="F230" s="71"/>
      <c r="G230" s="71"/>
      <c r="H230" s="60"/>
      <c r="I230" s="60"/>
      <c r="J230" s="69"/>
      <c r="K230" s="69"/>
      <c r="L230" s="70"/>
      <c r="M230" s="72"/>
      <c r="N230" s="71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</row>
    <row r="231" spans="1:28" ht="18" customHeight="1">
      <c r="A231" s="61"/>
      <c r="B231" s="60"/>
      <c r="C231" s="69"/>
      <c r="D231" s="70"/>
      <c r="E231" s="72"/>
      <c r="F231" s="71"/>
      <c r="G231" s="71"/>
      <c r="H231" s="60"/>
      <c r="I231" s="60"/>
      <c r="J231" s="69"/>
      <c r="K231" s="69"/>
      <c r="L231" s="70"/>
      <c r="M231" s="72"/>
      <c r="N231" s="71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</row>
    <row r="232" spans="1:28" ht="18" customHeight="1">
      <c r="A232" s="61"/>
      <c r="B232" s="60"/>
      <c r="C232" s="69"/>
      <c r="D232" s="70"/>
      <c r="E232" s="72"/>
      <c r="F232" s="71"/>
      <c r="G232" s="71"/>
      <c r="H232" s="60"/>
      <c r="I232" s="60"/>
      <c r="J232" s="69"/>
      <c r="K232" s="69"/>
      <c r="L232" s="70"/>
      <c r="M232" s="72"/>
      <c r="N232" s="71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</row>
    <row r="233" spans="1:28" ht="18" customHeight="1">
      <c r="A233" s="61"/>
      <c r="B233" s="60"/>
      <c r="C233" s="69"/>
      <c r="D233" s="70"/>
      <c r="E233" s="72"/>
      <c r="F233" s="71"/>
      <c r="G233" s="71"/>
      <c r="H233" s="60"/>
      <c r="I233" s="60"/>
      <c r="J233" s="69"/>
      <c r="K233" s="69"/>
      <c r="L233" s="70"/>
      <c r="M233" s="72"/>
      <c r="N233" s="71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</row>
    <row r="234" spans="1:28" ht="18" customHeight="1">
      <c r="A234" s="61"/>
      <c r="B234" s="60"/>
      <c r="C234" s="69"/>
      <c r="D234" s="70"/>
      <c r="E234" s="72"/>
      <c r="F234" s="71"/>
      <c r="G234" s="71"/>
      <c r="H234" s="60"/>
      <c r="I234" s="60"/>
      <c r="J234" s="69"/>
      <c r="K234" s="69"/>
      <c r="L234" s="70"/>
      <c r="M234" s="72"/>
      <c r="N234" s="71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</row>
    <row r="235" spans="1:28" ht="18" customHeight="1">
      <c r="A235" s="61"/>
      <c r="B235" s="60"/>
      <c r="C235" s="69"/>
      <c r="D235" s="70"/>
      <c r="E235" s="72"/>
      <c r="F235" s="71"/>
      <c r="G235" s="71"/>
      <c r="H235" s="60"/>
      <c r="I235" s="60"/>
      <c r="J235" s="69"/>
      <c r="K235" s="69"/>
      <c r="L235" s="70"/>
      <c r="M235" s="72"/>
      <c r="N235" s="71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</row>
    <row r="236" spans="1:28" ht="18" customHeight="1">
      <c r="A236" s="61"/>
      <c r="B236" s="60"/>
      <c r="C236" s="69"/>
      <c r="D236" s="70"/>
      <c r="E236" s="72"/>
      <c r="F236" s="71"/>
      <c r="G236" s="71"/>
      <c r="H236" s="60"/>
      <c r="I236" s="60"/>
      <c r="J236" s="69"/>
      <c r="K236" s="69"/>
      <c r="L236" s="70"/>
      <c r="M236" s="72"/>
      <c r="N236" s="71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</row>
    <row r="237" spans="1:28" ht="18" customHeight="1">
      <c r="A237" s="61"/>
      <c r="B237" s="60"/>
      <c r="C237" s="69"/>
      <c r="D237" s="70"/>
      <c r="E237" s="72"/>
      <c r="F237" s="71"/>
      <c r="G237" s="71"/>
      <c r="H237" s="60"/>
      <c r="I237" s="60"/>
      <c r="J237" s="69"/>
      <c r="K237" s="69"/>
      <c r="L237" s="70"/>
      <c r="M237" s="72"/>
      <c r="N237" s="71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</row>
    <row r="238" spans="1:28" ht="18" customHeight="1">
      <c r="A238" s="61"/>
      <c r="B238" s="60"/>
      <c r="C238" s="69"/>
      <c r="D238" s="70"/>
      <c r="E238" s="72"/>
      <c r="F238" s="71"/>
      <c r="G238" s="71"/>
      <c r="H238" s="60"/>
      <c r="I238" s="60"/>
      <c r="J238" s="69"/>
      <c r="K238" s="69"/>
      <c r="L238" s="70"/>
      <c r="M238" s="72"/>
      <c r="N238" s="71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</row>
    <row r="239" spans="1:28" ht="18" customHeight="1">
      <c r="A239" s="61"/>
      <c r="B239" s="60"/>
      <c r="C239" s="69"/>
      <c r="D239" s="70"/>
      <c r="E239" s="72"/>
      <c r="F239" s="71"/>
      <c r="G239" s="71"/>
      <c r="H239" s="60"/>
      <c r="I239" s="60"/>
      <c r="J239" s="69"/>
      <c r="K239" s="69"/>
      <c r="L239" s="70"/>
      <c r="M239" s="72"/>
      <c r="N239" s="71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</row>
    <row r="240" spans="1:28" ht="18" customHeight="1">
      <c r="A240" s="61"/>
      <c r="B240" s="60"/>
      <c r="C240" s="69"/>
      <c r="D240" s="70"/>
      <c r="E240" s="72"/>
      <c r="F240" s="71"/>
      <c r="G240" s="71"/>
      <c r="H240" s="60"/>
      <c r="I240" s="60"/>
      <c r="J240" s="69"/>
      <c r="K240" s="69"/>
      <c r="L240" s="70"/>
      <c r="M240" s="72"/>
      <c r="N240" s="71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</row>
    <row r="241" spans="1:28" ht="18" customHeight="1">
      <c r="A241" s="61"/>
      <c r="B241" s="60"/>
      <c r="C241" s="69"/>
      <c r="D241" s="70"/>
      <c r="E241" s="72"/>
      <c r="F241" s="71"/>
      <c r="G241" s="71"/>
      <c r="H241" s="60"/>
      <c r="I241" s="60"/>
      <c r="J241" s="69"/>
      <c r="K241" s="69"/>
      <c r="L241" s="70"/>
      <c r="M241" s="72"/>
      <c r="N241" s="71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</row>
    <row r="242" spans="1:28" ht="18" customHeight="1">
      <c r="A242" s="61"/>
      <c r="B242" s="60"/>
      <c r="C242" s="69"/>
      <c r="D242" s="70"/>
      <c r="E242" s="72"/>
      <c r="F242" s="71"/>
      <c r="G242" s="71"/>
      <c r="H242" s="60"/>
      <c r="I242" s="60"/>
      <c r="J242" s="69"/>
      <c r="K242" s="69"/>
      <c r="L242" s="70"/>
      <c r="M242" s="72"/>
      <c r="N242" s="71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</row>
    <row r="243" spans="1:28" ht="18" customHeight="1">
      <c r="A243" s="61"/>
      <c r="B243" s="60"/>
      <c r="C243" s="69"/>
      <c r="D243" s="70"/>
      <c r="E243" s="72"/>
      <c r="F243" s="71"/>
      <c r="G243" s="71"/>
      <c r="H243" s="60"/>
      <c r="I243" s="60"/>
      <c r="J243" s="69"/>
      <c r="K243" s="69"/>
      <c r="L243" s="70"/>
      <c r="M243" s="72"/>
      <c r="N243" s="71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</row>
    <row r="244" spans="1:28" ht="18" customHeight="1">
      <c r="A244" s="61"/>
      <c r="B244" s="60"/>
      <c r="C244" s="69"/>
      <c r="D244" s="70"/>
      <c r="E244" s="72"/>
      <c r="F244" s="71"/>
      <c r="G244" s="71"/>
      <c r="H244" s="60"/>
      <c r="I244" s="60"/>
      <c r="J244" s="69"/>
      <c r="K244" s="69"/>
      <c r="L244" s="70"/>
      <c r="M244" s="72"/>
      <c r="N244" s="71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</row>
    <row r="245" spans="1:28" ht="18" customHeight="1">
      <c r="A245" s="61"/>
      <c r="B245" s="60"/>
      <c r="C245" s="69"/>
      <c r="D245" s="70"/>
      <c r="E245" s="72"/>
      <c r="F245" s="71"/>
      <c r="G245" s="71"/>
      <c r="H245" s="60"/>
      <c r="I245" s="60"/>
      <c r="J245" s="69"/>
      <c r="K245" s="69"/>
      <c r="L245" s="70"/>
      <c r="M245" s="72"/>
      <c r="N245" s="71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</row>
    <row r="246" spans="1:28" ht="15.75" customHeight="1">
      <c r="B246" s="60"/>
      <c r="C246" s="69"/>
      <c r="D246" s="70"/>
      <c r="E246" s="72"/>
      <c r="F246" s="71"/>
      <c r="Q246" s="60"/>
      <c r="R246" s="60"/>
    </row>
    <row r="247" spans="1:28" ht="15.75" customHeight="1">
      <c r="B247" s="60"/>
      <c r="C247" s="69"/>
      <c r="D247" s="70"/>
      <c r="E247" s="72"/>
      <c r="F247" s="71"/>
      <c r="Q247" s="60"/>
      <c r="R247" s="60"/>
    </row>
    <row r="248" spans="1:28" ht="15.75" customHeight="1">
      <c r="B248" s="60"/>
      <c r="C248" s="69"/>
      <c r="D248" s="70"/>
      <c r="E248" s="72"/>
      <c r="F248" s="71"/>
      <c r="Q248" s="60"/>
      <c r="R248" s="60"/>
    </row>
    <row r="249" spans="1:28" ht="15.75" customHeight="1">
      <c r="B249" s="60"/>
      <c r="C249" s="69"/>
      <c r="D249" s="70"/>
      <c r="E249" s="72"/>
      <c r="F249" s="71"/>
      <c r="Q249" s="60"/>
      <c r="R249" s="60"/>
    </row>
    <row r="250" spans="1:28" ht="15.75" customHeight="1">
      <c r="B250" s="60"/>
      <c r="C250" s="69"/>
      <c r="D250" s="70"/>
      <c r="E250" s="72"/>
      <c r="F250" s="71"/>
      <c r="Q250" s="60"/>
      <c r="R250" s="60"/>
    </row>
    <row r="251" spans="1:28" ht="15.75" customHeight="1">
      <c r="B251" s="60"/>
      <c r="C251" s="69"/>
      <c r="D251" s="70"/>
      <c r="E251" s="72"/>
      <c r="F251" s="71"/>
      <c r="Q251" s="60"/>
      <c r="R251" s="60"/>
    </row>
    <row r="252" spans="1:28" ht="15.75" customHeight="1">
      <c r="B252" s="60"/>
      <c r="C252" s="69"/>
      <c r="D252" s="70"/>
      <c r="E252" s="72"/>
      <c r="F252" s="71"/>
      <c r="Q252" s="60"/>
      <c r="R252" s="60"/>
    </row>
    <row r="253" spans="1:28" ht="15.75" customHeight="1">
      <c r="B253" s="60"/>
      <c r="C253" s="69"/>
      <c r="D253" s="70"/>
      <c r="E253" s="72"/>
      <c r="F253" s="71"/>
    </row>
    <row r="254" spans="1:28" ht="15.75" customHeight="1">
      <c r="B254" s="60"/>
      <c r="C254" s="69"/>
      <c r="D254" s="70"/>
      <c r="E254" s="72"/>
      <c r="F254" s="71"/>
    </row>
    <row r="255" spans="1:28" ht="15.75" customHeight="1">
      <c r="B255" s="60"/>
      <c r="C255" s="69"/>
      <c r="D255" s="70"/>
      <c r="E255" s="72"/>
      <c r="F255" s="71"/>
    </row>
    <row r="256" spans="1:28" ht="15.75" customHeight="1">
      <c r="B256" s="60"/>
      <c r="C256" s="69"/>
      <c r="D256" s="70"/>
      <c r="E256" s="72"/>
      <c r="F256" s="71"/>
    </row>
    <row r="257" spans="2:6" ht="15.75" customHeight="1">
      <c r="B257" s="60"/>
      <c r="C257" s="69"/>
      <c r="D257" s="70"/>
      <c r="E257" s="72"/>
      <c r="F257" s="71"/>
    </row>
    <row r="258" spans="2:6" ht="15.75" customHeight="1">
      <c r="B258" s="60"/>
      <c r="C258" s="69"/>
      <c r="D258" s="70"/>
      <c r="E258" s="72"/>
      <c r="F258" s="71"/>
    </row>
    <row r="259" spans="2:6" ht="15.75" customHeight="1">
      <c r="B259" s="60"/>
      <c r="C259" s="69"/>
      <c r="D259" s="70"/>
      <c r="E259" s="72"/>
      <c r="F259" s="71"/>
    </row>
    <row r="260" spans="2:6" ht="15.75" customHeight="1">
      <c r="B260" s="60"/>
      <c r="C260" s="69"/>
      <c r="D260" s="70"/>
      <c r="E260" s="72"/>
      <c r="F260" s="71"/>
    </row>
    <row r="261" spans="2:6" ht="15.75" customHeight="1">
      <c r="B261" s="60"/>
      <c r="C261" s="69"/>
      <c r="D261" s="70"/>
      <c r="E261" s="72"/>
      <c r="F261" s="71"/>
    </row>
    <row r="262" spans="2:6" ht="15.75" customHeight="1">
      <c r="B262" s="60"/>
      <c r="C262" s="69"/>
      <c r="D262" s="70"/>
      <c r="E262" s="72"/>
      <c r="F262" s="71"/>
    </row>
    <row r="263" spans="2:6" ht="15.75" customHeight="1">
      <c r="B263" s="60"/>
      <c r="C263" s="69"/>
      <c r="D263" s="70"/>
      <c r="E263" s="72"/>
      <c r="F263" s="71"/>
    </row>
    <row r="264" spans="2:6" ht="15.75" customHeight="1">
      <c r="B264" s="60"/>
      <c r="C264" s="69"/>
      <c r="D264" s="70"/>
      <c r="E264" s="72"/>
      <c r="F264" s="71"/>
    </row>
    <row r="265" spans="2:6" ht="15.75" customHeight="1">
      <c r="B265" s="60"/>
      <c r="C265" s="69"/>
      <c r="D265" s="70"/>
      <c r="E265" s="72"/>
      <c r="F265" s="71"/>
    </row>
    <row r="266" spans="2:6" ht="15.75" customHeight="1">
      <c r="B266" s="60"/>
      <c r="C266" s="69"/>
      <c r="D266" s="70"/>
      <c r="E266" s="72"/>
      <c r="F266" s="71"/>
    </row>
    <row r="267" spans="2:6" ht="15.75" customHeight="1">
      <c r="B267" s="60"/>
      <c r="C267" s="69"/>
      <c r="D267" s="70"/>
      <c r="E267" s="72"/>
      <c r="F267" s="71"/>
    </row>
    <row r="268" spans="2:6" ht="15.75" customHeight="1">
      <c r="B268" s="60"/>
      <c r="C268" s="69"/>
      <c r="D268" s="70"/>
      <c r="E268" s="72"/>
      <c r="F268" s="71"/>
    </row>
    <row r="269" spans="2:6" ht="15.75" customHeight="1">
      <c r="B269" s="60"/>
      <c r="C269" s="69"/>
      <c r="D269" s="70"/>
      <c r="E269" s="72"/>
      <c r="F269" s="71"/>
    </row>
    <row r="270" spans="2:6" ht="15.75" customHeight="1">
      <c r="B270" s="60"/>
      <c r="C270" s="69"/>
      <c r="D270" s="70"/>
      <c r="E270" s="72"/>
      <c r="F270" s="71"/>
    </row>
    <row r="271" spans="2:6" ht="15.75" customHeight="1">
      <c r="B271" s="60"/>
      <c r="C271" s="69"/>
      <c r="D271" s="70"/>
      <c r="E271" s="72"/>
      <c r="F271" s="71"/>
    </row>
    <row r="272" spans="2:6" ht="15.75" customHeight="1">
      <c r="B272" s="60"/>
      <c r="C272" s="69"/>
      <c r="D272" s="70"/>
      <c r="E272" s="72"/>
      <c r="F272" s="71"/>
    </row>
    <row r="273" spans="2:6" ht="15.75" customHeight="1">
      <c r="B273" s="60"/>
      <c r="C273" s="69"/>
      <c r="D273" s="70"/>
      <c r="E273" s="72"/>
      <c r="F273" s="71"/>
    </row>
    <row r="274" spans="2:6" ht="15.75" customHeight="1">
      <c r="B274" s="60"/>
      <c r="C274" s="69"/>
      <c r="D274" s="70"/>
      <c r="E274" s="72"/>
      <c r="F274" s="71"/>
    </row>
    <row r="275" spans="2:6" ht="15.75" customHeight="1">
      <c r="B275" s="60"/>
      <c r="C275" s="69"/>
      <c r="D275" s="70"/>
      <c r="E275" s="72"/>
      <c r="F275" s="71"/>
    </row>
    <row r="276" spans="2:6" ht="15.75" customHeight="1">
      <c r="B276" s="60"/>
      <c r="C276" s="69"/>
      <c r="D276" s="70"/>
      <c r="E276" s="72"/>
      <c r="F276" s="71"/>
    </row>
    <row r="277" spans="2:6" ht="15.75" customHeight="1">
      <c r="B277" s="60"/>
      <c r="C277" s="69"/>
      <c r="D277" s="70"/>
      <c r="E277" s="72"/>
      <c r="F277" s="71"/>
    </row>
    <row r="278" spans="2:6" ht="15.75" customHeight="1">
      <c r="B278" s="60"/>
      <c r="C278" s="69"/>
      <c r="D278" s="70"/>
      <c r="E278" s="72"/>
      <c r="F278" s="71"/>
    </row>
    <row r="279" spans="2:6" ht="15.75" customHeight="1">
      <c r="B279" s="60"/>
      <c r="C279" s="69"/>
      <c r="D279" s="70"/>
      <c r="E279" s="72"/>
      <c r="F279" s="71"/>
    </row>
    <row r="280" spans="2:6" ht="15.75" customHeight="1">
      <c r="B280" s="60"/>
      <c r="C280" s="69"/>
      <c r="D280" s="70"/>
      <c r="E280" s="72"/>
      <c r="F280" s="71"/>
    </row>
    <row r="281" spans="2:6" ht="15.75" customHeight="1">
      <c r="B281" s="60"/>
      <c r="C281" s="69"/>
      <c r="D281" s="70"/>
      <c r="E281" s="72"/>
      <c r="F281" s="71"/>
    </row>
    <row r="282" spans="2:6" ht="15.75" customHeight="1">
      <c r="B282" s="60"/>
      <c r="C282" s="69"/>
      <c r="D282" s="70"/>
      <c r="E282" s="72"/>
      <c r="F282" s="71"/>
    </row>
    <row r="283" spans="2:6" ht="15.75" customHeight="1">
      <c r="B283" s="60"/>
      <c r="C283" s="69"/>
      <c r="D283" s="70"/>
      <c r="E283" s="72"/>
      <c r="F283" s="71"/>
    </row>
    <row r="284" spans="2:6" ht="15.75" customHeight="1">
      <c r="B284" s="60"/>
      <c r="C284" s="69"/>
      <c r="D284" s="70"/>
      <c r="E284" s="72"/>
      <c r="F284" s="71"/>
    </row>
    <row r="285" spans="2:6" ht="15.75" customHeight="1">
      <c r="B285" s="60"/>
      <c r="C285" s="69"/>
      <c r="D285" s="70"/>
      <c r="E285" s="72"/>
      <c r="F285" s="71"/>
    </row>
    <row r="286" spans="2:6" ht="15.75" customHeight="1">
      <c r="B286" s="60"/>
      <c r="C286" s="69"/>
      <c r="D286" s="70"/>
      <c r="E286" s="72"/>
      <c r="F286" s="71"/>
    </row>
    <row r="287" spans="2:6" ht="15.75" customHeight="1">
      <c r="B287" s="60"/>
      <c r="C287" s="69"/>
      <c r="D287" s="70"/>
      <c r="E287" s="72"/>
      <c r="F287" s="71"/>
    </row>
    <row r="288" spans="2:6" ht="15.75" customHeight="1">
      <c r="B288" s="60"/>
      <c r="C288" s="69"/>
      <c r="D288" s="70"/>
      <c r="E288" s="72"/>
      <c r="F288" s="71"/>
    </row>
    <row r="289" spans="2:6" ht="15.75" customHeight="1">
      <c r="B289" s="60"/>
      <c r="C289" s="69"/>
      <c r="D289" s="70"/>
      <c r="E289" s="72"/>
      <c r="F289" s="71"/>
    </row>
    <row r="290" spans="2:6" ht="15.75" customHeight="1">
      <c r="B290" s="60"/>
      <c r="C290" s="69"/>
      <c r="D290" s="70"/>
      <c r="E290" s="72"/>
      <c r="F290" s="71"/>
    </row>
    <row r="291" spans="2:6" ht="15.75" customHeight="1">
      <c r="B291" s="60"/>
      <c r="C291" s="69"/>
      <c r="D291" s="70"/>
      <c r="E291" s="72"/>
      <c r="F291" s="71"/>
    </row>
    <row r="292" spans="2:6" ht="15.75" customHeight="1">
      <c r="B292" s="60"/>
      <c r="C292" s="69"/>
      <c r="D292" s="70"/>
      <c r="E292" s="72"/>
      <c r="F292" s="71"/>
    </row>
    <row r="293" spans="2:6" ht="15.75" customHeight="1">
      <c r="B293" s="60"/>
      <c r="C293" s="69"/>
      <c r="D293" s="70"/>
      <c r="E293" s="72"/>
      <c r="F293" s="71"/>
    </row>
    <row r="294" spans="2:6" ht="15.75" customHeight="1">
      <c r="B294" s="60"/>
      <c r="C294" s="69"/>
      <c r="D294" s="70"/>
      <c r="E294" s="72"/>
      <c r="F294" s="71"/>
    </row>
    <row r="295" spans="2:6" ht="15.75" customHeight="1">
      <c r="B295" s="60"/>
      <c r="C295" s="69"/>
      <c r="D295" s="70"/>
      <c r="E295" s="72"/>
      <c r="F295" s="71"/>
    </row>
    <row r="296" spans="2:6" ht="15.75" customHeight="1">
      <c r="B296" s="60"/>
      <c r="C296" s="69"/>
      <c r="D296" s="70"/>
      <c r="E296" s="72"/>
      <c r="F296" s="71"/>
    </row>
    <row r="297" spans="2:6" ht="15.75" customHeight="1">
      <c r="B297" s="60"/>
      <c r="C297" s="69"/>
      <c r="D297" s="70"/>
      <c r="E297" s="72"/>
      <c r="F297" s="71"/>
    </row>
    <row r="298" spans="2:6" ht="15.75" customHeight="1">
      <c r="B298" s="60"/>
      <c r="C298" s="69"/>
      <c r="D298" s="70"/>
      <c r="E298" s="72"/>
      <c r="F298" s="71"/>
    </row>
    <row r="299" spans="2:6" ht="15.75" customHeight="1">
      <c r="B299" s="60"/>
      <c r="C299" s="69"/>
      <c r="D299" s="70"/>
      <c r="E299" s="72"/>
      <c r="F299" s="71"/>
    </row>
    <row r="300" spans="2:6" ht="15.75" customHeight="1">
      <c r="B300" s="60"/>
      <c r="C300" s="69"/>
      <c r="D300" s="70"/>
      <c r="E300" s="72"/>
      <c r="F300" s="71"/>
    </row>
    <row r="301" spans="2:6" ht="15.75" customHeight="1">
      <c r="B301" s="60"/>
      <c r="C301" s="69"/>
      <c r="D301" s="70"/>
      <c r="E301" s="72"/>
      <c r="F301" s="71"/>
    </row>
    <row r="302" spans="2:6" ht="15.75" customHeight="1">
      <c r="B302" s="60"/>
      <c r="C302" s="69"/>
      <c r="D302" s="70"/>
      <c r="E302" s="72"/>
      <c r="F302" s="71"/>
    </row>
    <row r="303" spans="2:6" ht="15.75" customHeight="1">
      <c r="B303" s="60"/>
      <c r="C303" s="69"/>
      <c r="D303" s="70"/>
      <c r="E303" s="72"/>
      <c r="F303" s="71"/>
    </row>
    <row r="304" spans="2:6" ht="15.75" customHeight="1">
      <c r="B304" s="60"/>
      <c r="C304" s="69"/>
      <c r="D304" s="70"/>
      <c r="E304" s="72"/>
      <c r="F304" s="71"/>
    </row>
    <row r="305" spans="2:6" ht="15.75" customHeight="1">
      <c r="B305" s="60"/>
      <c r="C305" s="69"/>
      <c r="D305" s="70"/>
      <c r="E305" s="72"/>
      <c r="F305" s="71"/>
    </row>
    <row r="306" spans="2:6" ht="15.75" customHeight="1">
      <c r="B306" s="60"/>
      <c r="C306" s="69"/>
      <c r="D306" s="70"/>
      <c r="E306" s="72"/>
      <c r="F306" s="71"/>
    </row>
    <row r="307" spans="2:6" ht="15.75" customHeight="1">
      <c r="B307" s="60"/>
      <c r="C307" s="69"/>
      <c r="D307" s="70"/>
      <c r="E307" s="72"/>
      <c r="F307" s="71"/>
    </row>
    <row r="308" spans="2:6" ht="15.75" customHeight="1"/>
    <row r="309" spans="2:6" ht="15.75" customHeight="1"/>
    <row r="310" spans="2:6" ht="15.75" customHeight="1"/>
    <row r="311" spans="2:6" ht="15.75" customHeight="1"/>
    <row r="312" spans="2:6" ht="15.75" customHeight="1"/>
    <row r="313" spans="2:6" ht="15.75" customHeight="1"/>
    <row r="314" spans="2:6" ht="15.75" customHeight="1"/>
    <row r="315" spans="2:6" ht="15.75" customHeight="1"/>
    <row r="316" spans="2:6" ht="15.75" customHeight="1"/>
    <row r="317" spans="2:6" ht="15.75" customHeight="1"/>
    <row r="318" spans="2:6" ht="15.75" customHeight="1"/>
    <row r="319" spans="2:6" ht="15.75" customHeight="1"/>
    <row r="320" spans="2:6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38">
    <mergeCell ref="Q66:R66"/>
    <mergeCell ref="C116:F116"/>
    <mergeCell ref="C132:F132"/>
    <mergeCell ref="C134:F134"/>
    <mergeCell ref="F59:F61"/>
    <mergeCell ref="C72:F72"/>
    <mergeCell ref="B76:F76"/>
    <mergeCell ref="C93:F93"/>
    <mergeCell ref="B96:F96"/>
    <mergeCell ref="C104:F104"/>
    <mergeCell ref="B108:F108"/>
    <mergeCell ref="B47:F47"/>
    <mergeCell ref="Q47:R47"/>
    <mergeCell ref="C51:F51"/>
    <mergeCell ref="B55:F55"/>
    <mergeCell ref="Q57:R57"/>
    <mergeCell ref="Q27:R27"/>
    <mergeCell ref="I30:I31"/>
    <mergeCell ref="M30:N31"/>
    <mergeCell ref="Q35:R35"/>
    <mergeCell ref="C43:F43"/>
    <mergeCell ref="C23:F23"/>
    <mergeCell ref="J23:N23"/>
    <mergeCell ref="J24:N24"/>
    <mergeCell ref="J25:N25"/>
    <mergeCell ref="B27:F27"/>
    <mergeCell ref="C14:F14"/>
    <mergeCell ref="B17:F17"/>
    <mergeCell ref="Q17:R17"/>
    <mergeCell ref="J18:N18"/>
    <mergeCell ref="J22:N22"/>
    <mergeCell ref="B1:N1"/>
    <mergeCell ref="B4:F4"/>
    <mergeCell ref="I4:N4"/>
    <mergeCell ref="Q4:R4"/>
    <mergeCell ref="B6:F6"/>
    <mergeCell ref="I6:N6"/>
    <mergeCell ref="Q6:R6"/>
  </mergeCells>
  <conditionalFormatting sqref="B2">
    <cfRule type="notContainsBlanks" dxfId="27" priority="5">
      <formula>LEN(TRIM(B2))&gt;0</formula>
    </cfRule>
  </conditionalFormatting>
  <conditionalFormatting sqref="I30 M30">
    <cfRule type="cellIs" dxfId="26" priority="1" operator="lessThan">
      <formula>0</formula>
    </cfRule>
  </conditionalFormatting>
  <conditionalFormatting sqref="J26:L41 I32:I41 M32:M41">
    <cfRule type="cellIs" dxfId="25" priority="2" operator="lessThan">
      <formula>0</formula>
    </cfRule>
  </conditionalFormatting>
  <conditionalFormatting sqref="J22:N22">
    <cfRule type="notContainsBlanks" dxfId="24" priority="6">
      <formula>LEN(TRIM(J22))&gt;0</formula>
    </cfRule>
  </conditionalFormatting>
  <conditionalFormatting sqref="R16 R20:R26 U22:U24 R28:R34">
    <cfRule type="cellIs" dxfId="23" priority="3" operator="lessThan">
      <formula>0</formula>
    </cfRule>
  </conditionalFormatting>
  <conditionalFormatting sqref="R36:R42">
    <cfRule type="cellIs" dxfId="22" priority="4" operator="lessThan">
      <formula>0</formula>
    </cfRule>
  </conditionalFormatting>
  <pageMargins left="0.70866141732283472" right="0.70866141732283472" top="0.78740157480314965" bottom="0.78740157480314965" header="0" footer="0"/>
  <pageSetup paperSize="9" orientation="landscape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4F3AA69A854CD4AB8E018F1423272BF" ma:contentTypeVersion="13" ma:contentTypeDescription="Vytvoří nový dokument" ma:contentTypeScope="" ma:versionID="b174d07b5b70db0d875d5aa4e282fe5a">
  <xsd:schema xmlns:xsd="http://www.w3.org/2001/XMLSchema" xmlns:xs="http://www.w3.org/2001/XMLSchema" xmlns:p="http://schemas.microsoft.com/office/2006/metadata/properties" xmlns:ns2="924be5ba-5d54-4b05-b4f9-21613151c98b" xmlns:ns3="ee3e6495-190f-4ce8-b8a2-7e62a1baaab3" targetNamespace="http://schemas.microsoft.com/office/2006/metadata/properties" ma:root="true" ma:fieldsID="6f5315e3b570ed0aa2307cca2bad8990" ns2:_="" ns3:_="">
    <xsd:import namespace="924be5ba-5d54-4b05-b4f9-21613151c98b"/>
    <xsd:import namespace="ee3e6495-190f-4ce8-b8a2-7e62a1baa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LengthInSeconds" minOccurs="0"/>
                <xsd:element ref="ns3:MigrationSource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4be5ba-5d54-4b05-b4f9-21613151c9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Značky obrázků" ma:readOnly="false" ma:fieldId="{5cf76f15-5ced-4ddc-b409-7134ff3c332f}" ma:taxonomyMulti="true" ma:sspId="5cd8b950-3ab7-44d3-80e2-0aa90be30f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3e6495-190f-4ce8-b8a2-7e62a1baaab3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8039594f-a79d-4bfb-9b79-960949658185}" ma:internalName="TaxCatchAll" ma:showField="CatchAllData" ma:web="ee3e6495-190f-4ce8-b8a2-7e62a1baa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grationSourceID" ma:index="20" nillable="true" ma:displayName="MigrationSourceID" ma:internalName="MigrationSourceID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4be5ba-5d54-4b05-b4f9-21613151c98b">
      <Terms xmlns="http://schemas.microsoft.com/office/infopath/2007/PartnerControls"/>
    </lcf76f155ced4ddcb4097134ff3c332f>
    <TaxCatchAll xmlns="ee3e6495-190f-4ce8-b8a2-7e62a1baaab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FA3464-F35E-4F2F-909A-46BB5532766A}"/>
</file>

<file path=customXml/itemProps2.xml><?xml version="1.0" encoding="utf-8"?>
<ds:datastoreItem xmlns:ds="http://schemas.openxmlformats.org/officeDocument/2006/customXml" ds:itemID="{0288C32E-13CA-4C9C-B0EF-1EFE91FBCEE4}"/>
</file>

<file path=customXml/itemProps3.xml><?xml version="1.0" encoding="utf-8"?>
<ds:datastoreItem xmlns:ds="http://schemas.openxmlformats.org/officeDocument/2006/customXml" ds:itemID="{21E9684F-E5C0-4E49-A600-181D04E446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Dmitry Egorov</cp:lastModifiedBy>
  <cp:revision/>
  <dcterms:created xsi:type="dcterms:W3CDTF">2025-08-11T14:38:29Z</dcterms:created>
  <dcterms:modified xsi:type="dcterms:W3CDTF">2025-09-15T14:00:00Z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0x01010064F3AA69A854CD4AB8E018F1423272BF</vt:lpwstr>
  </property>
  <property fmtid="{D5CDD505-2E9C-101B-9397-08002B2CF9AE}" pid="3" name="MediaServiceImageTags">
    <vt:lpwstr/>
  </property>
</Properties>
</file>